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electric\14docs\1403531\"/>
    </mc:Choice>
  </mc:AlternateContent>
  <bookViews>
    <workbookView xWindow="120" yWindow="165" windowWidth="15180" windowHeight="9030" tabRatio="826" activeTab="1"/>
  </bookViews>
  <sheets>
    <sheet name="Exhibit-RMP(JRS-1)" sheetId="6" r:id="rId1"/>
    <sheet name="Exhibit-RMP(JRS-2)" sheetId="5" r:id="rId2"/>
    <sheet name="EBASettlement-2013" sheetId="12" r:id="rId3"/>
    <sheet name="Sch1 Bill Impact" sheetId="9" r:id="rId4"/>
    <sheet name="Table A" sheetId="10" r:id="rId5"/>
    <sheet name="NPCAllocator" sheetId="8" r:id="rId6"/>
    <sheet name="EBASettlement" sheetId="3" r:id="rId7"/>
    <sheet name="Table 1" sheetId="13" r:id="rId8"/>
    <sheet name="Note" sheetId="11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</externalReferences>
  <definedNames>
    <definedName name="\0" localSheetId="6">[1]Jan!#REF!</definedName>
    <definedName name="\0" localSheetId="2">[1]Jan!#REF!</definedName>
    <definedName name="\0" localSheetId="3">[1]Jan!#REF!</definedName>
    <definedName name="\0" localSheetId="4">[1]Jan!#REF!</definedName>
    <definedName name="\0">[1]Jan!#REF!</definedName>
    <definedName name="\A" localSheetId="6">#REF!</definedName>
    <definedName name="\A" localSheetId="2">#REF!</definedName>
    <definedName name="\A" localSheetId="3">#REF!</definedName>
    <definedName name="\A" localSheetId="4">#REF!</definedName>
    <definedName name="\A">#REF!</definedName>
    <definedName name="\B" localSheetId="6">#REF!</definedName>
    <definedName name="\B" localSheetId="2">#REF!</definedName>
    <definedName name="\B" localSheetId="4">#REF!</definedName>
    <definedName name="\B">#REF!</definedName>
    <definedName name="\BACK1" localSheetId="6">#REF!</definedName>
    <definedName name="\BACK1" localSheetId="2">#REF!</definedName>
    <definedName name="\BACK1" localSheetId="4">#REF!</definedName>
    <definedName name="\BACK1">#REF!</definedName>
    <definedName name="\BLOCK" localSheetId="6">#REF!</definedName>
    <definedName name="\BLOCK" localSheetId="2">#REF!</definedName>
    <definedName name="\BLOCK" localSheetId="4">#REF!</definedName>
    <definedName name="\BLOCK">#REF!</definedName>
    <definedName name="\BLOCKT" localSheetId="6">#REF!</definedName>
    <definedName name="\BLOCKT" localSheetId="2">#REF!</definedName>
    <definedName name="\BLOCKT" localSheetId="4">#REF!</definedName>
    <definedName name="\BLOCKT">#REF!</definedName>
    <definedName name="\C" localSheetId="6">#REF!</definedName>
    <definedName name="\C" localSheetId="2">#REF!</definedName>
    <definedName name="\C" localSheetId="4">#REF!</definedName>
    <definedName name="\C">#REF!</definedName>
    <definedName name="\COMP" localSheetId="6">#REF!</definedName>
    <definedName name="\COMP" localSheetId="2">#REF!</definedName>
    <definedName name="\COMP" localSheetId="4">#REF!</definedName>
    <definedName name="\COMP">#REF!</definedName>
    <definedName name="\COMPT" localSheetId="6">#REF!</definedName>
    <definedName name="\COMPT" localSheetId="2">#REF!</definedName>
    <definedName name="\COMPT" localSheetId="4">#REF!</definedName>
    <definedName name="\COMPT">#REF!</definedName>
    <definedName name="\E" localSheetId="6">#REF!</definedName>
    <definedName name="\E" localSheetId="2">#REF!</definedName>
    <definedName name="\E" localSheetId="0">#REF!</definedName>
    <definedName name="\E" localSheetId="1">#REF!</definedName>
    <definedName name="\E" localSheetId="4">#REF!</definedName>
    <definedName name="\E">#REF!</definedName>
    <definedName name="\G" localSheetId="6">#REF!</definedName>
    <definedName name="\G" localSheetId="2">#REF!</definedName>
    <definedName name="\G" localSheetId="4">#REF!</definedName>
    <definedName name="\G">#REF!</definedName>
    <definedName name="\I" localSheetId="6">#REF!</definedName>
    <definedName name="\I" localSheetId="2">#REF!</definedName>
    <definedName name="\I" localSheetId="4">#REF!</definedName>
    <definedName name="\I">#REF!</definedName>
    <definedName name="\K" localSheetId="6">#REF!</definedName>
    <definedName name="\K" localSheetId="2">#REF!</definedName>
    <definedName name="\K" localSheetId="4">#REF!</definedName>
    <definedName name="\K">#REF!</definedName>
    <definedName name="\L" localSheetId="6">#REF!</definedName>
    <definedName name="\L" localSheetId="2">#REF!</definedName>
    <definedName name="\L" localSheetId="4">#REF!</definedName>
    <definedName name="\L">#REF!</definedName>
    <definedName name="\M" localSheetId="6">#REF!</definedName>
    <definedName name="\M" localSheetId="2">#REF!</definedName>
    <definedName name="\M" localSheetId="4">#REF!</definedName>
    <definedName name="\M">#REF!</definedName>
    <definedName name="\P" localSheetId="6">#REF!</definedName>
    <definedName name="\P" localSheetId="2">#REF!</definedName>
    <definedName name="\P" localSheetId="4">#REF!</definedName>
    <definedName name="\P">#REF!</definedName>
    <definedName name="\Q" localSheetId="6">[2]Actual!#REF!</definedName>
    <definedName name="\Q" localSheetId="2">[2]Actual!#REF!</definedName>
    <definedName name="\Q" localSheetId="3">[2]Actual!#REF!</definedName>
    <definedName name="\Q" localSheetId="4">[2]Actual!#REF!</definedName>
    <definedName name="\Q">[2]Actual!#REF!</definedName>
    <definedName name="\R" localSheetId="6">#REF!</definedName>
    <definedName name="\R" localSheetId="2">#REF!</definedName>
    <definedName name="\R" localSheetId="3">#REF!</definedName>
    <definedName name="\R" localSheetId="4">#REF!</definedName>
    <definedName name="\R">#REF!</definedName>
    <definedName name="\S" localSheetId="6">#REF!</definedName>
    <definedName name="\S" localSheetId="2">#REF!</definedName>
    <definedName name="\S" localSheetId="4">#REF!</definedName>
    <definedName name="\S">#REF!</definedName>
    <definedName name="\TABLE1" localSheetId="6">#REF!</definedName>
    <definedName name="\TABLE1" localSheetId="2">#REF!</definedName>
    <definedName name="\TABLE1" localSheetId="4">#REF!</definedName>
    <definedName name="\TABLE1">#REF!</definedName>
    <definedName name="\TABLE2" localSheetId="6">#REF!</definedName>
    <definedName name="\TABLE2" localSheetId="2">#REF!</definedName>
    <definedName name="\TABLE2" localSheetId="4">#REF!</definedName>
    <definedName name="\TABLE2">#REF!</definedName>
    <definedName name="\TABLEA" localSheetId="6">#REF!</definedName>
    <definedName name="\TABLEA" localSheetId="2">#REF!</definedName>
    <definedName name="\TABLEA" localSheetId="4">#REF!</definedName>
    <definedName name="\TABLEA">#REF!</definedName>
    <definedName name="\TBL1" localSheetId="6">#REF!</definedName>
    <definedName name="\TBL1" localSheetId="2">#REF!</definedName>
    <definedName name="\TBL1" localSheetId="3">#REF!</definedName>
    <definedName name="\TBL1" localSheetId="4">#REF!</definedName>
    <definedName name="\TBL1">#REF!</definedName>
    <definedName name="\TBL2" localSheetId="6">#REF!</definedName>
    <definedName name="\TBL2" localSheetId="2">#REF!</definedName>
    <definedName name="\TBL2" localSheetId="4">#REF!</definedName>
    <definedName name="\TBL2">#REF!</definedName>
    <definedName name="\TBL3" localSheetId="6">#REF!</definedName>
    <definedName name="\TBL3" localSheetId="2">#REF!</definedName>
    <definedName name="\TBL3" localSheetId="4">#REF!</definedName>
    <definedName name="\TBL3">#REF!</definedName>
    <definedName name="\TBL4" localSheetId="6">#REF!</definedName>
    <definedName name="\TBL4" localSheetId="2">#REF!</definedName>
    <definedName name="\TBL4" localSheetId="4">#REF!</definedName>
    <definedName name="\TBL4">#REF!</definedName>
    <definedName name="\TBL5" localSheetId="6">#REF!</definedName>
    <definedName name="\TBL5" localSheetId="2">#REF!</definedName>
    <definedName name="\TBL5" localSheetId="4">#REF!</definedName>
    <definedName name="\TBL5">#REF!</definedName>
    <definedName name="\W" localSheetId="6">#REF!</definedName>
    <definedName name="\W" localSheetId="2">#REF!</definedName>
    <definedName name="\W" localSheetId="4">#REF!</definedName>
    <definedName name="\W">#REF!</definedName>
    <definedName name="\WORK1" localSheetId="6">#REF!</definedName>
    <definedName name="\WORK1" localSheetId="2">#REF!</definedName>
    <definedName name="\WORK1" localSheetId="4">#REF!</definedName>
    <definedName name="\WORK1">#REF!</definedName>
    <definedName name="\X" localSheetId="6">#REF!</definedName>
    <definedName name="\X" localSheetId="2">#REF!</definedName>
    <definedName name="\X" localSheetId="4">#REF!</definedName>
    <definedName name="\X">#REF!</definedName>
    <definedName name="\Z" localSheetId="6">#REF!</definedName>
    <definedName name="\Z" localSheetId="2">#REF!</definedName>
    <definedName name="\Z" localSheetId="4">#REF!</definedName>
    <definedName name="\Z">#REF!</definedName>
    <definedName name="__123Graph_A" localSheetId="6" hidden="1">[3]Inputs!#REF!</definedName>
    <definedName name="__123Graph_A" localSheetId="2" hidden="1">[3]Inputs!#REF!</definedName>
    <definedName name="__123Graph_A" localSheetId="1" hidden="1">'Exhibit-RMP(JRS-2)'!#REF!</definedName>
    <definedName name="__123Graph_A" localSheetId="3" hidden="1">[3]Inputs!#REF!</definedName>
    <definedName name="__123Graph_A" localSheetId="4" hidden="1">[3]Inputs!#REF!</definedName>
    <definedName name="__123Graph_A" hidden="1">[3]Inputs!#REF!</definedName>
    <definedName name="__123Graph_AGRAPH1" localSheetId="1" hidden="1">'Exhibit-RMP(JRS-2)'!#REF!</definedName>
    <definedName name="__123Graph_B" localSheetId="6" hidden="1">[3]Inputs!#REF!</definedName>
    <definedName name="__123Graph_B" localSheetId="2" hidden="1">[3]Inputs!#REF!</definedName>
    <definedName name="__123Graph_B" localSheetId="1" hidden="1">'Exhibit-RMP(JRS-2)'!#REF!</definedName>
    <definedName name="__123Graph_B" localSheetId="3" hidden="1">[3]Inputs!#REF!</definedName>
    <definedName name="__123Graph_B" localSheetId="4" hidden="1">[3]Inputs!#REF!</definedName>
    <definedName name="__123Graph_B" hidden="1">[3]Inputs!#REF!</definedName>
    <definedName name="__123Graph_C" localSheetId="1" hidden="1">'Exhibit-RMP(JRS-2)'!#REF!</definedName>
    <definedName name="__123Graph_D" localSheetId="6" hidden="1">[3]Inputs!#REF!</definedName>
    <definedName name="__123Graph_D" localSheetId="2" hidden="1">[3]Inputs!#REF!</definedName>
    <definedName name="__123Graph_D" localSheetId="1" hidden="1">'Exhibit-RMP(JRS-2)'!#REF!</definedName>
    <definedName name="__123Graph_D" localSheetId="3" hidden="1">[3]Inputs!#REF!</definedName>
    <definedName name="__123Graph_D" localSheetId="4" hidden="1">[3]Inputs!#REF!</definedName>
    <definedName name="__123Graph_D" hidden="1">[3]Inputs!#REF!</definedName>
    <definedName name="__123Graph_E" localSheetId="1" hidden="1">'Exhibit-RMP(JRS-2)'!#REF!</definedName>
    <definedName name="__123Graph_F" localSheetId="1" hidden="1">'Exhibit-RMP(JRS-2)'!#REF!</definedName>
    <definedName name="__MEN2" localSheetId="6">[1]Jan!#REF!</definedName>
    <definedName name="__MEN2" localSheetId="2">[1]Jan!#REF!</definedName>
    <definedName name="__MEN2" localSheetId="4">[1]Jan!#REF!</definedName>
    <definedName name="__MEN2">[1]Jan!#REF!</definedName>
    <definedName name="__MEN3" localSheetId="6">[1]Jan!#REF!</definedName>
    <definedName name="__MEN3" localSheetId="2">[1]Jan!#REF!</definedName>
    <definedName name="__MEN3" localSheetId="0">[1]Jan!#REF!</definedName>
    <definedName name="__MEN3" localSheetId="1">[1]Jan!#REF!</definedName>
    <definedName name="__MEN3" localSheetId="3">[1]Jan!#REF!</definedName>
    <definedName name="__MEN3" localSheetId="4">[1]Jan!#REF!</definedName>
    <definedName name="__MEN3">[1]Jan!#REF!</definedName>
    <definedName name="__TOP1" localSheetId="6">[1]Jan!#REF!</definedName>
    <definedName name="__TOP1" localSheetId="2">[1]Jan!#REF!</definedName>
    <definedName name="__TOP1" localSheetId="0">[1]Jan!#REF!</definedName>
    <definedName name="__TOP1" localSheetId="1">[1]Jan!#REF!</definedName>
    <definedName name="__TOP1" localSheetId="3">[1]Jan!#REF!</definedName>
    <definedName name="__TOP1" localSheetId="4">[1]Jan!#REF!</definedName>
    <definedName name="__TOP1">[1]Jan!#REF!</definedName>
    <definedName name="_3Price_Ta" localSheetId="6">#REF!</definedName>
    <definedName name="_3Price_Ta" localSheetId="2">#REF!</definedName>
    <definedName name="_3Price_Ta" localSheetId="3">#REF!</definedName>
    <definedName name="_3Price_Ta" localSheetId="4">#REF!</definedName>
    <definedName name="_3Price_Ta">#REF!</definedName>
    <definedName name="_5Price_Ta" localSheetId="2">#REF!</definedName>
    <definedName name="_5Price_Ta">#REF!</definedName>
    <definedName name="_B" localSheetId="6">#REF!</definedName>
    <definedName name="_B" localSheetId="2">#REF!</definedName>
    <definedName name="_B" localSheetId="3">#REF!</definedName>
    <definedName name="_B" localSheetId="4">#REF!</definedName>
    <definedName name="_B">#REF!</definedName>
    <definedName name="_BLOCK" localSheetId="6">#REF!</definedName>
    <definedName name="_BLOCK" localSheetId="2">#REF!</definedName>
    <definedName name="_BLOCK" localSheetId="0">#REF!</definedName>
    <definedName name="_BLOCK" localSheetId="1">#REF!</definedName>
    <definedName name="_BLOCK" localSheetId="4">#REF!</definedName>
    <definedName name="_BLOCK">#REF!</definedName>
    <definedName name="_BLOCKT" localSheetId="6">#REF!</definedName>
    <definedName name="_BLOCKT" localSheetId="2">#REF!</definedName>
    <definedName name="_BLOCKT" localSheetId="0">#REF!</definedName>
    <definedName name="_BLOCKT" localSheetId="1">#REF!</definedName>
    <definedName name="_BLOCKT" localSheetId="4">#REF!</definedName>
    <definedName name="_BLOCKT">#REF!</definedName>
    <definedName name="_COMP" localSheetId="6">#REF!</definedName>
    <definedName name="_COMP" localSheetId="2">#REF!</definedName>
    <definedName name="_COMP" localSheetId="0">#REF!</definedName>
    <definedName name="_COMP" localSheetId="1">#REF!</definedName>
    <definedName name="_COMP" localSheetId="4">#REF!</definedName>
    <definedName name="_COMP">#REF!</definedName>
    <definedName name="_COMPR" localSheetId="6">#REF!</definedName>
    <definedName name="_COMPR" localSheetId="2">#REF!</definedName>
    <definedName name="_COMPR" localSheetId="0">#REF!</definedName>
    <definedName name="_COMPR" localSheetId="1">#REF!</definedName>
    <definedName name="_COMPR" localSheetId="4">#REF!</definedName>
    <definedName name="_COMPR">#REF!</definedName>
    <definedName name="_COMPT" localSheetId="6">#REF!</definedName>
    <definedName name="_COMPT" localSheetId="2">#REF!</definedName>
    <definedName name="_COMPT" localSheetId="0">#REF!</definedName>
    <definedName name="_COMPT" localSheetId="1">#REF!</definedName>
    <definedName name="_COMPT" localSheetId="4">#REF!</definedName>
    <definedName name="_COMPT">#REF!</definedName>
    <definedName name="_Dist_Values" localSheetId="1" hidden="1">'Exhibit-RMP(JRS-2)'!#REF!</definedName>
    <definedName name="_Fill" localSheetId="6" hidden="1">#REF!</definedName>
    <definedName name="_Fill" localSheetId="2" hidden="1">#REF!</definedName>
    <definedName name="_Fill" localSheetId="0" hidden="1">#REF!</definedName>
    <definedName name="_Fill" localSheetId="1" hidden="1">'Exhibit-RMP(JRS-2)'!#REF!</definedName>
    <definedName name="_Fill" localSheetId="5" hidden="1">#REF!</definedName>
    <definedName name="_Fill" localSheetId="3" hidden="1">#REF!</definedName>
    <definedName name="_Fill" localSheetId="7" hidden="1">#REF!</definedName>
    <definedName name="_Fill" localSheetId="4" hidden="1">#REF!</definedName>
    <definedName name="_Fill" hidden="1">#REF!</definedName>
    <definedName name="_xlnm._FilterDatabase" localSheetId="1" hidden="1">'Exhibit-RMP(JRS-2)'!#REF!</definedName>
    <definedName name="_j1" localSheetId="7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7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7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7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7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localSheetId="6" hidden="1">#REF!</definedName>
    <definedName name="_Key1" localSheetId="2" hidden="1">#REF!</definedName>
    <definedName name="_Key1" localSheetId="0" hidden="1">#REF!</definedName>
    <definedName name="_Key1" localSheetId="1" hidden="1">#REF!</definedName>
    <definedName name="_Key1" localSheetId="5" hidden="1">#REF!</definedName>
    <definedName name="_Key1" localSheetId="7" hidden="1">#REF!</definedName>
    <definedName name="_Key1" localSheetId="4" hidden="1">#REF!</definedName>
    <definedName name="_Key1" hidden="1">#REF!</definedName>
    <definedName name="_Key2" localSheetId="6" hidden="1">#REF!</definedName>
    <definedName name="_Key2" localSheetId="2" hidden="1">#REF!</definedName>
    <definedName name="_Key2" localSheetId="0" hidden="1">#REF!</definedName>
    <definedName name="_Key2" localSheetId="1" hidden="1">#REF!</definedName>
    <definedName name="_Key2" localSheetId="5" hidden="1">#REF!</definedName>
    <definedName name="_Key2" localSheetId="7" hidden="1">#REF!</definedName>
    <definedName name="_Key2" localSheetId="4" hidden="1">#REF!</definedName>
    <definedName name="_Key2" hidden="1">#REF!</definedName>
    <definedName name="_MEN2" localSheetId="6">[1]Jan!#REF!</definedName>
    <definedName name="_MEN2" localSheetId="2">[1]Jan!#REF!</definedName>
    <definedName name="_MEN2" localSheetId="3">[1]Jan!#REF!</definedName>
    <definedName name="_MEN2" localSheetId="4">[1]Jan!#REF!</definedName>
    <definedName name="_MEN2">[1]Jan!#REF!</definedName>
    <definedName name="_MEN3" localSheetId="6">[1]Jan!#REF!</definedName>
    <definedName name="_MEN3" localSheetId="2">[1]Jan!#REF!</definedName>
    <definedName name="_MEN3" localSheetId="3">[1]Jan!#REF!</definedName>
    <definedName name="_MEN3" localSheetId="4">[1]Jan!#REF!</definedName>
    <definedName name="_MEN3">[1]Jan!#REF!</definedName>
    <definedName name="_Order1" localSheetId="2" hidden="1">255</definedName>
    <definedName name="_Order1" localSheetId="0" hidden="1">255</definedName>
    <definedName name="_Order1" localSheetId="5" hidden="1">255</definedName>
    <definedName name="_Order1" localSheetId="3" hidden="1">255</definedName>
    <definedName name="_Order1" localSheetId="7" hidden="1">255</definedName>
    <definedName name="_Order1" localSheetId="4" hidden="1">255</definedName>
    <definedName name="_Order1" hidden="1">0</definedName>
    <definedName name="_Order2" localSheetId="2" hidden="1">255</definedName>
    <definedName name="_Order2" localSheetId="0" hidden="1">255</definedName>
    <definedName name="_Order2" localSheetId="5" hidden="1">255</definedName>
    <definedName name="_Order2" localSheetId="3" hidden="1">255</definedName>
    <definedName name="_Order2" localSheetId="4" hidden="1">255</definedName>
    <definedName name="_Order2" hidden="1">0</definedName>
    <definedName name="_P" localSheetId="6">#REF!</definedName>
    <definedName name="_P" localSheetId="2">#REF!</definedName>
    <definedName name="_P" localSheetId="3">#REF!</definedName>
    <definedName name="_P" localSheetId="4">#REF!</definedName>
    <definedName name="_P">#REF!</definedName>
    <definedName name="_Regression_Out" localSheetId="2" hidden="1">#REF!</definedName>
    <definedName name="_Regression_Out" localSheetId="0" hidden="1">#REF!</definedName>
    <definedName name="_Regression_Out" localSheetId="1" hidden="1">#REF!</definedName>
    <definedName name="_Regression_Out" hidden="1">#REF!</definedName>
    <definedName name="_Regression_X" localSheetId="2" hidden="1">#REF!</definedName>
    <definedName name="_Regression_X" localSheetId="0" hidden="1">#REF!</definedName>
    <definedName name="_Regression_X" localSheetId="1" hidden="1">#REF!</definedName>
    <definedName name="_Regression_X" hidden="1">#REF!</definedName>
    <definedName name="_Regression_Y" localSheetId="2" hidden="1">#REF!</definedName>
    <definedName name="_Regression_Y" localSheetId="0" hidden="1">#REF!</definedName>
    <definedName name="_Regression_Y" localSheetId="1" hidden="1">#REF!</definedName>
    <definedName name="_Regression_Y" hidden="1">#REF!</definedName>
    <definedName name="_Sort" localSheetId="6" hidden="1">#REF!</definedName>
    <definedName name="_Sort" localSheetId="2" hidden="1">#REF!</definedName>
    <definedName name="_Sort" localSheetId="0" hidden="1">#REF!</definedName>
    <definedName name="_Sort" localSheetId="1" hidden="1">#REF!</definedName>
    <definedName name="_Sort" localSheetId="5" hidden="1">#REF!</definedName>
    <definedName name="_Sort" localSheetId="7" hidden="1">#REF!</definedName>
    <definedName name="_Sort" localSheetId="4" hidden="1">#REF!</definedName>
    <definedName name="_Sort" hidden="1">#REF!</definedName>
    <definedName name="_SPL" localSheetId="6">#REF!</definedName>
    <definedName name="_SPL" localSheetId="2">#REF!</definedName>
    <definedName name="_SPL" localSheetId="0">#REF!</definedName>
    <definedName name="_SPL" localSheetId="1">#REF!</definedName>
    <definedName name="_SPL" localSheetId="4">#REF!</definedName>
    <definedName name="_SPL">#REF!</definedName>
    <definedName name="_TOP1" localSheetId="6">[1]Jan!#REF!</definedName>
    <definedName name="_TOP1" localSheetId="2">[1]Jan!#REF!</definedName>
    <definedName name="_TOP1" localSheetId="3">[1]Jan!#REF!</definedName>
    <definedName name="_TOP1" localSheetId="4">[1]Jan!#REF!</definedName>
    <definedName name="_TOP1">[1]Jan!#REF!</definedName>
    <definedName name="a" localSheetId="6" hidden="1">'[3]DSM Output'!$J$21:$J$23</definedName>
    <definedName name="a" localSheetId="2" hidden="1">#REF!</definedName>
    <definedName name="a" localSheetId="0" hidden="1">#REF!</definedName>
    <definedName name="a" localSheetId="1" hidden="1">#REF!</definedName>
    <definedName name="a" localSheetId="3" hidden="1">#REF!</definedName>
    <definedName name="a" hidden="1">'[3]DSM Output'!$J$21:$J$23</definedName>
    <definedName name="A_36" localSheetId="6">#REF!</definedName>
    <definedName name="A_36" localSheetId="2">#REF!</definedName>
    <definedName name="A_36" localSheetId="3">#REF!</definedName>
    <definedName name="A_36" localSheetId="4">#REF!</definedName>
    <definedName name="A_36">#REF!</definedName>
    <definedName name="ABSTRACT" localSheetId="6">#REF!</definedName>
    <definedName name="ABSTRACT" localSheetId="2">#REF!</definedName>
    <definedName name="ABSTRACT" localSheetId="0">#REF!</definedName>
    <definedName name="ABSTRACT" localSheetId="1">#REF!</definedName>
    <definedName name="ABSTRACT" localSheetId="4">#REF!</definedName>
    <definedName name="ABSTRACT">#REF!</definedName>
    <definedName name="Acct108D_S" localSheetId="5">[4]FuncStudy!$F$2065</definedName>
    <definedName name="Acct108D_S" localSheetId="7">[5]FuncStudy!$F$2065</definedName>
    <definedName name="Acct108D_S">'[6]Func Study'!$H$2448</definedName>
    <definedName name="Acct108D00S" localSheetId="5">[4]FuncStudy!$F$2057</definedName>
    <definedName name="Acct108D00S" localSheetId="7">[5]FuncStudy!$F$2057</definedName>
    <definedName name="Acct108D00S">'[6]Func Study'!$H$2440</definedName>
    <definedName name="Acct108DSS" localSheetId="5">[4]FuncStudy!$F$2061</definedName>
    <definedName name="Acct108DSS" localSheetId="7">[5]FuncStudy!$F$2061</definedName>
    <definedName name="Acct108DSS">'[6]Func Study'!$H$2444</definedName>
    <definedName name="Acct151SE" localSheetId="2">'[6]Func Study'!#REF!</definedName>
    <definedName name="Acct151SE">'[6]Func Study'!#REF!</definedName>
    <definedName name="Acct228.42TROJD" localSheetId="6">'[7]Func Study'!#REF!</definedName>
    <definedName name="Acct228.42TROJD" localSheetId="2">'[7]Func Study'!#REF!</definedName>
    <definedName name="Acct228.42TROJD" localSheetId="5">[4]FuncStudy!$F$1867</definedName>
    <definedName name="Acct228.42TROJD" localSheetId="3">'[7]Func Study'!#REF!</definedName>
    <definedName name="Acct228.42TROJD" localSheetId="7">[5]FuncStudy!$F$1867</definedName>
    <definedName name="Acct228.42TROJD" localSheetId="4">'[7]Func Study'!#REF!</definedName>
    <definedName name="Acct228.42TROJD">'[7]Func Study'!#REF!</definedName>
    <definedName name="ACCT2281" localSheetId="5">[4]FuncStudy!$F$1847</definedName>
    <definedName name="ACCT2281" localSheetId="7">[5]FuncStudy!$F$1847</definedName>
    <definedName name="ACCT2281">'[6]Func Study'!$H$2216</definedName>
    <definedName name="Acct2282" localSheetId="5">[4]FuncStudy!$F$1851</definedName>
    <definedName name="Acct2282" localSheetId="7">[5]FuncStudy!$F$1851</definedName>
    <definedName name="Acct2282">'[6]Func Study'!$H$2220</definedName>
    <definedName name="Acct2283" localSheetId="5">[4]FuncStudy!$F$1855</definedName>
    <definedName name="Acct2283" localSheetId="7">[5]FuncStudy!$F$1855</definedName>
    <definedName name="Acct2283">'[6]Func Study'!$H$2224</definedName>
    <definedName name="Acct2283S" localSheetId="5">[4]FuncStudy!$F$1859</definedName>
    <definedName name="Acct2283S" localSheetId="7">[5]FuncStudy!$F$1859</definedName>
    <definedName name="Acct2283S">'[6]Func Study'!$H$2228</definedName>
    <definedName name="Acct22842" localSheetId="5">[4]FuncStudy!$F$1868</definedName>
    <definedName name="Acct22842" localSheetId="7">[5]FuncStudy!$F$1868</definedName>
    <definedName name="Acct22842">'[6]Func Study'!$H$2237</definedName>
    <definedName name="Acct22842TROJD" localSheetId="6">'[7]Func Study'!#REF!</definedName>
    <definedName name="Acct22842TROJD" localSheetId="2">'[7]Func Study'!#REF!</definedName>
    <definedName name="Acct22842TROJD" localSheetId="3">'[7]Func Study'!#REF!</definedName>
    <definedName name="Acct22842TROJD" localSheetId="4">'[7]Func Study'!#REF!</definedName>
    <definedName name="Acct22842TROJD">'[7]Func Study'!#REF!</definedName>
    <definedName name="Acct228SO" localSheetId="5">[4]FuncStudy!$F$1850</definedName>
    <definedName name="Acct228SO" localSheetId="7">[5]FuncStudy!$F$1850</definedName>
    <definedName name="Acct228SO">'[6]Func Study'!$H$2219</definedName>
    <definedName name="ACCT25398" localSheetId="5">[4]FuncStudy!$F$1880</definedName>
    <definedName name="ACCT25398" localSheetId="7">[5]FuncStudy!$F$1880</definedName>
    <definedName name="ACCT25398">'[6]Func Study'!$H$2249</definedName>
    <definedName name="Acct25399" localSheetId="5">[4]FuncStudy!$F$1887</definedName>
    <definedName name="Acct25399" localSheetId="7">[5]FuncStudy!$F$1887</definedName>
    <definedName name="Acct25399">'[6]Func Study'!$H$2256</definedName>
    <definedName name="Acct254" localSheetId="5">[4]FuncStudy!$F$1864</definedName>
    <definedName name="Acct254" localSheetId="7">[5]FuncStudy!$F$1864</definedName>
    <definedName name="Acct254">'[6]Func Study'!$H$2233</definedName>
    <definedName name="Acct282DITBAL" localSheetId="5">[4]FuncStudy!$F$1912</definedName>
    <definedName name="Acct282DITBAL" localSheetId="7">[5]FuncStudy!$F$1912</definedName>
    <definedName name="Acct282DITBAL">[8]FuncStudy!$F$1912</definedName>
    <definedName name="Acct350" localSheetId="5">[4]FuncStudy!$F$1323</definedName>
    <definedName name="Acct350" localSheetId="7">[5]FuncStudy!$F$1323</definedName>
    <definedName name="Acct350">'[6]Func Study'!$H$1660</definedName>
    <definedName name="Acct352" localSheetId="5">[4]FuncStudy!$F$1330</definedName>
    <definedName name="Acct352" localSheetId="7">[5]FuncStudy!$F$1330</definedName>
    <definedName name="Acct352">'[6]Func Study'!$H$1667</definedName>
    <definedName name="Acct353" localSheetId="5">[4]FuncStudy!$F$1336</definedName>
    <definedName name="Acct353" localSheetId="7">[5]FuncStudy!$F$1336</definedName>
    <definedName name="Acct353">'[6]Func Study'!$H$1673</definedName>
    <definedName name="Acct354" localSheetId="5">[4]FuncStudy!$F$1342</definedName>
    <definedName name="Acct354" localSheetId="7">[5]FuncStudy!$F$1342</definedName>
    <definedName name="Acct354">'[6]Func Study'!$H$1679</definedName>
    <definedName name="Acct355" localSheetId="5">[4]FuncStudy!$F$1348</definedName>
    <definedName name="Acct355" localSheetId="7">[5]FuncStudy!$F$1348</definedName>
    <definedName name="Acct355">'[6]Func Study'!$H$1685</definedName>
    <definedName name="Acct356" localSheetId="5">[4]FuncStudy!$F$1354</definedName>
    <definedName name="Acct356" localSheetId="7">[5]FuncStudy!$F$1354</definedName>
    <definedName name="Acct356">'[6]Func Study'!$H$1691</definedName>
    <definedName name="Acct357" localSheetId="5">[4]FuncStudy!$F$1360</definedName>
    <definedName name="Acct357" localSheetId="7">[5]FuncStudy!$F$1360</definedName>
    <definedName name="Acct357">'[6]Func Study'!$H$1697</definedName>
    <definedName name="Acct358" localSheetId="5">[4]FuncStudy!$F$1366</definedName>
    <definedName name="Acct358" localSheetId="7">[5]FuncStudy!$F$1366</definedName>
    <definedName name="Acct358">'[6]Func Study'!$H$1703</definedName>
    <definedName name="Acct359" localSheetId="5">[4]FuncStudy!$F$1372</definedName>
    <definedName name="Acct359" localSheetId="7">[5]FuncStudy!$F$1372</definedName>
    <definedName name="Acct359">'[6]Func Study'!$H$1709</definedName>
    <definedName name="Acct360" localSheetId="5">[4]FuncStudy!$F$1388</definedName>
    <definedName name="Acct360" localSheetId="7">[5]FuncStudy!$F$1388</definedName>
    <definedName name="Acct360">'[6]Func Study'!$H$1729</definedName>
    <definedName name="Acct361" localSheetId="5">[4]FuncStudy!$F$1394</definedName>
    <definedName name="Acct361" localSheetId="7">[5]FuncStudy!$F$1394</definedName>
    <definedName name="Acct361">'[6]Func Study'!$H$1735</definedName>
    <definedName name="Acct362" localSheetId="5">[4]FuncStudy!$F$1400</definedName>
    <definedName name="Acct362" localSheetId="7">[5]FuncStudy!$F$1400</definedName>
    <definedName name="Acct362">'[6]Func Study'!$H$1741</definedName>
    <definedName name="Acct364" localSheetId="5">[4]FuncStudy!$F$1407</definedName>
    <definedName name="Acct364" localSheetId="7">[5]FuncStudy!$F$1407</definedName>
    <definedName name="Acct364">'[6]Func Study'!$H$1748</definedName>
    <definedName name="Acct365" localSheetId="5">[4]FuncStudy!$F$1414</definedName>
    <definedName name="Acct365" localSheetId="7">[5]FuncStudy!$F$1414</definedName>
    <definedName name="Acct365">'[6]Func Study'!$H$1755</definedName>
    <definedName name="Acct366" localSheetId="5">[4]FuncStudy!$F$1421</definedName>
    <definedName name="Acct366" localSheetId="7">[5]FuncStudy!$F$1421</definedName>
    <definedName name="Acct366">'[6]Func Study'!$H$1762</definedName>
    <definedName name="Acct367" localSheetId="5">[4]FuncStudy!$F$1428</definedName>
    <definedName name="Acct367" localSheetId="7">[5]FuncStudy!$F$1428</definedName>
    <definedName name="Acct367">'[6]Func Study'!$H$1769</definedName>
    <definedName name="Acct368" localSheetId="5">[4]FuncStudy!$F$1434</definedName>
    <definedName name="Acct368" localSheetId="7">[5]FuncStudy!$F$1434</definedName>
    <definedName name="Acct368">'[6]Func Study'!$H$1775</definedName>
    <definedName name="Acct369" localSheetId="5">[4]FuncStudy!$F$1441</definedName>
    <definedName name="Acct369" localSheetId="7">[5]FuncStudy!$F$1441</definedName>
    <definedName name="Acct369">'[6]Func Study'!$H$1782</definedName>
    <definedName name="Acct370" localSheetId="5">[4]FuncStudy!$F$1447</definedName>
    <definedName name="Acct370" localSheetId="7">[5]FuncStudy!$F$1447</definedName>
    <definedName name="Acct370">'[6]Func Study'!$H$1793</definedName>
    <definedName name="Acct371" localSheetId="5">[4]FuncStudy!$F$1454</definedName>
    <definedName name="Acct371" localSheetId="7">[5]FuncStudy!$F$1454</definedName>
    <definedName name="Acct371">'[6]Func Study'!$H$1800</definedName>
    <definedName name="Acct372" localSheetId="5">[4]FuncStudy!$F$1461</definedName>
    <definedName name="Acct372" localSheetId="7">[5]FuncStudy!$F$1461</definedName>
    <definedName name="Acct372">'[6]Func Study'!$H$1807</definedName>
    <definedName name="Acct372A" localSheetId="5">[4]FuncStudy!$F$1460</definedName>
    <definedName name="Acct372A" localSheetId="7">[5]FuncStudy!$F$1460</definedName>
    <definedName name="Acct372A">'[6]Func Study'!$H$1806</definedName>
    <definedName name="Acct372DP" localSheetId="5">[4]FuncStudy!$F$1458</definedName>
    <definedName name="Acct372DP" localSheetId="7">[5]FuncStudy!$F$1458</definedName>
    <definedName name="Acct372DP">'[6]Func Study'!$H$1804</definedName>
    <definedName name="Acct372DS" localSheetId="5">[4]FuncStudy!$F$1459</definedName>
    <definedName name="Acct372DS" localSheetId="7">[5]FuncStudy!$F$1459</definedName>
    <definedName name="Acct372DS">'[6]Func Study'!$H$1805</definedName>
    <definedName name="Acct373" localSheetId="5">[4]FuncStudy!$F$1467</definedName>
    <definedName name="Acct373" localSheetId="7">[5]FuncStudy!$F$1467</definedName>
    <definedName name="Acct373">'[6]Func Study'!$H$1813</definedName>
    <definedName name="Acct403HPSG" localSheetId="2">'[6]Func Study'!#REF!</definedName>
    <definedName name="Acct403HPSG">'[6]Func Study'!#REF!</definedName>
    <definedName name="Acct444S" localSheetId="5">[4]FuncStudy!$F$105</definedName>
    <definedName name="Acct444S" localSheetId="7">[5]FuncStudy!$F$105</definedName>
    <definedName name="Acct444S">'[6]Func Study'!$H$264</definedName>
    <definedName name="Acct447DGU" localSheetId="6">'[7]Func Study'!#REF!</definedName>
    <definedName name="Acct447DGU" localSheetId="2">'[7]Func Study'!#REF!</definedName>
    <definedName name="Acct447DGU" localSheetId="3">'[7]Func Study'!#REF!</definedName>
    <definedName name="Acct447DGU" localSheetId="4">'[7]Func Study'!#REF!</definedName>
    <definedName name="Acct447DGU">'[7]Func Study'!#REF!</definedName>
    <definedName name="Acct448S" localSheetId="5">[4]FuncStudy!$F$114</definedName>
    <definedName name="Acct448S" localSheetId="7">[5]FuncStudy!$F$114</definedName>
    <definedName name="Acct448S">'[6]Func Study'!$H$273</definedName>
    <definedName name="Acct450S" localSheetId="5">[4]FuncStudy!$F$138</definedName>
    <definedName name="Acct450S" localSheetId="7">[5]FuncStudy!$F$138</definedName>
    <definedName name="Acct450S">'[6]Func Study'!$H$297</definedName>
    <definedName name="Acct451S" localSheetId="5">[4]FuncStudy!$F$143</definedName>
    <definedName name="Acct451S" localSheetId="7">[5]FuncStudy!$F$143</definedName>
    <definedName name="Acct451S">'[6]Func Study'!$H$302</definedName>
    <definedName name="Acct454S" localSheetId="5">[4]FuncStudy!$F$153</definedName>
    <definedName name="Acct454S" localSheetId="7">[5]FuncStudy!$F$153</definedName>
    <definedName name="Acct454S">'[6]Func Study'!$H$312</definedName>
    <definedName name="Acct456S" localSheetId="5">[4]FuncStudy!$F$159</definedName>
    <definedName name="Acct456S" localSheetId="7">[5]FuncStudy!$F$159</definedName>
    <definedName name="Acct456S">'[6]Func Study'!$H$318</definedName>
    <definedName name="Acct502DNPPSU" localSheetId="2">'[6]Func Study'!#REF!</definedName>
    <definedName name="Acct502DNPPSU">'[6]Func Study'!#REF!</definedName>
    <definedName name="Acct580" localSheetId="5">[4]FuncStudy!$F$536</definedName>
    <definedName name="Acct580" localSheetId="7">[5]FuncStudy!$F$536</definedName>
    <definedName name="Acct580">'[6]Func Study'!$H$748</definedName>
    <definedName name="Acct581" localSheetId="5">[4]FuncStudy!$F$541</definedName>
    <definedName name="Acct581" localSheetId="7">[5]FuncStudy!$F$541</definedName>
    <definedName name="Acct581">'[6]Func Study'!$H$753</definedName>
    <definedName name="Acct582" localSheetId="5">[4]FuncStudy!$F$546</definedName>
    <definedName name="Acct582" localSheetId="7">[5]FuncStudy!$F$546</definedName>
    <definedName name="Acct582">'[6]Func Study'!$H$758</definedName>
    <definedName name="Acct583" localSheetId="5">[4]FuncStudy!$F$551</definedName>
    <definedName name="Acct583" localSheetId="7">[5]FuncStudy!$F$551</definedName>
    <definedName name="Acct583">'[6]Func Study'!$H$763</definedName>
    <definedName name="Acct584" localSheetId="5">[4]FuncStudy!$F$556</definedName>
    <definedName name="Acct584" localSheetId="7">[5]FuncStudy!$F$556</definedName>
    <definedName name="Acct584">'[6]Func Study'!$H$768</definedName>
    <definedName name="Acct585" localSheetId="5">[4]FuncStudy!$F$561</definedName>
    <definedName name="Acct585" localSheetId="7">[5]FuncStudy!$F$561</definedName>
    <definedName name="Acct585">'[6]Func Study'!$H$773</definedName>
    <definedName name="Acct586" localSheetId="5">[4]FuncStudy!$F$566</definedName>
    <definedName name="Acct586" localSheetId="7">[5]FuncStudy!$F$566</definedName>
    <definedName name="Acct586">'[6]Func Study'!$H$778</definedName>
    <definedName name="Acct587" localSheetId="5">[4]FuncStudy!$F$571</definedName>
    <definedName name="Acct587" localSheetId="7">[5]FuncStudy!$F$571</definedName>
    <definedName name="Acct587">'[6]Func Study'!$H$783</definedName>
    <definedName name="Acct588" localSheetId="5">[4]FuncStudy!$F$576</definedName>
    <definedName name="Acct588" localSheetId="7">[5]FuncStudy!$F$576</definedName>
    <definedName name="Acct588">'[6]Func Study'!$H$788</definedName>
    <definedName name="Acct589" localSheetId="5">[4]FuncStudy!$F$581</definedName>
    <definedName name="Acct589" localSheetId="7">[5]FuncStudy!$F$581</definedName>
    <definedName name="Acct589">'[6]Func Study'!$H$793</definedName>
    <definedName name="Acct590" localSheetId="5">[4]FuncStudy!$F$586</definedName>
    <definedName name="Acct590" localSheetId="7">[5]FuncStudy!$F$586</definedName>
    <definedName name="Acct590">'[6]Func Study'!$H$798</definedName>
    <definedName name="Acct591" localSheetId="5">[4]FuncStudy!$F$591</definedName>
    <definedName name="Acct591" localSheetId="7">[5]FuncStudy!$F$591</definedName>
    <definedName name="Acct591">'[6]Func Study'!$H$803</definedName>
    <definedName name="Acct592" localSheetId="5">[4]FuncStudy!$F$596</definedName>
    <definedName name="Acct592" localSheetId="7">[5]FuncStudy!$F$596</definedName>
    <definedName name="Acct592">'[6]Func Study'!$H$808</definedName>
    <definedName name="Acct593" localSheetId="5">[4]FuncStudy!$F$601</definedName>
    <definedName name="Acct593" localSheetId="7">[5]FuncStudy!$F$601</definedName>
    <definedName name="Acct593">'[6]Func Study'!$H$813</definedName>
    <definedName name="Acct594" localSheetId="5">[4]FuncStudy!$F$606</definedName>
    <definedName name="Acct594" localSheetId="7">[5]FuncStudy!$F$606</definedName>
    <definedName name="Acct594">'[6]Func Study'!$H$818</definedName>
    <definedName name="Acct595" localSheetId="5">[4]FuncStudy!$F$611</definedName>
    <definedName name="Acct595" localSheetId="7">[5]FuncStudy!$F$611</definedName>
    <definedName name="Acct595">'[6]Func Study'!$H$823</definedName>
    <definedName name="Acct596" localSheetId="5">[4]FuncStudy!$F$616</definedName>
    <definedName name="Acct596" localSheetId="7">[5]FuncStudy!$F$616</definedName>
    <definedName name="Acct596">'[6]Func Study'!$H$833</definedName>
    <definedName name="Acct597" localSheetId="5">[4]FuncStudy!$F$621</definedName>
    <definedName name="Acct597" localSheetId="7">[5]FuncStudy!$F$621</definedName>
    <definedName name="Acct597">'[6]Func Study'!$H$838</definedName>
    <definedName name="Acct598" localSheetId="5">[4]FuncStudy!$F$626</definedName>
    <definedName name="Acct598" localSheetId="7">[5]FuncStudy!$F$626</definedName>
    <definedName name="Acct598">'[6]Func Study'!$H$843</definedName>
    <definedName name="Acct928RE" localSheetId="5">[4]FuncStudy!$F$749</definedName>
    <definedName name="Acct928RE" localSheetId="7">[5]FuncStudy!$F$749</definedName>
    <definedName name="Acct928RE">'[6]Func Study'!$H$983</definedName>
    <definedName name="AcctAGA" localSheetId="5">[4]FuncStudy!$F$132</definedName>
    <definedName name="AcctAGA" localSheetId="7">[5]FuncStudy!$F$132</definedName>
    <definedName name="AcctAGA">'[6]Func Study'!$H$291</definedName>
    <definedName name="AcctFIT">'[6]Func Study'!$H$1422</definedName>
    <definedName name="AcctTable">[9]Variables!$AK$42:$AK$396</definedName>
    <definedName name="AcctTS0" localSheetId="5">[4]FuncStudy!$F$1380</definedName>
    <definedName name="AcctTS0" localSheetId="7">[5]FuncStudy!$F$1380</definedName>
    <definedName name="AcctTS0">'[6]Func Study'!$H$1717</definedName>
    <definedName name="ActualROE">[8]FuncStudy!$E$61</definedName>
    <definedName name="ActualROR" localSheetId="5">NPCAllocator!#REF!</definedName>
    <definedName name="ActualROR" localSheetId="7">#REF!</definedName>
    <definedName name="actualror">[10]WorkArea!$F$86</definedName>
    <definedName name="ACYear">[11]Variables!$C$13</definedName>
    <definedName name="Adjs2avg">[12]Inputs!$L$255:'[12]Inputs'!$T$505</definedName>
    <definedName name="ALL" localSheetId="6">#REF!</definedName>
    <definedName name="ALL" localSheetId="2">#REF!</definedName>
    <definedName name="ALL" localSheetId="3">#REF!</definedName>
    <definedName name="ALL" localSheetId="4">#REF!</definedName>
    <definedName name="ALL">#REF!</definedName>
    <definedName name="all_months" localSheetId="6">#REF!</definedName>
    <definedName name="all_months" localSheetId="2">#REF!</definedName>
    <definedName name="all_months" localSheetId="4">#REF!</definedName>
    <definedName name="all_months">#REF!</definedName>
    <definedName name="APR" localSheetId="6">#REF!</definedName>
    <definedName name="APR" localSheetId="2">#REF!</definedName>
    <definedName name="APR" localSheetId="3">#REF!</definedName>
    <definedName name="APR" localSheetId="4">#REF!</definedName>
    <definedName name="APR">#REF!</definedName>
    <definedName name="APRT" localSheetId="6">#REF!</definedName>
    <definedName name="APRT" localSheetId="2">#REF!</definedName>
    <definedName name="APRT" localSheetId="4">#REF!</definedName>
    <definedName name="APRT">#REF!</definedName>
    <definedName name="AT_48" localSheetId="6">#REF!</definedName>
    <definedName name="AT_48" localSheetId="2">#REF!</definedName>
    <definedName name="AT_48" localSheetId="4">#REF!</definedName>
    <definedName name="AT_48">#REF!</definedName>
    <definedName name="AUG" localSheetId="6">#REF!</definedName>
    <definedName name="AUG" localSheetId="2">#REF!</definedName>
    <definedName name="AUG" localSheetId="3">#REF!</definedName>
    <definedName name="AUG" localSheetId="4">#REF!</definedName>
    <definedName name="AUG">#REF!</definedName>
    <definedName name="AUGT" localSheetId="6">#REF!</definedName>
    <definedName name="AUGT" localSheetId="2">#REF!</definedName>
    <definedName name="AUGT" localSheetId="4">#REF!</definedName>
    <definedName name="AUGT">#REF!</definedName>
    <definedName name="AvgFactors">[9]Factors!$B$3:$P$99</definedName>
    <definedName name="AVOIDED_COSTS">'[13]Avoided Costs'!$A$3:$G$38</definedName>
    <definedName name="AvoidedCosts">'[11]Avoided Costs'!$A$3:$G$35</definedName>
    <definedName name="BACK1" localSheetId="6">#REF!</definedName>
    <definedName name="BACK1" localSheetId="2">#REF!</definedName>
    <definedName name="BACK1" localSheetId="3">#REF!</definedName>
    <definedName name="BACK1" localSheetId="4">#REF!</definedName>
    <definedName name="BACK1">#REF!</definedName>
    <definedName name="BACK2" localSheetId="6">#REF!</definedName>
    <definedName name="BACK2" localSheetId="2">#REF!</definedName>
    <definedName name="BACK2" localSheetId="4">#REF!</definedName>
    <definedName name="BACK2">#REF!</definedName>
    <definedName name="BACK3" localSheetId="6">#REF!</definedName>
    <definedName name="BACK3" localSheetId="2">#REF!</definedName>
    <definedName name="BACK3" localSheetId="4">#REF!</definedName>
    <definedName name="BACK3">#REF!</definedName>
    <definedName name="BACKUP1" localSheetId="6">#REF!</definedName>
    <definedName name="BACKUP1" localSheetId="2">#REF!</definedName>
    <definedName name="BACKUP1" localSheetId="4">#REF!</definedName>
    <definedName name="BACKUP1">#REF!</definedName>
    <definedName name="Baseline" localSheetId="6">#REF!</definedName>
    <definedName name="Baseline" localSheetId="2">#REF!</definedName>
    <definedName name="Baseline" localSheetId="4">#REF!</definedName>
    <definedName name="Baseline">#REF!</definedName>
    <definedName name="BLOCK" localSheetId="6">#REF!</definedName>
    <definedName name="BLOCK" localSheetId="2">#REF!</definedName>
    <definedName name="BLOCK" localSheetId="4">#REF!</definedName>
    <definedName name="BLOCK">#REF!</definedName>
    <definedName name="BLOCKTOP" localSheetId="6">#REF!</definedName>
    <definedName name="BLOCKTOP" localSheetId="2">#REF!</definedName>
    <definedName name="BLOCKTOP" localSheetId="4">#REF!</definedName>
    <definedName name="BLOCKTOP">#REF!</definedName>
    <definedName name="BOOKADJ" localSheetId="6">#REF!</definedName>
    <definedName name="BOOKADJ" localSheetId="2">#REF!</definedName>
    <definedName name="BOOKADJ" localSheetId="4">#REF!</definedName>
    <definedName name="BOOKADJ">#REF!</definedName>
    <definedName name="cap">[14]Readings!$B$2</definedName>
    <definedName name="Capacity" localSheetId="6">#REF!</definedName>
    <definedName name="Capacity" localSheetId="2">#REF!</definedName>
    <definedName name="Capacity" localSheetId="0">#REF!</definedName>
    <definedName name="Capacity" localSheetId="1">#REF!</definedName>
    <definedName name="Capacity" localSheetId="3">#REF!</definedName>
    <definedName name="Capacity" localSheetId="4">#REF!</definedName>
    <definedName name="Capacity">#REF!</definedName>
    <definedName name="cgf" localSheetId="7" hidden="1">{"PRINT",#N/A,TRUE,"APPA";"PRINT",#N/A,TRUE,"APS";"PRINT",#N/A,TRUE,"BHPL";"PRINT",#N/A,TRUE,"BHPL2";"PRINT",#N/A,TRUE,"CDWR";"PRINT",#N/A,TRUE,"EWEB";"PRINT",#N/A,TRUE,"LADWP";"PRINT",#N/A,TRUE,"NEVBASE"}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heck" localSheetId="6">#REF!</definedName>
    <definedName name="Check" localSheetId="2">#REF!</definedName>
    <definedName name="Check" localSheetId="3">#REF!</definedName>
    <definedName name="Check" localSheetId="4">#REF!</definedName>
    <definedName name="Check">#REF!</definedName>
    <definedName name="Classification" localSheetId="5">[4]FuncStudy!$Y$91</definedName>
    <definedName name="Classification" localSheetId="7">[5]FuncStudy!$Y$91</definedName>
    <definedName name="Classification">'[6]Func Study'!$AB$251</definedName>
    <definedName name="COMADJ" localSheetId="6">#REF!</definedName>
    <definedName name="COMADJ" localSheetId="2">#REF!</definedName>
    <definedName name="COMADJ" localSheetId="3">#REF!</definedName>
    <definedName name="COMADJ" localSheetId="4">#REF!</definedName>
    <definedName name="COMADJ">#REF!</definedName>
    <definedName name="Comn">[15]Inputs!$K$21</definedName>
    <definedName name="COMP" localSheetId="6">#REF!</definedName>
    <definedName name="COMP" localSheetId="2">#REF!</definedName>
    <definedName name="COMP" localSheetId="3">#REF!</definedName>
    <definedName name="COMP" localSheetId="4">#REF!</definedName>
    <definedName name="COMP">#REF!</definedName>
    <definedName name="COMPACTUAL" localSheetId="6">#REF!</definedName>
    <definedName name="COMPACTUAL" localSheetId="2">#REF!</definedName>
    <definedName name="COMPACTUAL" localSheetId="4">#REF!</definedName>
    <definedName name="COMPACTUAL">#REF!</definedName>
    <definedName name="COMPT" localSheetId="6">#REF!</definedName>
    <definedName name="COMPT" localSheetId="2">#REF!</definedName>
    <definedName name="COMPT" localSheetId="4">#REF!</definedName>
    <definedName name="COMPT">#REF!</definedName>
    <definedName name="COMPWEATHER" localSheetId="6">#REF!</definedName>
    <definedName name="COMPWEATHER" localSheetId="2">#REF!</definedName>
    <definedName name="COMPWEATHER" localSheetId="4">#REF!</definedName>
    <definedName name="COMPWEATHER">#REF!</definedName>
    <definedName name="ContractTypeDol" localSheetId="7">'[16]Check Dollars'!$R$258:$S$643</definedName>
    <definedName name="ContractTypeDol">'[17]Check Dollars'!$R$258:$S$643</definedName>
    <definedName name="ContractTypeMWh" localSheetId="7">'[16]Check MWh'!$R$258:$S$643</definedName>
    <definedName name="ContractTypeMWh">'[17]Check MWh'!$R$258:$S$643</definedName>
    <definedName name="copy" localSheetId="2" hidden="1">#REF!</definedName>
    <definedName name="copy" hidden="1">#REF!</definedName>
    <definedName name="COSFacVal" localSheetId="5">[4]Inputs!$W$11</definedName>
    <definedName name="COSFacVal" localSheetId="7">[5]Inputs!$W$11</definedName>
    <definedName name="COSFacVal">[6]Inputs!$W$11</definedName>
    <definedName name="Cust_Exp_Acct_903" localSheetId="2">#REF!</definedName>
    <definedName name="Cust_Exp_Acct_903" localSheetId="4">#REF!</definedName>
    <definedName name="Cust_Exp_Acct_903">#REF!</definedName>
    <definedName name="_xlnm.Database" localSheetId="6">[18]Invoice!#REF!</definedName>
    <definedName name="_xlnm.Database" localSheetId="2">[18]Invoice!#REF!</definedName>
    <definedName name="_xlnm.Database" localSheetId="0">[18]Invoice!#REF!</definedName>
    <definedName name="_xlnm.Database" localSheetId="1">[18]Invoice!#REF!</definedName>
    <definedName name="_xlnm.Database" localSheetId="4">[18]Invoice!#REF!</definedName>
    <definedName name="_xlnm.Database">[18]Invoice!#REF!</definedName>
    <definedName name="DATE" localSheetId="6">[19]Jan!#REF!</definedName>
    <definedName name="DATE" localSheetId="2">[19]Jan!#REF!</definedName>
    <definedName name="DATE" localSheetId="4">[19]Jan!#REF!</definedName>
    <definedName name="DATE">[19]Jan!#REF!</definedName>
    <definedName name="Debt_">[15]Inputs!$K$19</definedName>
    <definedName name="DEC" localSheetId="6">#REF!</definedName>
    <definedName name="DEC" localSheetId="2">#REF!</definedName>
    <definedName name="DEC" localSheetId="3">#REF!</definedName>
    <definedName name="DEC" localSheetId="4">#REF!</definedName>
    <definedName name="DEC">#REF!</definedName>
    <definedName name="DECT" localSheetId="6">#REF!</definedName>
    <definedName name="DECT" localSheetId="2">#REF!</definedName>
    <definedName name="DECT" localSheetId="4">#REF!</definedName>
    <definedName name="DECT">#REF!</definedName>
    <definedName name="Demand" localSheetId="5">[20]Inputs!$D$9</definedName>
    <definedName name="Demand" localSheetId="7">[21]Inputs!$D$9</definedName>
    <definedName name="Demand">[7]Inputs!$D$8</definedName>
    <definedName name="Demand2" localSheetId="5">[4]Inputs!$D$10</definedName>
    <definedName name="Demand2" localSheetId="7">[5]Inputs!$D$10</definedName>
    <definedName name="Demand2">[6]Inputs!$D$10</definedName>
    <definedName name="Dis" localSheetId="5">[4]FuncStudy!$Y$90</definedName>
    <definedName name="Dis" localSheetId="7">[5]FuncStudy!$Y$90</definedName>
    <definedName name="Dis">'[6]Func Study'!$AB$250</definedName>
    <definedName name="DisFac" localSheetId="5">'[4]Func Dist Factor Table'!$A$11:$G$25</definedName>
    <definedName name="DisFac" localSheetId="7">'[5]Func Dist Factor Table'!$A$11:$G$25</definedName>
    <definedName name="DisFac">'[6]Func Dist Factor Table'!$A$11:$G$25</definedName>
    <definedName name="DispatchSum">"GRID Thermal Generation!R2C1:R4C2"</definedName>
    <definedName name="Dist_factor" localSheetId="6">#REF!</definedName>
    <definedName name="Dist_factor" localSheetId="2">#REF!</definedName>
    <definedName name="Dist_factor" localSheetId="3">#REF!</definedName>
    <definedName name="Dist_factor" localSheetId="4">#REF!</definedName>
    <definedName name="Dist_factor">#REF!</definedName>
    <definedName name="DistSub_Year1">[11]Variables!$C$23</definedName>
    <definedName name="DistSub_Year2">[11]Variables!$D$23</definedName>
    <definedName name="DISTSUB_YR1">[13]Variables!$C$23</definedName>
    <definedName name="DISTSUB_YR2">[13]Variables!$D$23</definedName>
    <definedName name="dsd" localSheetId="2" hidden="1">[3]Inputs!#REF!</definedName>
    <definedName name="dsd" hidden="1">[3]Inputs!#REF!</definedName>
    <definedName name="DUDE" localSheetId="6" hidden="1">#REF!</definedName>
    <definedName name="DUDE" localSheetId="2" hidden="1">#REF!</definedName>
    <definedName name="DUDE" localSheetId="3" hidden="1">#REF!</definedName>
    <definedName name="DUDE" localSheetId="4" hidden="1">#REF!</definedName>
    <definedName name="DUDE" hidden="1">#REF!</definedName>
    <definedName name="energy">[14]Readings!$B$3</definedName>
    <definedName name="Engy">[7]Inputs!$D$9</definedName>
    <definedName name="EscalationRegion">[11]Variables!$C$12</definedName>
    <definedName name="f101top" localSheetId="6">#REF!</definedName>
    <definedName name="f101top" localSheetId="2">#REF!</definedName>
    <definedName name="f101top" localSheetId="3">#REF!</definedName>
    <definedName name="f101top" localSheetId="4">#REF!</definedName>
    <definedName name="f101top">#REF!</definedName>
    <definedName name="f104top" localSheetId="6">#REF!</definedName>
    <definedName name="f104top" localSheetId="2">#REF!</definedName>
    <definedName name="f104top" localSheetId="4">#REF!</definedName>
    <definedName name="f104top">#REF!</definedName>
    <definedName name="f138top" localSheetId="6">#REF!</definedName>
    <definedName name="f138top" localSheetId="2">#REF!</definedName>
    <definedName name="f138top" localSheetId="4">#REF!</definedName>
    <definedName name="f138top">#REF!</definedName>
    <definedName name="f140top" localSheetId="6">#REF!</definedName>
    <definedName name="f140top" localSheetId="2">#REF!</definedName>
    <definedName name="f140top" localSheetId="4">#REF!</definedName>
    <definedName name="f140top">#REF!</definedName>
    <definedName name="Factorck" localSheetId="5">'[4]COS Factor Table'!$Q$15:$Q$136</definedName>
    <definedName name="Factorck" localSheetId="7">'[5]COS Factor Table'!$Q$15:$Q$136</definedName>
    <definedName name="Factorck">'[6]COS Factor Table'!$S$15:$S$145</definedName>
    <definedName name="Factors3" localSheetId="2">#REF!</definedName>
    <definedName name="Factors3" localSheetId="4">#REF!</definedName>
    <definedName name="Factors3">#REF!</definedName>
    <definedName name="FactorType">[9]Variables!$AK$2:$AL$12</definedName>
    <definedName name="FACTP" localSheetId="6">#REF!</definedName>
    <definedName name="FACTP" localSheetId="2">#REF!</definedName>
    <definedName name="FACTP" localSheetId="3">#REF!</definedName>
    <definedName name="FACTP" localSheetId="4">#REF!</definedName>
    <definedName name="FACTP">#REF!</definedName>
    <definedName name="FactSum" localSheetId="5">'[4]COS Factor Table'!$A$14:$Q$137</definedName>
    <definedName name="FactSum" localSheetId="7">'[5]COS Factor Table'!$A$14:$Q$137</definedName>
    <definedName name="FactSum">'[6]COS Factor Table'!$A$14:$S$146</definedName>
    <definedName name="FEB" localSheetId="6">#REF!</definedName>
    <definedName name="FEB" localSheetId="2">#REF!</definedName>
    <definedName name="FEB" localSheetId="3">#REF!</definedName>
    <definedName name="FEB" localSheetId="4">#REF!</definedName>
    <definedName name="FEB">#REF!</definedName>
    <definedName name="FEBT" localSheetId="6">#REF!</definedName>
    <definedName name="FEBT" localSheetId="2">#REF!</definedName>
    <definedName name="FEBT" localSheetId="4">#REF!</definedName>
    <definedName name="FEBT">#REF!</definedName>
    <definedName name="FIX" localSheetId="6">#REF!</definedName>
    <definedName name="FIX" localSheetId="2">#REF!</definedName>
    <definedName name="FIX" localSheetId="0">#REF!</definedName>
    <definedName name="FIX" localSheetId="1">#REF!</definedName>
    <definedName name="FIX" localSheetId="4">#REF!</definedName>
    <definedName name="FIX">#REF!</definedName>
    <definedName name="FranchiseTax">[12]Variables!$D$26</definedName>
    <definedName name="friend" localSheetId="7" hidden="1">{"PRINT",#N/A,TRUE,"APPA";"PRINT",#N/A,TRUE,"APS";"PRINT",#N/A,TRUE,"BHPL";"PRINT",#N/A,TRUE,"BHPL2";"PRINT",#N/A,TRUE,"CDWR";"PRINT",#N/A,TRUE,"EWEB";"PRINT",#N/A,TRUE,"LADWP";"PRINT",#N/A,TRUE,"NEVBASE"}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Func" localSheetId="5">'[4]Func Factor Table'!$A$10:$H$76</definedName>
    <definedName name="Func" localSheetId="7">'[5]Func Factor Table'!$A$10:$H$76</definedName>
    <definedName name="Func">'[6]Func Factor Table'!$A$10:$H$78</definedName>
    <definedName name="Func_Ftrs" localSheetId="6">#REF!</definedName>
    <definedName name="Func_Ftrs" localSheetId="2">#REF!</definedName>
    <definedName name="Func_Ftrs" localSheetId="3">#REF!</definedName>
    <definedName name="Func_Ftrs" localSheetId="4">#REF!</definedName>
    <definedName name="Func_Ftrs">#REF!</definedName>
    <definedName name="Func_GTD_Percents" localSheetId="6">#REF!</definedName>
    <definedName name="Func_GTD_Percents" localSheetId="2">#REF!</definedName>
    <definedName name="Func_GTD_Percents" localSheetId="4">#REF!</definedName>
    <definedName name="Func_GTD_Percents">#REF!</definedName>
    <definedName name="Func_MC" localSheetId="6">#REF!</definedName>
    <definedName name="Func_MC" localSheetId="2">#REF!</definedName>
    <definedName name="Func_MC" localSheetId="4">#REF!</definedName>
    <definedName name="Func_MC">#REF!</definedName>
    <definedName name="Func_Percents" localSheetId="6">#REF!</definedName>
    <definedName name="Func_Percents" localSheetId="2">#REF!</definedName>
    <definedName name="Func_Percents" localSheetId="4">#REF!</definedName>
    <definedName name="Func_Percents">#REF!</definedName>
    <definedName name="Func_Rev_Req1" localSheetId="6">#REF!</definedName>
    <definedName name="Func_Rev_Req1" localSheetId="2">#REF!</definedName>
    <definedName name="Func_Rev_Req1" localSheetId="4">#REF!</definedName>
    <definedName name="Func_Rev_Req1">#REF!</definedName>
    <definedName name="Func_Rev_Req2" localSheetId="6">#REF!</definedName>
    <definedName name="Func_Rev_Req2" localSheetId="2">#REF!</definedName>
    <definedName name="Func_Rev_Req2" localSheetId="4">#REF!</definedName>
    <definedName name="Func_Rev_Req2">#REF!</definedName>
    <definedName name="Func_Revenue" localSheetId="6">#REF!</definedName>
    <definedName name="Func_Revenue" localSheetId="2">#REF!</definedName>
    <definedName name="Func_Revenue" localSheetId="4">#REF!</definedName>
    <definedName name="Func_Revenue">#REF!</definedName>
    <definedName name="Function" localSheetId="5">[4]FuncStudy!$Y$90</definedName>
    <definedName name="Function" localSheetId="7">[5]FuncStudy!$Y$90</definedName>
    <definedName name="Function">'[6]Func Study'!$AB$250</definedName>
    <definedName name="GREATER10MW" localSheetId="6">#REF!</definedName>
    <definedName name="GREATER10MW" localSheetId="2">#REF!</definedName>
    <definedName name="GREATER10MW" localSheetId="3">#REF!</definedName>
    <definedName name="GREATER10MW" localSheetId="4">#REF!</definedName>
    <definedName name="GREATER10MW">#REF!</definedName>
    <definedName name="GTD_Percents" localSheetId="6">#REF!</definedName>
    <definedName name="GTD_Percents" localSheetId="2">#REF!</definedName>
    <definedName name="GTD_Percents" localSheetId="4">#REF!</definedName>
    <definedName name="GTD_Percents">#REF!</definedName>
    <definedName name="HEIGHT" localSheetId="6">#REF!</definedName>
    <definedName name="HEIGHT" localSheetId="2">#REF!</definedName>
    <definedName name="HEIGHT" localSheetId="4">#REF!</definedName>
    <definedName name="HEIGHT">#REF!</definedName>
    <definedName name="ID_0303_RVN_data" localSheetId="6">#REF!</definedName>
    <definedName name="ID_0303_RVN_data" localSheetId="2">#REF!</definedName>
    <definedName name="ID_0303_RVN_data" localSheetId="4">#REF!</definedName>
    <definedName name="ID_0303_RVN_data">#REF!</definedName>
    <definedName name="IDcontractsRVN" localSheetId="6">#REF!</definedName>
    <definedName name="IDcontractsRVN" localSheetId="2">#REF!</definedName>
    <definedName name="IDcontractsRVN" localSheetId="4">#REF!</definedName>
    <definedName name="IDcontractsRVN">#REF!</definedName>
    <definedName name="IncomeTaxOptVal" localSheetId="5">[20]Inputs!$Y$11</definedName>
    <definedName name="IncomeTaxOptVal" localSheetId="7">[21]Inputs!$Y$11</definedName>
    <definedName name="IncomeTaxOptVal">[15]Inputs!$Y$11</definedName>
    <definedName name="INDADJ" localSheetId="6">#REF!</definedName>
    <definedName name="INDADJ" localSheetId="2">#REF!</definedName>
    <definedName name="INDADJ" localSheetId="3">#REF!</definedName>
    <definedName name="INDADJ" localSheetId="4">#REF!</definedName>
    <definedName name="INDADJ">#REF!</definedName>
    <definedName name="INPUT" localSheetId="6">[22]Summary!#REF!</definedName>
    <definedName name="INPUT" localSheetId="2">[22]Summary!#REF!</definedName>
    <definedName name="INPUT" localSheetId="3">[22]Summary!#REF!</definedName>
    <definedName name="INPUT" localSheetId="4">[22]Summary!#REF!</definedName>
    <definedName name="INPUT">[22]Summary!#REF!</definedName>
    <definedName name="Instructions" localSheetId="6">#REF!</definedName>
    <definedName name="Instructions" localSheetId="2">#REF!</definedName>
    <definedName name="Instructions" localSheetId="3">#REF!</definedName>
    <definedName name="Instructions" localSheetId="4">#REF!</definedName>
    <definedName name="Instructions">#REF!</definedName>
    <definedName name="IRR" localSheetId="6">#REF!</definedName>
    <definedName name="IRR" localSheetId="2">#REF!</definedName>
    <definedName name="IRR" localSheetId="4">#REF!</definedName>
    <definedName name="IRR">#REF!</definedName>
    <definedName name="IRRIGATION" localSheetId="6">#REF!</definedName>
    <definedName name="IRRIGATION" localSheetId="2">#REF!</definedName>
    <definedName name="IRRIGATION" localSheetId="0">#REF!</definedName>
    <definedName name="IRRIGATION" localSheetId="1">#REF!</definedName>
    <definedName name="IRRIGATION" localSheetId="4">#REF!</definedName>
    <definedName name="IRRIGATION">#REF!</definedName>
    <definedName name="JAN" localSheetId="6">#REF!</definedName>
    <definedName name="JAN" localSheetId="2">#REF!</definedName>
    <definedName name="JAN" localSheetId="3">#REF!</definedName>
    <definedName name="JAN" localSheetId="4">#REF!</definedName>
    <definedName name="JAN">#REF!</definedName>
    <definedName name="JANT" localSheetId="6">#REF!</definedName>
    <definedName name="JANT" localSheetId="2">#REF!</definedName>
    <definedName name="JANT" localSheetId="4">#REF!</definedName>
    <definedName name="JANT">#REF!</definedName>
    <definedName name="JUL" localSheetId="6">#REF!</definedName>
    <definedName name="JUL" localSheetId="2">#REF!</definedName>
    <definedName name="JUL" localSheetId="3">#REF!</definedName>
    <definedName name="JUL" localSheetId="4">#REF!</definedName>
    <definedName name="JUL">#REF!</definedName>
    <definedName name="JULT" localSheetId="6">#REF!</definedName>
    <definedName name="JULT" localSheetId="2">#REF!</definedName>
    <definedName name="JULT" localSheetId="4">#REF!</definedName>
    <definedName name="JULT">#REF!</definedName>
    <definedName name="JUN" localSheetId="6">#REF!</definedName>
    <definedName name="JUN" localSheetId="2">#REF!</definedName>
    <definedName name="JUN" localSheetId="3">#REF!</definedName>
    <definedName name="JUN" localSheetId="4">#REF!</definedName>
    <definedName name="JUN">#REF!</definedName>
    <definedName name="junk" localSheetId="7" hidden="1">{"PRINT",#N/A,TRUE,"APPA";"PRINT",#N/A,TRUE,"APS";"PRINT",#N/A,TRUE,"BHPL";"PRINT",#N/A,TRUE,"BHPL2";"PRINT",#N/A,TRUE,"CDWR";"PRINT",#N/A,TRUE,"EWEB";"PRINT",#N/A,TRUE,"LADWP";"PRINT",#N/A,TRUE,"NEVBASE"}</definedName>
    <definedName name="junk" localSheetId="4" hidden="1">{"PRINT",#N/A,TRUE,"APPA";"PRINT",#N/A,TRUE,"APS";"PRINT",#N/A,TRUE,"BHPL";"PRINT",#N/A,TRUE,"BHPL2";"PRINT",#N/A,TRUE,"CDWR";"PRINT",#N/A,TRUE,"EWEB";"PRINT",#N/A,TRUE,"LADWP";"PRINT",#N/A,TRUE,"NEVBASE"}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2" localSheetId="7" hidden="1">{"PRINT",#N/A,TRUE,"APPA";"PRINT",#N/A,TRUE,"APS";"PRINT",#N/A,TRUE,"BHPL";"PRINT",#N/A,TRUE,"BHPL2";"PRINT",#N/A,TRUE,"CDWR";"PRINT",#N/A,TRUE,"EWEB";"PRINT",#N/A,TRUE,"LADWP";"PRINT",#N/A,TRUE,"NEVBASE"}</definedName>
    <definedName name="junk2" localSheetId="4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localSheetId="7" hidden="1">{"PRINT",#N/A,TRUE,"APPA";"PRINT",#N/A,TRUE,"APS";"PRINT",#N/A,TRUE,"BHPL";"PRINT",#N/A,TRUE,"BHPL2";"PRINT",#N/A,TRUE,"CDWR";"PRINT",#N/A,TRUE,"EWEB";"PRINT",#N/A,TRUE,"LADWP";"PRINT",#N/A,TRUE,"NEVBASE"}</definedName>
    <definedName name="junk3" localSheetId="4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localSheetId="7" hidden="1">{"PRINT",#N/A,TRUE,"APPA";"PRINT",#N/A,TRUE,"APS";"PRINT",#N/A,TRUE,"BHPL";"PRINT",#N/A,TRUE,"BHPL2";"PRINT",#N/A,TRUE,"CDWR";"PRINT",#N/A,TRUE,"EWEB";"PRINT",#N/A,TRUE,"LADWP";"PRINT",#N/A,TRUE,"NEVBASE"}</definedName>
    <definedName name="junk4" localSheetId="4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NT" localSheetId="6">#REF!</definedName>
    <definedName name="JUNT" localSheetId="2">#REF!</definedName>
    <definedName name="JUNT" localSheetId="3">#REF!</definedName>
    <definedName name="JUNT" localSheetId="4">#REF!</definedName>
    <definedName name="JUNT">#REF!</definedName>
    <definedName name="Jurisdiction">[9]Variables!$AK$15</definedName>
    <definedName name="JurisNumber">[9]Variables!$AL$15</definedName>
    <definedName name="Keep" localSheetId="7" hidden="1">{"PRINT",#N/A,TRUE,"APPA";"PRINT",#N/A,TRUE,"APS";"PRINT",#N/A,TRUE,"BHPL";"PRINT",#N/A,TRUE,"BHPL2";"PRINT",#N/A,TRUE,"CDWR";"PRINT",#N/A,TRUE,"EWEB";"PRINT",#N/A,TRUE,"LADWP";"PRINT",#N/A,TRUE,"NEVBASE"}</definedName>
    <definedName name="Keep" localSheetId="4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localSheetId="7" hidden="1">{"PRINT",#N/A,TRUE,"APPA";"PRINT",#N/A,TRUE,"APS";"PRINT",#N/A,TRUE,"BHPL";"PRINT",#N/A,TRUE,"BHPL2";"PRINT",#N/A,TRUE,"CDWR";"PRINT",#N/A,TRUE,"EWEB";"PRINT",#N/A,TRUE,"LADWP";"PRINT",#N/A,TRUE,"NEVBASE"}</definedName>
    <definedName name="keep2" localSheetId="4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ABORMOD" localSheetId="6">#REF!</definedName>
    <definedName name="LABORMOD" localSheetId="2">#REF!</definedName>
    <definedName name="LABORMOD" localSheetId="3">#REF!</definedName>
    <definedName name="LABORMOD" localSheetId="4">#REF!</definedName>
    <definedName name="LABORMOD">#REF!</definedName>
    <definedName name="LABORROLL" localSheetId="6">#REF!</definedName>
    <definedName name="LABORROLL" localSheetId="2">#REF!</definedName>
    <definedName name="LABORROLL" localSheetId="4">#REF!</definedName>
    <definedName name="LABORROLL">#REF!</definedName>
    <definedName name="LIGHT_YR1">[13]Variables!$C$24</definedName>
    <definedName name="LIGHT_YR2">[13]Variables!$D$24</definedName>
    <definedName name="limcount" hidden="1">1</definedName>
    <definedName name="Line_Ext_Credit" localSheetId="6">#REF!</definedName>
    <definedName name="Line_Ext_Credit" localSheetId="2">#REF!</definedName>
    <definedName name="Line_Ext_Credit" localSheetId="3">#REF!</definedName>
    <definedName name="Line_Ext_Credit" localSheetId="4">#REF!</definedName>
    <definedName name="Line_Ext_Credit">#REF!</definedName>
    <definedName name="LinkCos" localSheetId="5">'[4]JAM Download'!$I$4</definedName>
    <definedName name="LinkCos" localSheetId="7">'[5]JAM Download'!$I$4</definedName>
    <definedName name="LinkCos">'[6]JAM Download'!$I$4</definedName>
    <definedName name="LOG" localSheetId="6">[23]Backup!#REF!</definedName>
    <definedName name="LOG" localSheetId="2">[23]Backup!#REF!</definedName>
    <definedName name="LOG" localSheetId="3">[23]Backup!#REF!</definedName>
    <definedName name="LOG" localSheetId="4">[23]Backup!#REF!</definedName>
    <definedName name="LOG">[23]Backup!#REF!</definedName>
    <definedName name="LOSS" localSheetId="6">[23]Backup!#REF!</definedName>
    <definedName name="LOSS" localSheetId="2">[23]Backup!#REF!</definedName>
    <definedName name="LOSS" localSheetId="3">[23]Backup!#REF!</definedName>
    <definedName name="LOSS" localSheetId="4">[23]Backup!#REF!</definedName>
    <definedName name="LOSS">[23]Backup!#REF!</definedName>
    <definedName name="MACTIT" localSheetId="6">#REF!</definedName>
    <definedName name="MACTIT" localSheetId="2">#REF!</definedName>
    <definedName name="MACTIT" localSheetId="3">#REF!</definedName>
    <definedName name="MACTIT" localSheetId="4">#REF!</definedName>
    <definedName name="MACTIT">#REF!</definedName>
    <definedName name="MAR" localSheetId="6">#REF!</definedName>
    <definedName name="MAR" localSheetId="2">#REF!</definedName>
    <definedName name="MAR" localSheetId="3">#REF!</definedName>
    <definedName name="MAR" localSheetId="4">#REF!</definedName>
    <definedName name="MAR">#REF!</definedName>
    <definedName name="MART" localSheetId="6">#REF!</definedName>
    <definedName name="MART" localSheetId="2">#REF!</definedName>
    <definedName name="MART" localSheetId="4">#REF!</definedName>
    <definedName name="MART">#REF!</definedName>
    <definedName name="MAY" localSheetId="6">#REF!</definedName>
    <definedName name="MAY" localSheetId="2">#REF!</definedName>
    <definedName name="MAY" localSheetId="3">#REF!</definedName>
    <definedName name="MAY" localSheetId="4">#REF!</definedName>
    <definedName name="MAY">#REF!</definedName>
    <definedName name="MAYT" localSheetId="6">#REF!</definedName>
    <definedName name="MAYT" localSheetId="2">#REF!</definedName>
    <definedName name="MAYT" localSheetId="4">#REF!</definedName>
    <definedName name="MAYT">#REF!</definedName>
    <definedName name="MCtoREV" localSheetId="6">#REF!</definedName>
    <definedName name="MCtoREV" localSheetId="2">#REF!</definedName>
    <definedName name="MCtoREV" localSheetId="4">#REF!</definedName>
    <definedName name="MCtoREV">#REF!</definedName>
    <definedName name="MEN" localSheetId="6">[1]Jan!#REF!</definedName>
    <definedName name="MEN" localSheetId="2">[1]Jan!#REF!</definedName>
    <definedName name="MEN" localSheetId="3">[1]Jan!#REF!</definedName>
    <definedName name="MEN" localSheetId="4">[1]Jan!#REF!</definedName>
    <definedName name="MEN">[1]Jan!#REF!</definedName>
    <definedName name="Menu_Begin" localSheetId="6">#REF!</definedName>
    <definedName name="Menu_Begin" localSheetId="2">#REF!</definedName>
    <definedName name="Menu_Begin" localSheetId="3">#REF!</definedName>
    <definedName name="Menu_Begin" localSheetId="4">#REF!</definedName>
    <definedName name="Menu_Begin">#REF!</definedName>
    <definedName name="Menu_Caption" localSheetId="6">#REF!</definedName>
    <definedName name="Menu_Caption" localSheetId="2">#REF!</definedName>
    <definedName name="Menu_Caption" localSheetId="4">#REF!</definedName>
    <definedName name="Menu_Caption">#REF!</definedName>
    <definedName name="Menu_Large" localSheetId="6">[24]MacroBuilder!#REF!</definedName>
    <definedName name="Menu_Large" localSheetId="2">[24]MacroBuilder!#REF!</definedName>
    <definedName name="Menu_Large" localSheetId="3">[24]MacroBuilder!#REF!</definedName>
    <definedName name="Menu_Large" localSheetId="4">[24]MacroBuilder!#REF!</definedName>
    <definedName name="Menu_Large">[24]MacroBuilder!#REF!</definedName>
    <definedName name="Menu_Name" localSheetId="6">#REF!</definedName>
    <definedName name="Menu_Name" localSheetId="2">#REF!</definedName>
    <definedName name="Menu_Name" localSheetId="3">#REF!</definedName>
    <definedName name="Menu_Name" localSheetId="4">#REF!</definedName>
    <definedName name="Menu_Name">#REF!</definedName>
    <definedName name="Menu_OnAction" localSheetId="6">#REF!</definedName>
    <definedName name="Menu_OnAction" localSheetId="2">#REF!</definedName>
    <definedName name="Menu_OnAction" localSheetId="4">#REF!</definedName>
    <definedName name="Menu_OnAction">#REF!</definedName>
    <definedName name="Menu_Parent" localSheetId="6">#REF!</definedName>
    <definedName name="Menu_Parent" localSheetId="2">#REF!</definedName>
    <definedName name="Menu_Parent" localSheetId="4">#REF!</definedName>
    <definedName name="Menu_Parent">#REF!</definedName>
    <definedName name="Menu_Small" localSheetId="6">[24]MacroBuilder!#REF!</definedName>
    <definedName name="Menu_Small" localSheetId="2">[24]MacroBuilder!#REF!</definedName>
    <definedName name="Menu_Small" localSheetId="3">[24]MacroBuilder!#REF!</definedName>
    <definedName name="Menu_Small" localSheetId="4">[24]MacroBuilder!#REF!</definedName>
    <definedName name="Menu_Small">[24]MacroBuilder!#REF!</definedName>
    <definedName name="Meter_Year1">[11]Variables!$C$19</definedName>
    <definedName name="Meter_Year2">[11]Variables!$D$19</definedName>
    <definedName name="Method">[7]Inputs!$C$6</definedName>
    <definedName name="MONTH" localSheetId="6">[23]Backup!#REF!</definedName>
    <definedName name="MONTH" localSheetId="2">[23]Backup!#REF!</definedName>
    <definedName name="MONTH" localSheetId="3">[23]Backup!#REF!</definedName>
    <definedName name="MONTH" localSheetId="4">[23]Backup!#REF!</definedName>
    <definedName name="MONTH">[23]Backup!#REF!</definedName>
    <definedName name="monthlist">[25]Table!$R$2:$S$13</definedName>
    <definedName name="Months" localSheetId="7">'[26](6.4) Base UTGRC12 Stlmt NPC'!$F$7:$Q$7</definedName>
    <definedName name="Months">'[27](6.7) Base UTGRC12 Stlmt NPC'!$F$7:$Q$7</definedName>
    <definedName name="monthtotals">'[25]WA SBC'!$D$40:$O$40</definedName>
    <definedName name="MSPAverageInput" localSheetId="6">[28]Inputs!#REF!</definedName>
    <definedName name="MSPAverageInput" localSheetId="2">[28]Inputs!#REF!</definedName>
    <definedName name="MSPAverageInput" localSheetId="3">[28]Inputs!#REF!</definedName>
    <definedName name="MSPAverageInput" localSheetId="4">[28]Inputs!#REF!</definedName>
    <definedName name="MSPAverageInput">[28]Inputs!#REF!</definedName>
    <definedName name="MSPYearEndInput" localSheetId="6">[28]Inputs!#REF!</definedName>
    <definedName name="MSPYearEndInput" localSheetId="2">[28]Inputs!#REF!</definedName>
    <definedName name="MSPYearEndInput" localSheetId="3">[28]Inputs!#REF!</definedName>
    <definedName name="MSPYearEndInput" localSheetId="4">[28]Inputs!#REF!</definedName>
    <definedName name="MSPYearEndInput">[28]Inputs!#REF!</definedName>
    <definedName name="MTKWH" localSheetId="6">#REF!</definedName>
    <definedName name="MTKWH" localSheetId="2">#REF!</definedName>
    <definedName name="MTKWH" localSheetId="3">#REF!</definedName>
    <definedName name="MTKWH" localSheetId="4">#REF!</definedName>
    <definedName name="MTKWH">#REF!</definedName>
    <definedName name="MTR_YR1">[13]Variables!$C$19</definedName>
    <definedName name="MTR_YR2">[13]Variables!$D$19</definedName>
    <definedName name="MTR_YR3">[29]Variables!$E$14</definedName>
    <definedName name="MTREV" localSheetId="6">#REF!</definedName>
    <definedName name="MTREV" localSheetId="2">#REF!</definedName>
    <definedName name="MTREV" localSheetId="3">#REF!</definedName>
    <definedName name="MTREV" localSheetId="4">#REF!</definedName>
    <definedName name="MTREV">#REF!</definedName>
    <definedName name="MULT" localSheetId="6">#REF!</definedName>
    <definedName name="MULT" localSheetId="2">#REF!</definedName>
    <definedName name="MULT" localSheetId="4">#REF!</definedName>
    <definedName name="MULT">#REF!</definedName>
    <definedName name="NetToGross" localSheetId="5">[4]Inputs!$H$21</definedName>
    <definedName name="NetToGross" localSheetId="7">[5]Inputs!$H$21</definedName>
    <definedName name="NetToGross">[12]Variables!$D$23</definedName>
    <definedName name="NEWMO1" localSheetId="6">[1]Jan!#REF!</definedName>
    <definedName name="NEWMO1" localSheetId="2">[1]Jan!#REF!</definedName>
    <definedName name="NEWMO1" localSheetId="3">[1]Jan!#REF!</definedName>
    <definedName name="NEWMO1" localSheetId="4">[1]Jan!#REF!</definedName>
    <definedName name="NEWMO1">[1]Jan!#REF!</definedName>
    <definedName name="NEWMO2" localSheetId="6">[1]Jan!#REF!</definedName>
    <definedName name="NEWMO2" localSheetId="2">[1]Jan!#REF!</definedName>
    <definedName name="NEWMO2" localSheetId="3">[1]Jan!#REF!</definedName>
    <definedName name="NEWMO2" localSheetId="4">[1]Jan!#REF!</definedName>
    <definedName name="NEWMO2">[1]Jan!#REF!</definedName>
    <definedName name="NEWMONTH" localSheetId="6">[1]Jan!#REF!</definedName>
    <definedName name="NEWMONTH" localSheetId="2">[1]Jan!#REF!</definedName>
    <definedName name="NEWMONTH" localSheetId="4">[1]Jan!#REF!</definedName>
    <definedName name="NEWMONTH">[1]Jan!#REF!</definedName>
    <definedName name="NONRES" localSheetId="6">#REF!</definedName>
    <definedName name="NONRES" localSheetId="2">#REF!</definedName>
    <definedName name="NONRES" localSheetId="3">#REF!</definedName>
    <definedName name="NONRES" localSheetId="4">#REF!</definedName>
    <definedName name="NONRES">#REF!</definedName>
    <definedName name="NORMALIZE" localSheetId="6">#REF!</definedName>
    <definedName name="NORMALIZE" localSheetId="2">#REF!</definedName>
    <definedName name="NORMALIZE" localSheetId="4">#REF!</definedName>
    <definedName name="NORMALIZE">#REF!</definedName>
    <definedName name="NOV" localSheetId="6">#REF!</definedName>
    <definedName name="NOV" localSheetId="2">#REF!</definedName>
    <definedName name="NOV" localSheetId="3">#REF!</definedName>
    <definedName name="NOV" localSheetId="4">#REF!</definedName>
    <definedName name="NOV">#REF!</definedName>
    <definedName name="NOVT" localSheetId="6">#REF!</definedName>
    <definedName name="NOVT" localSheetId="2">#REF!</definedName>
    <definedName name="NOVT" localSheetId="4">#REF!</definedName>
    <definedName name="NOVT">#REF!</definedName>
    <definedName name="NUM" localSheetId="6">#REF!</definedName>
    <definedName name="NUM" localSheetId="2">#REF!</definedName>
    <definedName name="NUM" localSheetId="4">#REF!</definedName>
    <definedName name="NUM">#REF!</definedName>
    <definedName name="OCT" localSheetId="6">#REF!</definedName>
    <definedName name="OCT" localSheetId="2">#REF!</definedName>
    <definedName name="OCT" localSheetId="3">#REF!</definedName>
    <definedName name="OCT" localSheetId="4">#REF!</definedName>
    <definedName name="OCT">#REF!</definedName>
    <definedName name="OCTT" localSheetId="6">#REF!</definedName>
    <definedName name="OCTT" localSheetId="2">#REF!</definedName>
    <definedName name="OCTT" localSheetId="4">#REF!</definedName>
    <definedName name="OCTT">#REF!</definedName>
    <definedName name="OH" localSheetId="5">[4]Inputs!$D$24</definedName>
    <definedName name="OH" localSheetId="7">[5]Inputs!$D$24</definedName>
    <definedName name="OH">[6]Inputs!$D$24</definedName>
    <definedName name="ONE" localSheetId="6">[1]Jan!#REF!</definedName>
    <definedName name="ONE" localSheetId="2">[1]Jan!#REF!</definedName>
    <definedName name="ONE" localSheetId="3">[1]Jan!#REF!</definedName>
    <definedName name="ONE" localSheetId="4">[1]Jan!#REF!</definedName>
    <definedName name="ONE">[1]Jan!#REF!</definedName>
    <definedName name="OperatingIncome" localSheetId="2">#REF!</definedName>
    <definedName name="OperatingIncome">#REF!</definedName>
    <definedName name="option">'[10]Dist Misc'!$F$120</definedName>
    <definedName name="OR_305_12mo_endg_200203" localSheetId="6">#REF!</definedName>
    <definedName name="OR_305_12mo_endg_200203" localSheetId="2">#REF!</definedName>
    <definedName name="OR_305_12mo_endg_200203" localSheetId="3">#REF!</definedName>
    <definedName name="OR_305_12mo_endg_200203" localSheetId="4">#REF!</definedName>
    <definedName name="OR_305_12mo_endg_200203">#REF!</definedName>
    <definedName name="P" localSheetId="6">#REF!</definedName>
    <definedName name="P" localSheetId="2">#REF!</definedName>
    <definedName name="P" localSheetId="0">#REF!</definedName>
    <definedName name="P" localSheetId="1">#REF!</definedName>
    <definedName name="P" localSheetId="4">#REF!</definedName>
    <definedName name="P">#REF!</definedName>
    <definedName name="page1" localSheetId="6">[22]Summary!#REF!</definedName>
    <definedName name="page1" localSheetId="2">[22]Summary!#REF!</definedName>
    <definedName name="page1" localSheetId="4">[22]Summary!#REF!</definedName>
    <definedName name="page1">[22]Summary!#REF!</definedName>
    <definedName name="Page110" localSheetId="2">#REF!</definedName>
    <definedName name="Page110" localSheetId="7">#REF!</definedName>
    <definedName name="Page110">#REF!</definedName>
    <definedName name="Page111" localSheetId="2">#REF!</definedName>
    <definedName name="Page111" localSheetId="7">#REF!</definedName>
    <definedName name="Page111">#REF!</definedName>
    <definedName name="Page112" localSheetId="2">#REF!</definedName>
    <definedName name="Page112" localSheetId="7">#REF!</definedName>
    <definedName name="Page112">#REF!</definedName>
    <definedName name="Page113" localSheetId="2">#REF!</definedName>
    <definedName name="Page113" localSheetId="7">#REF!</definedName>
    <definedName name="Page113">#REF!</definedName>
    <definedName name="Page114" localSheetId="2">#REF!</definedName>
    <definedName name="Page114" localSheetId="7">#REF!</definedName>
    <definedName name="Page114">#REF!</definedName>
    <definedName name="Page115" localSheetId="2">#REF!</definedName>
    <definedName name="Page115" localSheetId="7">#REF!</definedName>
    <definedName name="Page115">#REF!</definedName>
    <definedName name="Page116" localSheetId="2">#REF!</definedName>
    <definedName name="Page116" localSheetId="7">#REF!</definedName>
    <definedName name="Page116">#REF!</definedName>
    <definedName name="Page117" localSheetId="2">#REF!</definedName>
    <definedName name="Page117" localSheetId="7">#REF!</definedName>
    <definedName name="Page117">#REF!</definedName>
    <definedName name="Page118" localSheetId="2">#REF!</definedName>
    <definedName name="Page118" localSheetId="7">#REF!</definedName>
    <definedName name="Page118">#REF!</definedName>
    <definedName name="Page119" localSheetId="2">#REF!</definedName>
    <definedName name="Page119" localSheetId="7">#REF!</definedName>
    <definedName name="Page119">#REF!</definedName>
    <definedName name="Page120" localSheetId="2">#REF!</definedName>
    <definedName name="Page120" localSheetId="7">#REF!</definedName>
    <definedName name="Page120">#REF!</definedName>
    <definedName name="Page121" localSheetId="2">#REF!</definedName>
    <definedName name="Page121" localSheetId="7">#REF!</definedName>
    <definedName name="Page121">#REF!</definedName>
    <definedName name="Page122" localSheetId="2">#REF!</definedName>
    <definedName name="Page122" localSheetId="7">#REF!</definedName>
    <definedName name="Page122">#REF!</definedName>
    <definedName name="Page123" localSheetId="2">#REF!</definedName>
    <definedName name="Page123" localSheetId="7">#REF!</definedName>
    <definedName name="Page123">#REF!</definedName>
    <definedName name="Page160" localSheetId="2">#REF!</definedName>
    <definedName name="Page160" localSheetId="4">#REF!</definedName>
    <definedName name="Page160">#REF!</definedName>
    <definedName name="Page161" localSheetId="2">#REF!</definedName>
    <definedName name="Page161" localSheetId="4">#REF!</definedName>
    <definedName name="Page161">#REF!</definedName>
    <definedName name="Page162" localSheetId="2">#REF!</definedName>
    <definedName name="Page162" localSheetId="4">#REF!</definedName>
    <definedName name="Page162">#REF!</definedName>
    <definedName name="Page163" localSheetId="2">#REF!</definedName>
    <definedName name="Page163">#REF!</definedName>
    <definedName name="Page164" localSheetId="2">#REF!</definedName>
    <definedName name="Page164">#REF!</definedName>
    <definedName name="Page165" localSheetId="2">#REF!</definedName>
    <definedName name="Page165">#REF!</definedName>
    <definedName name="Page166" localSheetId="2">#REF!</definedName>
    <definedName name="Page166">#REF!</definedName>
    <definedName name="Page167" localSheetId="2">#REF!</definedName>
    <definedName name="Page167">#REF!</definedName>
    <definedName name="Page168" localSheetId="2">#REF!</definedName>
    <definedName name="Page168">#REF!</definedName>
    <definedName name="Page169" localSheetId="2">#REF!</definedName>
    <definedName name="Page169">#REF!</definedName>
    <definedName name="Page170" localSheetId="2">#REF!</definedName>
    <definedName name="Page170">#REF!</definedName>
    <definedName name="Page171" localSheetId="2">#REF!</definedName>
    <definedName name="Page171">#REF!</definedName>
    <definedName name="Page172" localSheetId="2">#REF!</definedName>
    <definedName name="Page172">#REF!</definedName>
    <definedName name="Page173" localSheetId="2">#REF!</definedName>
    <definedName name="Page173">#REF!</definedName>
    <definedName name="Page174" localSheetId="2">#REF!</definedName>
    <definedName name="Page174">#REF!</definedName>
    <definedName name="Page175" localSheetId="2">#REF!</definedName>
    <definedName name="Page175">#REF!</definedName>
    <definedName name="Page176" localSheetId="2">#REF!</definedName>
    <definedName name="Page176">#REF!</definedName>
    <definedName name="Page177" localSheetId="2">#REF!</definedName>
    <definedName name="Page177">#REF!</definedName>
    <definedName name="Page178" localSheetId="2">#REF!</definedName>
    <definedName name="Page178">#REF!</definedName>
    <definedName name="Page2" localSheetId="6">'[30]Summary Table - Earned'!#REF!</definedName>
    <definedName name="Page2" localSheetId="2">'[30]Summary Table - Earned'!#REF!</definedName>
    <definedName name="Page2" localSheetId="3">'[30]Summary Table - Earned'!#REF!</definedName>
    <definedName name="Page2" localSheetId="4">'[30]Summary Table - Earned'!#REF!</definedName>
    <definedName name="Page2">'[30]Summary Table - Earned'!#REF!</definedName>
    <definedName name="PAGE3" localSheetId="6">#REF!</definedName>
    <definedName name="PAGE3" localSheetId="2">#REF!</definedName>
    <definedName name="PAGE3" localSheetId="3">#REF!</definedName>
    <definedName name="PAGE3" localSheetId="4">#REF!</definedName>
    <definedName name="PAGE3">#REF!</definedName>
    <definedName name="Page4" localSheetId="6">#REF!</definedName>
    <definedName name="Page4" localSheetId="2">#REF!</definedName>
    <definedName name="Page4" localSheetId="4">#REF!</definedName>
    <definedName name="Page4">#REF!</definedName>
    <definedName name="Page5" localSheetId="6">#REF!</definedName>
    <definedName name="Page5" localSheetId="2">#REF!</definedName>
    <definedName name="Page5" localSheetId="4">#REF!</definedName>
    <definedName name="Page5">#REF!</definedName>
    <definedName name="Page62" localSheetId="6">[24]TransInvest!#REF!</definedName>
    <definedName name="Page62" localSheetId="2">[24]TransInvest!#REF!</definedName>
    <definedName name="Page62" localSheetId="3">[24]TransInvest!#REF!</definedName>
    <definedName name="Page62" localSheetId="4">[24]TransInvest!#REF!</definedName>
    <definedName name="Page62">[24]TransInvest!#REF!</definedName>
    <definedName name="page63" localSheetId="2">'[8]Energy Factor'!#REF!</definedName>
    <definedName name="page63" localSheetId="5">'[4]Energy Factor'!#REF!</definedName>
    <definedName name="page63" localSheetId="7">'[5]Energy Factor'!#REF!</definedName>
    <definedName name="page63" localSheetId="4">'[8]Energy Factor'!#REF!</definedName>
    <definedName name="page63">'[8]Energy Factor'!#REF!</definedName>
    <definedName name="page64" localSheetId="2">'[8]Energy Factor'!#REF!</definedName>
    <definedName name="page64" localSheetId="5">'[4]Energy Factor'!#REF!</definedName>
    <definedName name="page64" localSheetId="7">'[5]Energy Factor'!#REF!</definedName>
    <definedName name="page64">'[8]Energy Factor'!#REF!</definedName>
    <definedName name="page65" localSheetId="6">#REF!</definedName>
    <definedName name="page65" localSheetId="2">#REF!</definedName>
    <definedName name="page65" localSheetId="3">#REF!</definedName>
    <definedName name="page65" localSheetId="4">#REF!</definedName>
    <definedName name="page65">#REF!</definedName>
    <definedName name="page66" localSheetId="6">#REF!</definedName>
    <definedName name="page66" localSheetId="2">#REF!</definedName>
    <definedName name="page66" localSheetId="4">#REF!</definedName>
    <definedName name="page66">#REF!</definedName>
    <definedName name="page67" localSheetId="6">#REF!</definedName>
    <definedName name="page67" localSheetId="2">#REF!</definedName>
    <definedName name="page67" localSheetId="4">#REF!</definedName>
    <definedName name="page67">#REF!</definedName>
    <definedName name="page68" localSheetId="6">#REF!</definedName>
    <definedName name="page68" localSheetId="2">#REF!</definedName>
    <definedName name="page68" localSheetId="4">#REF!</definedName>
    <definedName name="page68">#REF!</definedName>
    <definedName name="page69" localSheetId="6">#REF!</definedName>
    <definedName name="page69" localSheetId="2">#REF!</definedName>
    <definedName name="page69" localSheetId="4">#REF!</definedName>
    <definedName name="page69">#REF!</definedName>
    <definedName name="Page7" localSheetId="6">#REF!</definedName>
    <definedName name="Page7" localSheetId="2">#REF!</definedName>
    <definedName name="Page7" localSheetId="4">#REF!</definedName>
    <definedName name="Page7">#REF!</definedName>
    <definedName name="page8" localSheetId="6">#REF!</definedName>
    <definedName name="page8" localSheetId="2">#REF!</definedName>
    <definedName name="page8" localSheetId="4">#REF!</definedName>
    <definedName name="page8">#REF!</definedName>
    <definedName name="PALL" localSheetId="6">#REF!</definedName>
    <definedName name="PALL" localSheetId="2">#REF!</definedName>
    <definedName name="PALL" localSheetId="4">#REF!</definedName>
    <definedName name="PALL">#REF!</definedName>
    <definedName name="PBLOCK" localSheetId="6">#REF!</definedName>
    <definedName name="PBLOCK" localSheetId="2">#REF!</definedName>
    <definedName name="PBLOCK" localSheetId="4">#REF!</definedName>
    <definedName name="PBLOCK">#REF!</definedName>
    <definedName name="PBLOCKWZ" localSheetId="6">#REF!</definedName>
    <definedName name="PBLOCKWZ" localSheetId="2">#REF!</definedName>
    <definedName name="PBLOCKWZ" localSheetId="4">#REF!</definedName>
    <definedName name="PBLOCKWZ">#REF!</definedName>
    <definedName name="PC_Year1">[11]Variables!$C$21</definedName>
    <definedName name="PC_Year2">[11]Variables!$D$21</definedName>
    <definedName name="PC_YR1">[13]Variables!$C$21</definedName>
    <definedName name="PC_YR2">[13]Variables!$D$21</definedName>
    <definedName name="PCOMP" localSheetId="6">#REF!</definedName>
    <definedName name="PCOMP" localSheetId="2">#REF!</definedName>
    <definedName name="PCOMP" localSheetId="3">#REF!</definedName>
    <definedName name="PCOMP" localSheetId="4">#REF!</definedName>
    <definedName name="PCOMP">#REF!</definedName>
    <definedName name="PCOMPOSITES" localSheetId="6">#REF!</definedName>
    <definedName name="PCOMPOSITES" localSheetId="2">#REF!</definedName>
    <definedName name="PCOMPOSITES" localSheetId="4">#REF!</definedName>
    <definedName name="PCOMPOSITES">#REF!</definedName>
    <definedName name="PCOMPWZ" localSheetId="6">#REF!</definedName>
    <definedName name="PCOMPWZ" localSheetId="2">#REF!</definedName>
    <definedName name="PCOMPWZ" localSheetId="4">#REF!</definedName>
    <definedName name="PCOMPWZ">#REF!</definedName>
    <definedName name="PeakMethod">[7]Inputs!$T$5</definedName>
    <definedName name="PLUG" localSheetId="6">#REF!</definedName>
    <definedName name="PLUG" localSheetId="2">#REF!</definedName>
    <definedName name="PLUG" localSheetId="0">#REF!</definedName>
    <definedName name="PLUG" localSheetId="1">#REF!</definedName>
    <definedName name="PLUG" localSheetId="3">#REF!</definedName>
    <definedName name="PLUG" localSheetId="4">#REF!</definedName>
    <definedName name="PLUG">#REF!</definedName>
    <definedName name="PMAC" localSheetId="6">[23]Backup!#REF!</definedName>
    <definedName name="PMAC" localSheetId="2">[23]Backup!#REF!</definedName>
    <definedName name="PMAC" localSheetId="3">[23]Backup!#REF!</definedName>
    <definedName name="PMAC" localSheetId="4">[23]Backup!#REF!</definedName>
    <definedName name="PMAC">[23]Backup!#REF!</definedName>
    <definedName name="Pref_">[15]Inputs!$K$20</definedName>
    <definedName name="PRESENT" localSheetId="6">#REF!</definedName>
    <definedName name="PRESENT" localSheetId="2">#REF!</definedName>
    <definedName name="PRESENT" localSheetId="3">#REF!</definedName>
    <definedName name="PRESENT" localSheetId="4">#REF!</definedName>
    <definedName name="PRESENT">#REF!</definedName>
    <definedName name="PRICCHNG" localSheetId="6">#REF!</definedName>
    <definedName name="PRICCHNG" localSheetId="2">#REF!</definedName>
    <definedName name="PRICCHNG" localSheetId="4">#REF!</definedName>
    <definedName name="PRICCHNG">#REF!</definedName>
    <definedName name="_xlnm.Print_Area" localSheetId="6">EBASettlement!$A$1:$N$30</definedName>
    <definedName name="_xlnm.Print_Area" localSheetId="2">'EBASettlement-2013'!$A$1:$R$52</definedName>
    <definedName name="_xlnm.Print_Area" localSheetId="0">'Exhibit-RMP(JRS-1)'!$A$1:$T$51</definedName>
    <definedName name="_xlnm.Print_Area" localSheetId="1">'Exhibit-RMP(JRS-2)'!$A$1:$O$496</definedName>
    <definedName name="_xlnm.Print_Area" localSheetId="5">NPCAllocator!$A$1:$P$49</definedName>
    <definedName name="_xlnm.Print_Area" localSheetId="3">'Sch1 Bill Impact'!$A$1:$U$37</definedName>
    <definedName name="_xlnm.Print_Area" localSheetId="4">'Table A'!$A$1:$AC$52</definedName>
    <definedName name="_xlnm.Print_Area">#REF!</definedName>
    <definedName name="_xlnm.Print_Titles" localSheetId="1">'Exhibit-RMP(JRS-2)'!$1:$9</definedName>
    <definedName name="_xlnm.Print_Titles" localSheetId="4">'Table A'!$A:$I,'Table A'!$8:$13</definedName>
    <definedName name="Print_Titles_MI" localSheetId="1">'Exhibit-RMP(JRS-2)'!$1:$9</definedName>
    <definedName name="PROPOSED" localSheetId="6">#REF!</definedName>
    <definedName name="PROPOSED" localSheetId="2">#REF!</definedName>
    <definedName name="PROPOSED" localSheetId="3">#REF!</definedName>
    <definedName name="PROPOSED" localSheetId="4">#REF!</definedName>
    <definedName name="PROPOSED">#REF!</definedName>
    <definedName name="ProRate1" localSheetId="6">#REF!</definedName>
    <definedName name="ProRate1" localSheetId="2">#REF!</definedName>
    <definedName name="ProRate1" localSheetId="4">#REF!</definedName>
    <definedName name="ProRate1">#REF!</definedName>
    <definedName name="PSATable" localSheetId="7">[16]Hermiston!$A$41:$E$56</definedName>
    <definedName name="PSATable">[17]Hermiston!$A$41:$E$56</definedName>
    <definedName name="PTABLES" localSheetId="6">#REF!</definedName>
    <definedName name="PTABLES" localSheetId="2">#REF!</definedName>
    <definedName name="PTABLES" localSheetId="3">#REF!</definedName>
    <definedName name="PTABLES" localSheetId="4">#REF!</definedName>
    <definedName name="PTABLES">#REF!</definedName>
    <definedName name="PTDMOD" localSheetId="6">#REF!</definedName>
    <definedName name="PTDMOD" localSheetId="2">#REF!</definedName>
    <definedName name="PTDMOD" localSheetId="4">#REF!</definedName>
    <definedName name="PTDMOD">#REF!</definedName>
    <definedName name="PTDROLL" localSheetId="6">#REF!</definedName>
    <definedName name="PTDROLL" localSheetId="2">#REF!</definedName>
    <definedName name="PTDROLL" localSheetId="4">#REF!</definedName>
    <definedName name="PTDROLL">#REF!</definedName>
    <definedName name="PTMOD" localSheetId="6">#REF!</definedName>
    <definedName name="PTMOD" localSheetId="2">#REF!</definedName>
    <definedName name="PTMOD" localSheetId="4">#REF!</definedName>
    <definedName name="PTMOD">#REF!</definedName>
    <definedName name="PTROLL" localSheetId="6">#REF!</definedName>
    <definedName name="PTROLL" localSheetId="2">#REF!</definedName>
    <definedName name="PTROLL" localSheetId="4">#REF!</definedName>
    <definedName name="PTROLL">#REF!</definedName>
    <definedName name="PWORKBACK" localSheetId="6">#REF!</definedName>
    <definedName name="PWORKBACK" localSheetId="2">#REF!</definedName>
    <definedName name="PWORKBACK" localSheetId="4">#REF!</definedName>
    <definedName name="PWORKBACK">#REF!</definedName>
    <definedName name="Query1" localSheetId="6">#REF!</definedName>
    <definedName name="Query1" localSheetId="2">#REF!</definedName>
    <definedName name="Query1" localSheetId="4">#REF!</definedName>
    <definedName name="Query1">#REF!</definedName>
    <definedName name="RateCd" localSheetId="6">#REF!</definedName>
    <definedName name="RateCd" localSheetId="2">#REF!</definedName>
    <definedName name="RateCd" localSheetId="4">#REF!</definedName>
    <definedName name="RateCd">#REF!</definedName>
    <definedName name="Rates" localSheetId="6">#REF!</definedName>
    <definedName name="Rates" localSheetId="2">#REF!</definedName>
    <definedName name="Rates" localSheetId="4">#REF!</definedName>
    <definedName name="Rates">#REF!</definedName>
    <definedName name="RC_ADJ" localSheetId="6">#REF!</definedName>
    <definedName name="RC_ADJ" localSheetId="2">#REF!</definedName>
    <definedName name="RC_ADJ" localSheetId="4">#REF!</definedName>
    <definedName name="RC_ADJ">#REF!</definedName>
    <definedName name="RESADJ" localSheetId="6">#REF!</definedName>
    <definedName name="RESADJ" localSheetId="2">#REF!</definedName>
    <definedName name="RESADJ" localSheetId="4">#REF!</definedName>
    <definedName name="RESADJ">#REF!</definedName>
    <definedName name="RESIDENTIAL" localSheetId="6">#REF!</definedName>
    <definedName name="RESIDENTIAL" localSheetId="2">#REF!</definedName>
    <definedName name="RESIDENTIAL" localSheetId="4">#REF!</definedName>
    <definedName name="RESIDENTIAL">#REF!</definedName>
    <definedName name="ResourceSupplier">[12]Variables!$D$28</definedName>
    <definedName name="retail_CC" localSheetId="6" hidden="1">{#N/A,#N/A,FALSE,"Loans";#N/A,#N/A,FALSE,"Program Costs";#N/A,#N/A,FALSE,"Measures";#N/A,#N/A,FALSE,"Net Lost Rev";#N/A,#N/A,FALSE,"Incentive"}</definedName>
    <definedName name="retail_CC" localSheetId="1" hidden="1">{#N/A,#N/A,FALSE,"Loans";#N/A,#N/A,FALSE,"Program Costs";#N/A,#N/A,FALSE,"Measures";#N/A,#N/A,FALSE,"Net Lost Rev";#N/A,#N/A,FALSE,"Incentive"}</definedName>
    <definedName name="retail_CC" localSheetId="3" hidden="1">{#N/A,#N/A,FALSE,"Loans";#N/A,#N/A,FALSE,"Program Costs";#N/A,#N/A,FALSE,"Measures";#N/A,#N/A,FALSE,"Net Lost Rev";#N/A,#N/A,FALSE,"Incentive"}</definedName>
    <definedName name="retail_CC" localSheetId="7" hidden="1">{#N/A,#N/A,FALSE,"Loans";#N/A,#N/A,FALSE,"Program Costs";#N/A,#N/A,FALSE,"Measures";#N/A,#N/A,FALSE,"Net Lost Rev";#N/A,#N/A,FALSE,"Incentive"}</definedName>
    <definedName name="retail_CC" localSheetId="4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6" hidden="1">{#N/A,#N/A,FALSE,"Loans";#N/A,#N/A,FALSE,"Program Costs";#N/A,#N/A,FALSE,"Measures";#N/A,#N/A,FALSE,"Net Lost Rev";#N/A,#N/A,FALSE,"Incentive"}</definedName>
    <definedName name="retail_CC1" localSheetId="1" hidden="1">{#N/A,#N/A,FALSE,"Loans";#N/A,#N/A,FALSE,"Program Costs";#N/A,#N/A,FALSE,"Measures";#N/A,#N/A,FALSE,"Net Lost Rev";#N/A,#N/A,FALSE,"Incentive"}</definedName>
    <definedName name="retail_CC1" localSheetId="3" hidden="1">{#N/A,#N/A,FALSE,"Loans";#N/A,#N/A,FALSE,"Program Costs";#N/A,#N/A,FALSE,"Measures";#N/A,#N/A,FALSE,"Net Lost Rev";#N/A,#N/A,FALSE,"Incentive"}</definedName>
    <definedName name="retail_CC1" localSheetId="7" hidden="1">{#N/A,#N/A,FALSE,"Loans";#N/A,#N/A,FALSE,"Program Costs";#N/A,#N/A,FALSE,"Measures";#N/A,#N/A,FALSE,"Net Lost Rev";#N/A,#N/A,FALSE,"Incentive"}</definedName>
    <definedName name="retail_CC1" localSheetId="4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EV_SCHD" localSheetId="6">#REF!</definedName>
    <definedName name="REV_SCHD" localSheetId="2">#REF!</definedName>
    <definedName name="REV_SCHD" localSheetId="3">#REF!</definedName>
    <definedName name="REV_SCHD" localSheetId="4">#REF!</definedName>
    <definedName name="REV_SCHD">#REF!</definedName>
    <definedName name="RevCl" localSheetId="6">#REF!</definedName>
    <definedName name="RevCl" localSheetId="2">#REF!</definedName>
    <definedName name="RevCl" localSheetId="4">#REF!</definedName>
    <definedName name="RevCl">#REF!</definedName>
    <definedName name="RevClass" localSheetId="6">#REF!</definedName>
    <definedName name="RevClass" localSheetId="2">#REF!</definedName>
    <definedName name="RevClass" localSheetId="4">#REF!</definedName>
    <definedName name="RevClass">#REF!</definedName>
    <definedName name="Revenue_by_month_take_2" localSheetId="6">#REF!</definedName>
    <definedName name="Revenue_by_month_take_2" localSheetId="2">#REF!</definedName>
    <definedName name="Revenue_by_month_take_2" localSheetId="4">#REF!</definedName>
    <definedName name="Revenue_by_month_take_2">#REF!</definedName>
    <definedName name="Revenue1">'[13]PPL_905_Pg1 (RR by Class)'!$C$37</definedName>
    <definedName name="revenue3" localSheetId="6">#REF!</definedName>
    <definedName name="revenue3" localSheetId="2">#REF!</definedName>
    <definedName name="revenue3" localSheetId="3">#REF!</definedName>
    <definedName name="revenue3" localSheetId="4">#REF!</definedName>
    <definedName name="revenue3">#REF!</definedName>
    <definedName name="RevenueCheck" localSheetId="6">#REF!</definedName>
    <definedName name="RevenueCheck" localSheetId="2">#REF!</definedName>
    <definedName name="RevenueCheck" localSheetId="4">#REF!</definedName>
    <definedName name="RevenueCheck">#REF!</definedName>
    <definedName name="Revenues" localSheetId="6">#REF!</definedName>
    <definedName name="Revenues" localSheetId="2">#REF!</definedName>
    <definedName name="Revenues" localSheetId="4">#REF!</definedName>
    <definedName name="Revenues">#REF!</definedName>
    <definedName name="RevenueSum">"GRID Thermal Revenue!R2C1:R4C2"</definedName>
    <definedName name="RevReqSettle" localSheetId="6">#REF!</definedName>
    <definedName name="RevReqSettle" localSheetId="2">#REF!</definedName>
    <definedName name="RevReqSettle" localSheetId="3">#REF!</definedName>
    <definedName name="RevReqSettle" localSheetId="4">#REF!</definedName>
    <definedName name="RevReqSettle">#REF!</definedName>
    <definedName name="REVVSTRS" localSheetId="6">#REF!</definedName>
    <definedName name="REVVSTRS" localSheetId="2">#REF!</definedName>
    <definedName name="REVVSTRS" localSheetId="4">#REF!</definedName>
    <definedName name="REVVSTRS">#REF!</definedName>
    <definedName name="RISFORM" localSheetId="6">#REF!</definedName>
    <definedName name="RISFORM" localSheetId="2">#REF!</definedName>
    <definedName name="RISFORM" localSheetId="4">#REF!</definedName>
    <definedName name="RISFORM">#REF!</definedName>
    <definedName name="rrr" localSheetId="7" hidden="1">{"PRINT",#N/A,TRUE,"APPA";"PRINT",#N/A,TRUE,"APS";"PRINT",#N/A,TRUE,"BHPL";"PRINT",#N/A,TRUE,"BHPL2";"PRINT",#N/A,TRUE,"CDWR";"PRINT",#N/A,TRUE,"EWEB";"PRINT",#N/A,TRUE,"LADWP";"PRINT",#N/A,TRUE,"NEVBASE"}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PBEXrevision" hidden="1">1</definedName>
    <definedName name="SAPBEXsysID" hidden="1">"BWP"</definedName>
    <definedName name="SAPBEXwbID" hidden="1">"44KU92Q9LH2VK4DK86GZ93AXN"</definedName>
    <definedName name="SCH33CUSTS" localSheetId="6">#REF!</definedName>
    <definedName name="SCH33CUSTS" localSheetId="2">#REF!</definedName>
    <definedName name="SCH33CUSTS" localSheetId="3">#REF!</definedName>
    <definedName name="SCH33CUSTS" localSheetId="4">#REF!</definedName>
    <definedName name="SCH33CUSTS">#REF!</definedName>
    <definedName name="SCH48ADJ" localSheetId="6">#REF!</definedName>
    <definedName name="SCH48ADJ" localSheetId="2">#REF!</definedName>
    <definedName name="SCH48ADJ" localSheetId="4">#REF!</definedName>
    <definedName name="SCH48ADJ">#REF!</definedName>
    <definedName name="SCH98NOR" localSheetId="6">#REF!</definedName>
    <definedName name="SCH98NOR" localSheetId="2">#REF!</definedName>
    <definedName name="SCH98NOR" localSheetId="4">#REF!</definedName>
    <definedName name="SCH98NOR">#REF!</definedName>
    <definedName name="SCHED47" localSheetId="6">#REF!</definedName>
    <definedName name="SCHED47" localSheetId="2">#REF!</definedName>
    <definedName name="SCHED47" localSheetId="4">#REF!</definedName>
    <definedName name="SCHED47">#REF!</definedName>
    <definedName name="se" localSheetId="6">#REF!</definedName>
    <definedName name="se" localSheetId="2">#REF!</definedName>
    <definedName name="se" localSheetId="4">#REF!</definedName>
    <definedName name="se">#REF!</definedName>
    <definedName name="SECOND" localSheetId="6">[1]Jan!#REF!</definedName>
    <definedName name="SECOND" localSheetId="2">[1]Jan!#REF!</definedName>
    <definedName name="SECOND" localSheetId="3">[1]Jan!#REF!</definedName>
    <definedName name="SECOND" localSheetId="4">[1]Jan!#REF!</definedName>
    <definedName name="SECOND">[1]Jan!#REF!</definedName>
    <definedName name="SEP" localSheetId="6">#REF!</definedName>
    <definedName name="SEP" localSheetId="2">#REF!</definedName>
    <definedName name="SEP" localSheetId="3">#REF!</definedName>
    <definedName name="SEP" localSheetId="4">#REF!</definedName>
    <definedName name="SEP">#REF!</definedName>
    <definedName name="SEPT" localSheetId="6">#REF!</definedName>
    <definedName name="SEPT" localSheetId="2">#REF!</definedName>
    <definedName name="SEPT" localSheetId="4">#REF!</definedName>
    <definedName name="SEPT">#REF!</definedName>
    <definedName name="September_2001_305_Detail" localSheetId="6">#REF!</definedName>
    <definedName name="September_2001_305_Detail" localSheetId="2">#REF!</definedName>
    <definedName name="September_2001_305_Detail" localSheetId="4">#REF!</definedName>
    <definedName name="September_2001_305_Detail">#REF!</definedName>
    <definedName name="Service_Year1">[11]Variables!$C$18</definedName>
    <definedName name="Service_Year2">[11]Variables!$D$18</definedName>
    <definedName name="SERVICES_3" localSheetId="6">#REF!</definedName>
    <definedName name="SERVICES_3" localSheetId="2">#REF!</definedName>
    <definedName name="SERVICES_3" localSheetId="3">#REF!</definedName>
    <definedName name="SERVICES_3" localSheetId="4">#REF!</definedName>
    <definedName name="SERVICES_3">#REF!</definedName>
    <definedName name="sg" localSheetId="6">#REF!</definedName>
    <definedName name="sg" localSheetId="2">#REF!</definedName>
    <definedName name="sg" localSheetId="4">#REF!</definedName>
    <definedName name="sg">#REF!</definedName>
    <definedName name="shit" localSheetId="7" hidden="1">{"PRINT",#N/A,TRUE,"APPA";"PRINT",#N/A,TRUE,"APS";"PRINT",#N/A,TRUE,"BHPL";"PRINT",#N/A,TRUE,"BHPL2";"PRINT",#N/A,TRUE,"CDWR";"PRINT",#N/A,TRUE,"EWEB";"PRINT",#N/A,TRUE,"LADWP";"PRINT",#N/A,TRUE,"NEVBASE"}</definedName>
    <definedName name="shit" localSheetId="4" hidden="1">{"PRINT",#N/A,TRUE,"APPA";"PRINT",#N/A,TRUE,"APS";"PRINT",#N/A,TRUE,"BHPL";"PRINT",#N/A,TRUE,"BHPL2";"PRINT",#N/A,TRUE,"CDWR";"PRINT",#N/A,TRUE,"EWEB";"PRINT",#N/A,TRUE,"LADWP";"PRINT",#N/A,TRUE,"NEVBASE"}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olver_adj" localSheetId="1" hidden="1">'Exhibit-RMP(JRS-2)'!#REF!</definedName>
    <definedName name="solver_cvg" localSheetId="1" hidden="1">0.001</definedName>
    <definedName name="solver_drv" localSheetId="1" hidden="1">1</definedName>
    <definedName name="solver_est" localSheetId="1" hidden="1">1</definedName>
    <definedName name="solver_itr" localSheetId="1" hidden="1">100</definedName>
    <definedName name="solver_lin" localSheetId="1" hidden="1">2</definedName>
    <definedName name="solver_neg" localSheetId="1" hidden="1">2</definedName>
    <definedName name="solver_num" localSheetId="1" hidden="1">0</definedName>
    <definedName name="solver_nwt" localSheetId="1" hidden="1">1</definedName>
    <definedName name="solver_opt" localSheetId="1" hidden="1">'Exhibit-RMP(JRS-2)'!#REF!</definedName>
    <definedName name="solver_pre" localSheetId="1" hidden="1">0.000001</definedName>
    <definedName name="solver_scl" localSheetId="1" hidden="1">2</definedName>
    <definedName name="solver_sho" localSheetId="1" hidden="1">2</definedName>
    <definedName name="solver_tim" localSheetId="1" hidden="1">100</definedName>
    <definedName name="solver_tol" localSheetId="1" hidden="1">0.05</definedName>
    <definedName name="solver_typ" localSheetId="1" hidden="1">2</definedName>
    <definedName name="solver_val" localSheetId="1" hidden="1">0</definedName>
    <definedName name="SRV_YR1">[13]Variables!$C$18</definedName>
    <definedName name="SRV_YR2">[13]Variables!$D$18</definedName>
    <definedName name="START" localSheetId="6">[1]Jan!#REF!</definedName>
    <definedName name="START" localSheetId="2">[1]Jan!#REF!</definedName>
    <definedName name="START" localSheetId="3">[1]Jan!#REF!</definedName>
    <definedName name="START" localSheetId="4">[1]Jan!#REF!</definedName>
    <definedName name="START">[1]Jan!#REF!</definedName>
    <definedName name="State" localSheetId="5">[4]Inputs!$C$5</definedName>
    <definedName name="State" localSheetId="7">[5]Inputs!$C$5</definedName>
    <definedName name="State">[11]Variables!$C$10</definedName>
    <definedName name="Streetlight_Year1">[11]Variables!$C$24</definedName>
    <definedName name="Streetlight_Year2">[11]Variables!$D$24</definedName>
    <definedName name="SUM_TAB1" localSheetId="6">#REF!</definedName>
    <definedName name="SUM_TAB1" localSheetId="2">#REF!</definedName>
    <definedName name="SUM_TAB1" localSheetId="3">#REF!</definedName>
    <definedName name="SUM_TAB1" localSheetId="4">#REF!</definedName>
    <definedName name="SUM_TAB1">#REF!</definedName>
    <definedName name="SUM_TAB2" localSheetId="6">#REF!</definedName>
    <definedName name="SUM_TAB2" localSheetId="2">#REF!</definedName>
    <definedName name="SUM_TAB2" localSheetId="4">#REF!</definedName>
    <definedName name="SUM_TAB2">#REF!</definedName>
    <definedName name="SUM_TAB3" localSheetId="6">#REF!</definedName>
    <definedName name="SUM_TAB3" localSheetId="2">#REF!</definedName>
    <definedName name="SUM_TAB3" localSheetId="4">#REF!</definedName>
    <definedName name="SUM_TAB3">#REF!</definedName>
    <definedName name="TABLE_1" localSheetId="6">#REF!</definedName>
    <definedName name="TABLE_1" localSheetId="2">#REF!</definedName>
    <definedName name="TABLE_1" localSheetId="4">#REF!</definedName>
    <definedName name="TABLE_1">#REF!</definedName>
    <definedName name="TABLE_2" localSheetId="6">#REF!</definedName>
    <definedName name="TABLE_2" localSheetId="2">#REF!</definedName>
    <definedName name="TABLE_2" localSheetId="4">#REF!</definedName>
    <definedName name="TABLE_2">#REF!</definedName>
    <definedName name="TABLE_3" localSheetId="6">#REF!</definedName>
    <definedName name="TABLE_3" localSheetId="2">#REF!</definedName>
    <definedName name="TABLE_3" localSheetId="4">#REF!</definedName>
    <definedName name="TABLE_3">#REF!</definedName>
    <definedName name="TABLE_4" localSheetId="6">#REF!</definedName>
    <definedName name="TABLE_4" localSheetId="2">#REF!</definedName>
    <definedName name="TABLE_4" localSheetId="4">#REF!</definedName>
    <definedName name="TABLE_4">#REF!</definedName>
    <definedName name="TABLE_4_A" localSheetId="6">#REF!</definedName>
    <definedName name="TABLE_4_A" localSheetId="2">#REF!</definedName>
    <definedName name="TABLE_4_A" localSheetId="4">#REF!</definedName>
    <definedName name="TABLE_4_A">#REF!</definedName>
    <definedName name="TABLE_5" localSheetId="6">#REF!</definedName>
    <definedName name="TABLE_5" localSheetId="2">#REF!</definedName>
    <definedName name="TABLE_5" localSheetId="4">#REF!</definedName>
    <definedName name="TABLE_5">#REF!</definedName>
    <definedName name="TABLE_6" localSheetId="6">#REF!</definedName>
    <definedName name="TABLE_6" localSheetId="2">#REF!</definedName>
    <definedName name="TABLE_6" localSheetId="4">#REF!</definedName>
    <definedName name="TABLE_6">#REF!</definedName>
    <definedName name="TABLE_7" localSheetId="6">#REF!</definedName>
    <definedName name="TABLE_7" localSheetId="2">#REF!</definedName>
    <definedName name="TABLE_7" localSheetId="4">#REF!</definedName>
    <definedName name="TABLE_7">#REF!</definedName>
    <definedName name="TABLE1" localSheetId="6">#REF!</definedName>
    <definedName name="TABLE1" localSheetId="2">#REF!</definedName>
    <definedName name="TABLE1" localSheetId="4">#REF!</definedName>
    <definedName name="TABLE1">#REF!</definedName>
    <definedName name="TABLE2" localSheetId="6">#REF!</definedName>
    <definedName name="TABLE2" localSheetId="2">#REF!</definedName>
    <definedName name="TABLE2" localSheetId="4">#REF!</definedName>
    <definedName name="TABLE2">#REF!</definedName>
    <definedName name="TABLEA" localSheetId="6">#REF!</definedName>
    <definedName name="TABLEA" localSheetId="2">#REF!</definedName>
    <definedName name="TABLEA" localSheetId="4">#REF!</definedName>
    <definedName name="TABLEA">#REF!</definedName>
    <definedName name="TABLEB" localSheetId="6">#REF!</definedName>
    <definedName name="TABLEB" localSheetId="2">#REF!</definedName>
    <definedName name="TABLEB" localSheetId="4">#REF!</definedName>
    <definedName name="TABLEB">#REF!</definedName>
    <definedName name="TABLEC" localSheetId="6">#REF!</definedName>
    <definedName name="TABLEC" localSheetId="2">#REF!</definedName>
    <definedName name="TABLEC" localSheetId="4">#REF!</definedName>
    <definedName name="TABLEC">#REF!</definedName>
    <definedName name="TABLEONE" localSheetId="6">#REF!</definedName>
    <definedName name="TABLEONE" localSheetId="2">#REF!</definedName>
    <definedName name="TABLEONE" localSheetId="4">#REF!</definedName>
    <definedName name="TABLEONE">#REF!</definedName>
    <definedName name="TargetROR" localSheetId="2">[31]Inputs!$L$6</definedName>
    <definedName name="TargetROR" localSheetId="0">[31]Inputs!$L$6</definedName>
    <definedName name="TargetROR" localSheetId="5">[4]Inputs!$L$6</definedName>
    <definedName name="TargetROR" localSheetId="3">[32]Inputs!$L$6</definedName>
    <definedName name="TargetROR" localSheetId="7">[5]Inputs!$L$6</definedName>
    <definedName name="Targetror">[10]Variables!$I$38</definedName>
    <definedName name="TDMOD" localSheetId="6">#REF!</definedName>
    <definedName name="TDMOD" localSheetId="2">#REF!</definedName>
    <definedName name="TDMOD" localSheetId="3">#REF!</definedName>
    <definedName name="TDMOD" localSheetId="4">#REF!</definedName>
    <definedName name="TDMOD">#REF!</definedName>
    <definedName name="TDROLL" localSheetId="6">#REF!</definedName>
    <definedName name="TDROLL" localSheetId="2">#REF!</definedName>
    <definedName name="TDROLL" localSheetId="4">#REF!</definedName>
    <definedName name="TDROLL">#REF!</definedName>
    <definedName name="TEMPADJ" localSheetId="6">#REF!</definedName>
    <definedName name="TEMPADJ" localSheetId="2">#REF!</definedName>
    <definedName name="TEMPADJ" localSheetId="4">#REF!</definedName>
    <definedName name="TEMPADJ">#REF!</definedName>
    <definedName name="Test" localSheetId="6">#REF!</definedName>
    <definedName name="Test" localSheetId="2">#REF!</definedName>
    <definedName name="Test" localSheetId="4">#REF!</definedName>
    <definedName name="Test">#REF!</definedName>
    <definedName name="Test_COS" localSheetId="5">'[4]Hot Sheet'!$F$120</definedName>
    <definedName name="Test_COS" localSheetId="7">'[5]Hot Sheet'!$F$120</definedName>
    <definedName name="Test_COS">'[6]Hot Sheet'!$F$120</definedName>
    <definedName name="Test1" localSheetId="6">#REF!</definedName>
    <definedName name="Test1" localSheetId="2">#REF!</definedName>
    <definedName name="Test1" localSheetId="3">#REF!</definedName>
    <definedName name="Test1" localSheetId="4">#REF!</definedName>
    <definedName name="Test1">#REF!</definedName>
    <definedName name="Test2" localSheetId="6">#REF!</definedName>
    <definedName name="Test2" localSheetId="2">#REF!</definedName>
    <definedName name="Test2" localSheetId="4">#REF!</definedName>
    <definedName name="Test2">#REF!</definedName>
    <definedName name="Test3" localSheetId="6">#REF!</definedName>
    <definedName name="Test3" localSheetId="2">#REF!</definedName>
    <definedName name="Test3" localSheetId="4">#REF!</definedName>
    <definedName name="Test3">#REF!</definedName>
    <definedName name="Test4" localSheetId="6">#REF!</definedName>
    <definedName name="Test4" localSheetId="2">#REF!</definedName>
    <definedName name="Test4" localSheetId="4">#REF!</definedName>
    <definedName name="Test4">#REF!</definedName>
    <definedName name="Test5" localSheetId="6">#REF!</definedName>
    <definedName name="Test5" localSheetId="2">#REF!</definedName>
    <definedName name="Test5" localSheetId="4">#REF!</definedName>
    <definedName name="Test5">#REF!</definedName>
    <definedName name="TestPeriod" localSheetId="5">[4]Inputs!$C$6</definedName>
    <definedName name="TestPeriod" localSheetId="7">[5]Inputs!$C$6</definedName>
    <definedName name="TestPeriod">[6]Inputs!$C$6</definedName>
    <definedName name="TESTYEAR">[13]Variables!$C$11</definedName>
    <definedName name="TotalRateBase" localSheetId="5">'[4]G+T+D+R+M'!$H$58</definedName>
    <definedName name="TotalRateBase" localSheetId="7">'[5]G+T+D+R+M'!$H$58</definedName>
    <definedName name="TotalRateBase">'[8]G+T+D+R+M'!$H$58</definedName>
    <definedName name="TotTaxRate" localSheetId="5">[4]Inputs!$H$17</definedName>
    <definedName name="TotTaxRate" localSheetId="7">[5]Inputs!$H$17</definedName>
    <definedName name="TotTaxRate">[8]Inputs!$H$17</definedName>
    <definedName name="Trans_Year1">[11]Variables!$C$22</definedName>
    <definedName name="Trans_Year2">[11]Variables!$D$22</definedName>
    <definedName name="TRANS_YR1">[13]Variables!$C$22</definedName>
    <definedName name="TRANS_YR2">[13]Variables!$D$22</definedName>
    <definedName name="TRANSM_2">[33]Transm2!$A$1:$M$461:'[33]10 Yr FC'!$M$47</definedName>
    <definedName name="UAACT550SGW" localSheetId="5">[4]FuncStudy!$Y$405</definedName>
    <definedName name="UAACT550SGW" localSheetId="7">[5]FuncStudy!$Y$405</definedName>
    <definedName name="UAACT550SGW">[8]FuncStudy!$Y$405</definedName>
    <definedName name="UAACT554SGW" localSheetId="5">[4]FuncStudy!$Y$427</definedName>
    <definedName name="UAACT554SGW" localSheetId="7">[5]FuncStudy!$Y$427</definedName>
    <definedName name="UAACT554SGW">[8]FuncStudy!$Y$427</definedName>
    <definedName name="UAcct103" localSheetId="5">[4]FuncStudy!$Y$1315</definedName>
    <definedName name="UAcct103" localSheetId="7">[5]FuncStudy!$Y$1315</definedName>
    <definedName name="UAcct103">'[6]Func Study'!$AB$1645</definedName>
    <definedName name="UAcct105S" localSheetId="5">[4]FuncStudy!$Y$1673</definedName>
    <definedName name="UAcct105S" localSheetId="7">[5]FuncStudy!$Y$1673</definedName>
    <definedName name="UAcct105S">'[6]Func Study'!$AB$2033</definedName>
    <definedName name="UAcct105SEU" localSheetId="5">[4]FuncStudy!$Y$1677</definedName>
    <definedName name="UAcct105SEU" localSheetId="7">[5]FuncStudy!$Y$1677</definedName>
    <definedName name="UAcct105SEU">'[6]Func Study'!$AB$2037</definedName>
    <definedName name="UAcct105SGG" localSheetId="5">[4]FuncStudy!$Y$1678</definedName>
    <definedName name="UAcct105SGG" localSheetId="7">[5]FuncStudy!$Y$1678</definedName>
    <definedName name="UAcct105SGG">'[6]Func Study'!$AB$2038</definedName>
    <definedName name="UAcct105SGP1" localSheetId="5">[4]FuncStudy!$Y$1674</definedName>
    <definedName name="UAcct105SGP1" localSheetId="7">[5]FuncStudy!$Y$1674</definedName>
    <definedName name="UAcct105SGP1">'[6]Func Study'!$AB$2034</definedName>
    <definedName name="UAcct105SGP2" localSheetId="5">[4]FuncStudy!$Y$1676</definedName>
    <definedName name="UAcct105SGP2" localSheetId="7">[5]FuncStudy!$Y$1676</definedName>
    <definedName name="UAcct105SGP2">'[6]Func Study'!$AB$2036</definedName>
    <definedName name="UAcct105SGT" localSheetId="5">[4]FuncStudy!$Y$1675</definedName>
    <definedName name="UAcct105SGT" localSheetId="7">[5]FuncStudy!$Y$1675</definedName>
    <definedName name="UAcct105SGT">'[6]Func Study'!$AB$2035</definedName>
    <definedName name="UAcct1081390" localSheetId="5">[4]FuncStudy!$Y$2099</definedName>
    <definedName name="UAcct1081390" localSheetId="7">[5]FuncStudy!$Y$2099</definedName>
    <definedName name="UAcct1081390">'[6]Func Study'!$AB$2487</definedName>
    <definedName name="UAcct1081390Rcl" localSheetId="5">[4]FuncStudy!$Y$2098</definedName>
    <definedName name="UAcct1081390Rcl" localSheetId="7">[5]FuncStudy!$Y$2098</definedName>
    <definedName name="UAcct1081390Rcl">'[6]Func Study'!$AB$2486</definedName>
    <definedName name="UAcct1081399" localSheetId="5">[4]FuncStudy!$Y$2107</definedName>
    <definedName name="UAcct1081399" localSheetId="7">[5]FuncStudy!$Y$2107</definedName>
    <definedName name="UAcct1081399">'[6]Func Study'!$AB$2495</definedName>
    <definedName name="UAcct1081399Rcl" localSheetId="5">[4]FuncStudy!$Y$2106</definedName>
    <definedName name="UAcct1081399Rcl" localSheetId="7">[5]FuncStudy!$Y$2106</definedName>
    <definedName name="UAcct1081399Rcl">'[6]Func Study'!$AB$2494</definedName>
    <definedName name="UAcct108360" localSheetId="5">[4]FuncStudy!$Y$2006</definedName>
    <definedName name="UAcct108360" localSheetId="7">[5]FuncStudy!$Y$2006</definedName>
    <definedName name="UAcct108360">'[6]Func Study'!$AB$2389</definedName>
    <definedName name="UAcct108361" localSheetId="5">[4]FuncStudy!$Y$2010</definedName>
    <definedName name="UAcct108361" localSheetId="7">[5]FuncStudy!$Y$2010</definedName>
    <definedName name="UAcct108361">'[6]Func Study'!$AB$2393</definedName>
    <definedName name="UAcct108362" localSheetId="5">[4]FuncStudy!$Y$2014</definedName>
    <definedName name="UAcct108362" localSheetId="7">[5]FuncStudy!$Y$2014</definedName>
    <definedName name="UAcct108362">'[6]Func Study'!$AB$2397</definedName>
    <definedName name="UAcct108364" localSheetId="5">[4]FuncStudy!$Y$2018</definedName>
    <definedName name="UAcct108364" localSheetId="7">[5]FuncStudy!$Y$2018</definedName>
    <definedName name="UAcct108364">'[6]Func Study'!$AB$2401</definedName>
    <definedName name="UAcct108365" localSheetId="5">[4]FuncStudy!$Y$2022</definedName>
    <definedName name="UAcct108365" localSheetId="7">[5]FuncStudy!$Y$2022</definedName>
    <definedName name="UAcct108365">'[6]Func Study'!$AB$2405</definedName>
    <definedName name="UAcct108366" localSheetId="5">[4]FuncStudy!$Y$2026</definedName>
    <definedName name="UAcct108366" localSheetId="7">[5]FuncStudy!$Y$2026</definedName>
    <definedName name="UAcct108366">'[6]Func Study'!$AB$2409</definedName>
    <definedName name="UAcct108367" localSheetId="5">[4]FuncStudy!$Y$2030</definedName>
    <definedName name="UAcct108367" localSheetId="7">[5]FuncStudy!$Y$2030</definedName>
    <definedName name="UAcct108367">'[6]Func Study'!$AB$2413</definedName>
    <definedName name="UAcct108368" localSheetId="5">[4]FuncStudy!$Y$2034</definedName>
    <definedName name="UAcct108368" localSheetId="7">[5]FuncStudy!$Y$2034</definedName>
    <definedName name="UAcct108368">'[6]Func Study'!$AB$2417</definedName>
    <definedName name="UAcct108369" localSheetId="5">[4]FuncStudy!$Y$2038</definedName>
    <definedName name="UAcct108369" localSheetId="7">[5]FuncStudy!$Y$2038</definedName>
    <definedName name="UAcct108369">'[6]Func Study'!$AB$2421</definedName>
    <definedName name="UAcct108370" localSheetId="5">[4]FuncStudy!$Y$2042</definedName>
    <definedName name="UAcct108370" localSheetId="7">[5]FuncStudy!$Y$2042</definedName>
    <definedName name="UAcct108370">'[6]Func Study'!$AB$2425</definedName>
    <definedName name="UAcct108371" localSheetId="5">[4]FuncStudy!$Y$2046</definedName>
    <definedName name="UAcct108371" localSheetId="7">[5]FuncStudy!$Y$2046</definedName>
    <definedName name="UAcct108371">'[6]Func Study'!$AB$2429</definedName>
    <definedName name="UAcct108372" localSheetId="5">[4]FuncStudy!$Y$2050</definedName>
    <definedName name="UAcct108372" localSheetId="7">[5]FuncStudy!$Y$2050</definedName>
    <definedName name="UAcct108372">'[6]Func Study'!$AB$2433</definedName>
    <definedName name="UAcct108373" localSheetId="5">[4]FuncStudy!$Y$2054</definedName>
    <definedName name="UAcct108373" localSheetId="7">[5]FuncStudy!$Y$2054</definedName>
    <definedName name="UAcct108373">'[6]Func Study'!$AB$2437</definedName>
    <definedName name="UAcct108D" localSheetId="5">[4]FuncStudy!$Y$2066</definedName>
    <definedName name="UAcct108D" localSheetId="7">[5]FuncStudy!$Y$2066</definedName>
    <definedName name="UAcct108D">'[6]Func Study'!$AB$2449</definedName>
    <definedName name="UAcct108D00" localSheetId="5">[4]FuncStudy!$Y$2058</definedName>
    <definedName name="UAcct108D00" localSheetId="7">[5]FuncStudy!$Y$2058</definedName>
    <definedName name="UAcct108D00">'[6]Func Study'!$AB$2441</definedName>
    <definedName name="UAcct108Ds" localSheetId="5">[4]FuncStudy!$Y$2062</definedName>
    <definedName name="UAcct108Ds" localSheetId="7">[5]FuncStudy!$Y$2062</definedName>
    <definedName name="UAcct108Ds">'[6]Func Study'!$AB$2445</definedName>
    <definedName name="UAcct108Ep" localSheetId="5">[4]FuncStudy!$Y$1988</definedName>
    <definedName name="UAcct108Ep" localSheetId="7">[5]FuncStudy!$Y$1988</definedName>
    <definedName name="UAcct108Ep">'[6]Func Study'!$AB$2362</definedName>
    <definedName name="UAcct108Gpcn" localSheetId="5">[4]FuncStudy!$Y$2076</definedName>
    <definedName name="UAcct108Gpcn" localSheetId="7">[5]FuncStudy!$Y$2076</definedName>
    <definedName name="UAcct108Gpcn">'[6]Func Study'!$AB$2463</definedName>
    <definedName name="uacct108gpdeu">'[6]Func Study'!$AB$2466</definedName>
    <definedName name="UAcct108Gps" localSheetId="5">[4]FuncStudy!$Y$2072</definedName>
    <definedName name="UAcct108Gps" localSheetId="7">[5]FuncStudy!$Y$2072</definedName>
    <definedName name="UAcct108Gps">'[6]Func Study'!$AB$2459</definedName>
    <definedName name="UAcct108Gpse" localSheetId="5">[4]FuncStudy!$Y$2078</definedName>
    <definedName name="UAcct108Gpse" localSheetId="7">[5]FuncStudy!$Y$2078</definedName>
    <definedName name="UAcct108Gpse">'[6]Func Study'!$AB$2465</definedName>
    <definedName name="UAcct108Gpsg" localSheetId="5">[4]FuncStudy!$Y$2075</definedName>
    <definedName name="UAcct108Gpsg" localSheetId="7">[5]FuncStudy!$Y$2075</definedName>
    <definedName name="UAcct108Gpsg">'[6]Func Study'!$AB$2462</definedName>
    <definedName name="UAcct108Gpsgp" localSheetId="5">[4]FuncStudy!$Y$2073</definedName>
    <definedName name="UAcct108Gpsgp" localSheetId="7">[5]FuncStudy!$Y$2073</definedName>
    <definedName name="UAcct108Gpsgp">'[6]Func Study'!$AB$2460</definedName>
    <definedName name="UAcct108Gpsgu" localSheetId="5">[4]FuncStudy!$Y$2074</definedName>
    <definedName name="UAcct108Gpsgu" localSheetId="7">[5]FuncStudy!$Y$2074</definedName>
    <definedName name="UAcct108Gpsgu">'[6]Func Study'!$AB$2461</definedName>
    <definedName name="UAcct108Gpso" localSheetId="5">[4]FuncStudy!$Y$2077</definedName>
    <definedName name="UAcct108Gpso" localSheetId="7">[5]FuncStudy!$Y$2077</definedName>
    <definedName name="UAcct108Gpso">'[6]Func Study'!$AB$2464</definedName>
    <definedName name="UACCT108GPSSGCH" localSheetId="5">[4]FuncStudy!$Y$2080</definedName>
    <definedName name="UACCT108GPSSGCH" localSheetId="7">[5]FuncStudy!$Y$2080</definedName>
    <definedName name="UACCT108GPSSGCH">'[6]Func Study'!$AB$2468</definedName>
    <definedName name="UACCT108GPSSGCT" localSheetId="5">[4]FuncStudy!$Y$2079</definedName>
    <definedName name="UACCT108GPSSGCT" localSheetId="7">[5]FuncStudy!$Y$2079</definedName>
    <definedName name="UACCT108GPSSGCT">'[6]Func Study'!$AB$2467</definedName>
    <definedName name="UAcct108Hp" localSheetId="5">[4]FuncStudy!$Y$1975</definedName>
    <definedName name="UAcct108Hp" localSheetId="7">[5]FuncStudy!$Y$1975</definedName>
    <definedName name="UAcct108Hp">'[6]Func Study'!$AB$2349</definedName>
    <definedName name="UAcct108Mp" localSheetId="5">[4]FuncStudy!$Y$2092</definedName>
    <definedName name="UAcct108Mp" localSheetId="7">[5]FuncStudy!$Y$2092</definedName>
    <definedName name="UAcct108Mp">'[6]Func Study'!$AB$2480</definedName>
    <definedName name="UAcct108Np" localSheetId="5">[4]FuncStudy!$Y$1968</definedName>
    <definedName name="UAcct108Np" localSheetId="7">[5]FuncStudy!$Y$1968</definedName>
    <definedName name="UAcct108Np">'[6]Func Study'!$AB$2342</definedName>
    <definedName name="UAcct108Op" localSheetId="5">[4]FuncStudy!$Y$1983</definedName>
    <definedName name="UAcct108Op" localSheetId="7">[5]FuncStudy!$Y$1983</definedName>
    <definedName name="UAcct108Op">'[6]Func Study'!$AB$2357</definedName>
    <definedName name="UAcct108Opsgw" localSheetId="5">[4]FuncStudy!$Y$1980</definedName>
    <definedName name="UAcct108Opsgw" localSheetId="7">[5]FuncStudy!$Y$1980</definedName>
    <definedName name="UAcct108Opsgw">[8]FuncStudy!$Y$1980</definedName>
    <definedName name="UAcct108OPSSGCT" localSheetId="5">[4]FuncStudy!$Y$1982</definedName>
    <definedName name="UAcct108OPSSGCT" localSheetId="7">[5]FuncStudy!$Y$1982</definedName>
    <definedName name="UAcct108OPSSGCT">'[6]Func Study'!$AB$2356</definedName>
    <definedName name="UAcct108Sp" localSheetId="5">[4]FuncStudy!$Y$1962</definedName>
    <definedName name="UAcct108Sp" localSheetId="7">[5]FuncStudy!$Y$1962</definedName>
    <definedName name="UAcct108Sp">'[6]Func Study'!$AB$2336</definedName>
    <definedName name="uacct108spssgch" localSheetId="5">[4]FuncStudy!$Y$1961</definedName>
    <definedName name="uacct108spssgch" localSheetId="7">[5]FuncStudy!$Y$1961</definedName>
    <definedName name="uacct108spssgch">'[6]Func Study'!$AB$2335</definedName>
    <definedName name="UAcct108Tp" localSheetId="5">[4]FuncStudy!$Y$2002</definedName>
    <definedName name="UAcct108Tp" localSheetId="7">[5]FuncStudy!$Y$2002</definedName>
    <definedName name="UAcct108Tp">'[6]Func Study'!$AB$2380</definedName>
    <definedName name="UAcct111390" localSheetId="5">[4]FuncStudy!$Y$2159</definedName>
    <definedName name="UAcct111390" localSheetId="7">[5]FuncStudy!$Y$2159</definedName>
    <definedName name="UAcct111390">'[6]Func Study'!$AB$2554</definedName>
    <definedName name="UAcct111Clg" localSheetId="5">[4]FuncStudy!$Y$2128</definedName>
    <definedName name="UAcct111Clg" localSheetId="7">[5]FuncStudy!$Y$2128</definedName>
    <definedName name="UAcct111Clg">'[6]Func Study'!$AB$2523</definedName>
    <definedName name="UAcct111Clgcn" localSheetId="5">[4]FuncStudy!$Y$2124</definedName>
    <definedName name="UAcct111Clgcn" localSheetId="7">[5]FuncStudy!$Y$2124</definedName>
    <definedName name="UAcct111Clgcn">'[6]Func Study'!$AB$2519</definedName>
    <definedName name="UAcct111Clgsop" localSheetId="5">[4]FuncStudy!$Y$2127</definedName>
    <definedName name="UAcct111Clgsop" localSheetId="7">[5]FuncStudy!$Y$2127</definedName>
    <definedName name="UAcct111Clgsop">'[6]Func Study'!$AB$2522</definedName>
    <definedName name="UAcct111Clgsou" localSheetId="5">[4]FuncStudy!$Y$2126</definedName>
    <definedName name="UAcct111Clgsou" localSheetId="7">[5]FuncStudy!$Y$2126</definedName>
    <definedName name="UAcct111Clgsou">'[6]Func Study'!$AB$2521</definedName>
    <definedName name="UAcct111Clh" localSheetId="5">[4]FuncStudy!$Y$2134</definedName>
    <definedName name="UAcct111Clh" localSheetId="7">[5]FuncStudy!$Y$2134</definedName>
    <definedName name="UAcct111Clh">'[6]Func Study'!$AB$2529</definedName>
    <definedName name="UAcct111Cls" localSheetId="5">[4]FuncStudy!$Y$2119</definedName>
    <definedName name="UAcct111Cls" localSheetId="7">[5]FuncStudy!$Y$2119</definedName>
    <definedName name="UAcct111Cls">'[6]Func Study'!$AB$2514</definedName>
    <definedName name="UAcct111Ipcn" localSheetId="5">[4]FuncStudy!$Y$2143</definedName>
    <definedName name="UAcct111Ipcn" localSheetId="7">[5]FuncStudy!$Y$2143</definedName>
    <definedName name="UAcct111Ipcn">'[6]Func Study'!$AB$2538</definedName>
    <definedName name="UAcct111Ips" localSheetId="5">[4]FuncStudy!$Y$2138</definedName>
    <definedName name="UAcct111Ips" localSheetId="7">[5]FuncStudy!$Y$2138</definedName>
    <definedName name="UAcct111Ips">'[6]Func Study'!$AB$2533</definedName>
    <definedName name="UAcct111Ipse" localSheetId="5">[4]FuncStudy!$Y$2141</definedName>
    <definedName name="UAcct111Ipse" localSheetId="7">[5]FuncStudy!$Y$2141</definedName>
    <definedName name="UAcct111Ipse">'[6]Func Study'!$AB$2536</definedName>
    <definedName name="UAcct111Ipsg" localSheetId="5">[4]FuncStudy!$Y$2142</definedName>
    <definedName name="UAcct111Ipsg" localSheetId="7">[5]FuncStudy!$Y$2142</definedName>
    <definedName name="UAcct111Ipsg">'[6]Func Study'!$AB$2537</definedName>
    <definedName name="UAcct111Ipsgp" localSheetId="5">[4]FuncStudy!$Y$2139</definedName>
    <definedName name="UAcct111Ipsgp" localSheetId="7">[5]FuncStudy!$Y$2139</definedName>
    <definedName name="UAcct111Ipsgp">'[6]Func Study'!$AB$2534</definedName>
    <definedName name="UAcct111Ipsgu" localSheetId="5">[4]FuncStudy!$Y$2140</definedName>
    <definedName name="UAcct111Ipsgu" localSheetId="7">[5]FuncStudy!$Y$2140</definedName>
    <definedName name="UAcct111Ipsgu">'[6]Func Study'!$AB$2535</definedName>
    <definedName name="uacct111ipso" localSheetId="5">[4]FuncStudy!$Y$2146</definedName>
    <definedName name="uacct111ipso" localSheetId="7">[5]FuncStudy!$Y$2146</definedName>
    <definedName name="uacct111ipso">'[6]Func Study'!$AB$2541</definedName>
    <definedName name="UACCT111IPSSGCH" localSheetId="5">[4]FuncStudy!$Y$2145</definedName>
    <definedName name="UACCT111IPSSGCH" localSheetId="7">[5]FuncStudy!$Y$2145</definedName>
    <definedName name="UACCT111IPSSGCH">'[6]Func Study'!$AB$2540</definedName>
    <definedName name="UACCT111IPSSGCT">'[6]Func Study'!$AB$2539</definedName>
    <definedName name="UAcct114" localSheetId="5">[4]FuncStudy!$Y$1685</definedName>
    <definedName name="UAcct114" localSheetId="7">[5]FuncStudy!$Y$1685</definedName>
    <definedName name="UAcct114">'[6]Func Study'!$AB$2045</definedName>
    <definedName name="UAcct120" localSheetId="5">[4]FuncStudy!$Y$1689</definedName>
    <definedName name="UAcct120" localSheetId="7">[5]FuncStudy!$Y$1689</definedName>
    <definedName name="UAcct120">'[6]Func Study'!$AB$2049</definedName>
    <definedName name="UAcct124" localSheetId="5">[4]FuncStudy!$Y$1694</definedName>
    <definedName name="UAcct124" localSheetId="7">[5]FuncStudy!$Y$1694</definedName>
    <definedName name="UAcct124">'[6]Func Study'!$AB$2054</definedName>
    <definedName name="UAcct141" localSheetId="5">[4]FuncStudy!$Y$1834</definedName>
    <definedName name="UAcct141" localSheetId="7">[5]FuncStudy!$Y$1834</definedName>
    <definedName name="UAcct141">'[6]Func Study'!$AB$2199</definedName>
    <definedName name="UAcct151" localSheetId="5">[4]FuncStudy!$Y$1716</definedName>
    <definedName name="UAcct151" localSheetId="7">[5]FuncStudy!$Y$1716</definedName>
    <definedName name="UAcct151">'[6]Func Study'!$AB$2076</definedName>
    <definedName name="UAcct151Se" localSheetId="2">'[6]Func Study'!#REF!</definedName>
    <definedName name="UAcct151Se">'[6]Func Study'!#REF!</definedName>
    <definedName name="uacct151ssech" localSheetId="5">[4]FuncStudy!$Y$1715</definedName>
    <definedName name="uacct151ssech" localSheetId="7">[5]FuncStudy!$Y$1715</definedName>
    <definedName name="uacct151ssech">'[6]Func Study'!$AB$2075</definedName>
    <definedName name="UAcct154" localSheetId="5">[4]FuncStudy!$Y$1750</definedName>
    <definedName name="UAcct154" localSheetId="7">[5]FuncStudy!$Y$1750</definedName>
    <definedName name="UAcct154">'[6]Func Study'!$AB$2110</definedName>
    <definedName name="uacct154ssgch" localSheetId="5">[4]FuncStudy!$Y$1749</definedName>
    <definedName name="uacct154ssgch" localSheetId="7">[5]FuncStudy!$Y$1749</definedName>
    <definedName name="uacct154ssgch">'[6]Func Study'!$AB$2109</definedName>
    <definedName name="UAcct163" localSheetId="5">[4]FuncStudy!$Y$1755</definedName>
    <definedName name="UAcct163" localSheetId="7">[5]FuncStudy!$Y$1755</definedName>
    <definedName name="UAcct163">'[6]Func Study'!$AB$2120</definedName>
    <definedName name="UAcct165" localSheetId="5">[4]FuncStudy!$Y$1770</definedName>
    <definedName name="UAcct165" localSheetId="7">[5]FuncStudy!$Y$1770</definedName>
    <definedName name="UAcct165">'[6]Func Study'!$AB$2135</definedName>
    <definedName name="UAcct165Se" localSheetId="5">[4]FuncStudy!$Y$1768</definedName>
    <definedName name="UAcct165Se" localSheetId="7">[5]FuncStudy!$Y$1768</definedName>
    <definedName name="UAcct165Se">'[6]Func Study'!$AB$2133</definedName>
    <definedName name="UAcct182" localSheetId="5">[4]FuncStudy!$Y$1701</definedName>
    <definedName name="UAcct182" localSheetId="7">[5]FuncStudy!$Y$1701</definedName>
    <definedName name="UAcct182">'[6]Func Study'!$AB$2061</definedName>
    <definedName name="UAcct18222" localSheetId="5">[4]FuncStudy!$Y$1824</definedName>
    <definedName name="UAcct18222" localSheetId="7">[5]FuncStudy!$Y$1824</definedName>
    <definedName name="UAcct18222">'[6]Func Study'!$AB$2189</definedName>
    <definedName name="UAcct182M" localSheetId="5">[4]FuncStudy!$Y$1780</definedName>
    <definedName name="UAcct182M" localSheetId="7">[5]FuncStudy!$Y$1780</definedName>
    <definedName name="UAcct182M">'[6]Func Study'!$AB$2145</definedName>
    <definedName name="UAcct182MSSGCT" localSheetId="5">[4]FuncStudy!$Y$1778</definedName>
    <definedName name="UAcct182MSSGCT" localSheetId="7">[5]FuncStudy!$Y$1778</definedName>
    <definedName name="UAcct182MSSGCT">[8]FuncStudy!$Y$1778</definedName>
    <definedName name="uacct182ssgch">'[6]Func Study'!$AB$2142</definedName>
    <definedName name="UAcct186" localSheetId="5">[4]FuncStudy!$Y$1709</definedName>
    <definedName name="UAcct186" localSheetId="7">[5]FuncStudy!$Y$1709</definedName>
    <definedName name="UAcct186">'[6]Func Study'!$AB$2069</definedName>
    <definedName name="UAcct1869" localSheetId="5">[4]FuncStudy!$Y$1829</definedName>
    <definedName name="UAcct1869" localSheetId="7">[5]FuncStudy!$Y$1829</definedName>
    <definedName name="UAcct1869">'[6]Func Study'!$AB$2194</definedName>
    <definedName name="UAcct186M" localSheetId="5">[4]FuncStudy!$Y$1791</definedName>
    <definedName name="UAcct186M" localSheetId="7">[5]FuncStudy!$Y$1791</definedName>
    <definedName name="UAcct186M">'[6]Func Study'!$AB$2156</definedName>
    <definedName name="UAcct186Mse" localSheetId="5">[4]FuncStudy!$Y$1788</definedName>
    <definedName name="UAcct186Mse" localSheetId="7">[5]FuncStudy!$Y$1788</definedName>
    <definedName name="UAcct186Mse">'[6]Func Study'!$AB$2153</definedName>
    <definedName name="UAcct190" localSheetId="5">[4]FuncStudy!$Y$1902</definedName>
    <definedName name="UAcct190" localSheetId="7">[5]FuncStudy!$Y$1902</definedName>
    <definedName name="UAcct190">'[6]Func Study'!$AB$2271</definedName>
    <definedName name="UAcct190CN" localSheetId="5">[4]FuncStudy!$Y$1891</definedName>
    <definedName name="UAcct190CN" localSheetId="7">[5]FuncStudy!$Y$1891</definedName>
    <definedName name="UAcct190CN">'[6]Func Study'!$AB$2260</definedName>
    <definedName name="UAcct190Dop" localSheetId="5">[4]FuncStudy!$Y$1892</definedName>
    <definedName name="UAcct190Dop" localSheetId="7">[5]FuncStudy!$Y$1892</definedName>
    <definedName name="UAcct190Dop">'[6]Func Study'!$AB$2261</definedName>
    <definedName name="UACCT190IBT" localSheetId="5">[4]FuncStudy!$Y$1894</definedName>
    <definedName name="UACCT190IBT" localSheetId="7">[5]FuncStudy!$Y$1894</definedName>
    <definedName name="UACCT190IBT">'[6]Func Study'!$AB$2263</definedName>
    <definedName name="UACCT190SSGCT" localSheetId="5">[4]FuncStudy!$Y$1901</definedName>
    <definedName name="UACCT190SSGCT" localSheetId="7">[5]FuncStudy!$Y$1901</definedName>
    <definedName name="UACCT190SSGCT">'[6]Func Study'!$AB$2270</definedName>
    <definedName name="UACCT2281" localSheetId="5">[4]FuncStudy!$Y$1847</definedName>
    <definedName name="UACCT2281" localSheetId="7">[5]FuncStudy!$Y$1847</definedName>
    <definedName name="UACCT2281">'[6]Func Study'!$AB$2216</definedName>
    <definedName name="UAcct2282" localSheetId="5">[4]FuncStudy!$Y$1851</definedName>
    <definedName name="UAcct2282" localSheetId="7">[5]FuncStudy!$Y$1851</definedName>
    <definedName name="UAcct2282">'[6]Func Study'!$AB$2220</definedName>
    <definedName name="UAcct2283" localSheetId="5">[4]FuncStudy!$Y$1855</definedName>
    <definedName name="UAcct2283" localSheetId="7">[5]FuncStudy!$Y$1855</definedName>
    <definedName name="UAcct2283">'[6]Func Study'!$AB$2224</definedName>
    <definedName name="UAcct2283S" localSheetId="5">[4]FuncStudy!$Y$1859</definedName>
    <definedName name="UAcct2283S" localSheetId="7">[5]FuncStudy!$Y$1859</definedName>
    <definedName name="UAcct2283S">'[6]Func Study'!$AB$2228</definedName>
    <definedName name="UAcct22842" localSheetId="5">[4]FuncStudy!$Y$1868</definedName>
    <definedName name="UAcct22842" localSheetId="7">[5]FuncStudy!$Y$1868</definedName>
    <definedName name="UAcct22842">'[6]Func Study'!$AB$2237</definedName>
    <definedName name="UAcct22842Trojd" localSheetId="6">'[7]Func Study'!#REF!</definedName>
    <definedName name="UAcct22842Trojd" localSheetId="2">'[7]Func Study'!#REF!</definedName>
    <definedName name="UAcct22842Trojd" localSheetId="3">'[7]Func Study'!#REF!</definedName>
    <definedName name="UAcct22842Trojd" localSheetId="4">'[7]Func Study'!#REF!</definedName>
    <definedName name="UAcct22842Trojd">'[7]Func Study'!#REF!</definedName>
    <definedName name="UAcct235" localSheetId="5">[4]FuncStudy!$Y$1843</definedName>
    <definedName name="UAcct235" localSheetId="7">[5]FuncStudy!$Y$1843</definedName>
    <definedName name="UAcct235">'[6]Func Study'!$AB$2212</definedName>
    <definedName name="UAcct252" localSheetId="5">[4]FuncStudy!$Y$1876</definedName>
    <definedName name="UAcct252" localSheetId="7">[5]FuncStudy!$Y$1876</definedName>
    <definedName name="UAcct252">'[6]Func Study'!$AB$2245</definedName>
    <definedName name="UAcct25316" localSheetId="5">[4]FuncStudy!$Y$1724</definedName>
    <definedName name="UAcct25316" localSheetId="7">[5]FuncStudy!$Y$1724</definedName>
    <definedName name="UAcct25316">'[6]Func Study'!$AB$2084</definedName>
    <definedName name="UAcct25317" localSheetId="5">[4]FuncStudy!$Y$1728</definedName>
    <definedName name="UAcct25317" localSheetId="7">[5]FuncStudy!$Y$1728</definedName>
    <definedName name="UAcct25317">'[6]Func Study'!$AB$2088</definedName>
    <definedName name="UAcct25318" localSheetId="5">[4]FuncStudy!$Y$1760</definedName>
    <definedName name="UAcct25318" localSheetId="7">[5]FuncStudy!$Y$1760</definedName>
    <definedName name="UAcct25318">'[6]Func Study'!$AB$2125</definedName>
    <definedName name="UAcct25319" localSheetId="5">[4]FuncStudy!$Y$1732</definedName>
    <definedName name="UAcct25319" localSheetId="7">[5]FuncStudy!$Y$1732</definedName>
    <definedName name="UAcct25319">'[6]Func Study'!$AB$2092</definedName>
    <definedName name="UACCT25398" localSheetId="5">[4]FuncStudy!$Y$1880</definedName>
    <definedName name="UACCT25398" localSheetId="7">[5]FuncStudy!$Y$1880</definedName>
    <definedName name="UACCT25398">'[6]Func Study'!$AB$2249</definedName>
    <definedName name="UAcct25399" localSheetId="5">[4]FuncStudy!$Y$1887</definedName>
    <definedName name="UAcct25399" localSheetId="7">[5]FuncStudy!$Y$1887</definedName>
    <definedName name="UAcct25399">'[6]Func Study'!$AB$2256</definedName>
    <definedName name="UAcct254" localSheetId="5">[4]FuncStudy!$Y$1864</definedName>
    <definedName name="UAcct254" localSheetId="7">[5]FuncStudy!$Y$1864</definedName>
    <definedName name="UAcct254">'[6]Func Study'!$AB$2233</definedName>
    <definedName name="UACCT254SO" localSheetId="5">[4]FuncStudy!$Y$1863</definedName>
    <definedName name="UACCT254SO" localSheetId="7">[5]FuncStudy!$Y$1863</definedName>
    <definedName name="UACCT254SO">'[6]Func Study'!$AB$2232</definedName>
    <definedName name="UAcct255" localSheetId="5">[4]FuncStudy!$Y$1952</definedName>
    <definedName name="UAcct255" localSheetId="7">[5]FuncStudy!$Y$1952</definedName>
    <definedName name="UAcct255">'[6]Func Study'!$AB$2321</definedName>
    <definedName name="UAcct281" localSheetId="5">[4]FuncStudy!$Y$1908</definedName>
    <definedName name="UAcct281" localSheetId="7">[5]FuncStudy!$Y$1908</definedName>
    <definedName name="UAcct281">'[6]Func Study'!$AB$2277</definedName>
    <definedName name="UAcct282" localSheetId="5">[4]FuncStudy!$Y$1926</definedName>
    <definedName name="UAcct282" localSheetId="7">[5]FuncStudy!$Y$1926</definedName>
    <definedName name="UAcct282">'[6]Func Study'!$AB$2295</definedName>
    <definedName name="UAcct282So" localSheetId="5">[4]FuncStudy!$Y$1914</definedName>
    <definedName name="UAcct282So" localSheetId="7">[5]FuncStudy!$Y$1914</definedName>
    <definedName name="UAcct282So">'[6]Func Study'!$AB$2283</definedName>
    <definedName name="UAcct283" localSheetId="5">[4]FuncStudy!$Y$1939</definedName>
    <definedName name="UAcct283" localSheetId="7">[5]FuncStudy!$Y$1939</definedName>
    <definedName name="UAcct283">'[6]Func Study'!$AB$2308</definedName>
    <definedName name="UAcct283So" localSheetId="5">[4]FuncStudy!$Y$1932</definedName>
    <definedName name="UAcct283So" localSheetId="7">[5]FuncStudy!$Y$1932</definedName>
    <definedName name="UAcct283So">'[6]Func Study'!$AB$2301</definedName>
    <definedName name="UACCT283SSGCH">'[6]Func Study'!$AB$2307</definedName>
    <definedName name="UAcct301S" localSheetId="5">[4]FuncStudy!$Y$1636</definedName>
    <definedName name="UAcct301S" localSheetId="7">[5]FuncStudy!$Y$1636</definedName>
    <definedName name="UAcct301S">'[6]Func Study'!$AB$1993</definedName>
    <definedName name="UAcct301Sg" localSheetId="5">[4]FuncStudy!$Y$1638</definedName>
    <definedName name="UAcct301Sg" localSheetId="7">[5]FuncStudy!$Y$1638</definedName>
    <definedName name="UAcct301Sg">'[6]Func Study'!$AB$1995</definedName>
    <definedName name="UAcct301So" localSheetId="5">[4]FuncStudy!$Y$1637</definedName>
    <definedName name="UAcct301So" localSheetId="7">[5]FuncStudy!$Y$1637</definedName>
    <definedName name="UAcct301So">'[6]Func Study'!$AB$1994</definedName>
    <definedName name="UAcct302S" localSheetId="5">[4]FuncStudy!$Y$1641</definedName>
    <definedName name="UAcct302S" localSheetId="7">[5]FuncStudy!$Y$1641</definedName>
    <definedName name="UAcct302S">'[6]Func Study'!$AB$1998</definedName>
    <definedName name="UAcct302Sg" localSheetId="5">[4]FuncStudy!$Y$1642</definedName>
    <definedName name="UAcct302Sg" localSheetId="7">[5]FuncStudy!$Y$1642</definedName>
    <definedName name="UAcct302Sg">'[6]Func Study'!$AB$1999</definedName>
    <definedName name="UAcct302Sgp" localSheetId="5">[4]FuncStudy!$Y$1643</definedName>
    <definedName name="UAcct302Sgp" localSheetId="7">[5]FuncStudy!$Y$1643</definedName>
    <definedName name="UAcct302Sgp">'[6]Func Study'!$AB$2000</definedName>
    <definedName name="UAcct302Sgu" localSheetId="5">[4]FuncStudy!$Y$1644</definedName>
    <definedName name="UAcct302Sgu" localSheetId="7">[5]FuncStudy!$Y$1644</definedName>
    <definedName name="UAcct302Sgu">'[6]Func Study'!$AB$2001</definedName>
    <definedName name="UAcct303Cn" localSheetId="5">[4]FuncStudy!$Y$1652</definedName>
    <definedName name="UAcct303Cn" localSheetId="7">[5]FuncStudy!$Y$1652</definedName>
    <definedName name="UAcct303Cn">'[6]Func Study'!$AB$2009</definedName>
    <definedName name="UAcct303S" localSheetId="5">[4]FuncStudy!$Y$1648</definedName>
    <definedName name="UAcct303S" localSheetId="7">[5]FuncStudy!$Y$1648</definedName>
    <definedName name="UAcct303S">'[6]Func Study'!$AB$2005</definedName>
    <definedName name="UAcct303Se" localSheetId="5">[4]FuncStudy!$Y$1651</definedName>
    <definedName name="UAcct303Se" localSheetId="7">[5]FuncStudy!$Y$1651</definedName>
    <definedName name="UAcct303Se">'[6]Func Study'!$AB$2008</definedName>
    <definedName name="UAcct303Sg" localSheetId="5">[4]FuncStudy!$Y$1649</definedName>
    <definedName name="UAcct303Sg" localSheetId="7">[5]FuncStudy!$Y$1649</definedName>
    <definedName name="UAcct303Sg">'[6]Func Study'!$AB$2006</definedName>
    <definedName name="UAcct303So" localSheetId="5">[4]FuncStudy!$Y$1650</definedName>
    <definedName name="UAcct303So" localSheetId="7">[5]FuncStudy!$Y$1650</definedName>
    <definedName name="UAcct303So">'[6]Func Study'!$AB$2007</definedName>
    <definedName name="UACCT303SSGCT" localSheetId="5">[4]FuncStudy!$Y$1654</definedName>
    <definedName name="UACCT303SSGCT" localSheetId="7">[5]FuncStudy!$Y$1654</definedName>
    <definedName name="UACCT303SSGCT">'[6]Func Study'!$AB$2011</definedName>
    <definedName name="UAcct310" localSheetId="5">[4]FuncStudy!$Y$1151</definedName>
    <definedName name="UAcct310" localSheetId="7">[5]FuncStudy!$Y$1151</definedName>
    <definedName name="UAcct310">'[6]Func Study'!$AB$1441</definedName>
    <definedName name="uacct310ssgch" localSheetId="5">[4]FuncStudy!$Y$1150</definedName>
    <definedName name="uacct310ssgch" localSheetId="7">[5]FuncStudy!$Y$1150</definedName>
    <definedName name="uacct310ssgch">'[6]Func Study'!$AB$1440</definedName>
    <definedName name="UAcct311" localSheetId="5">[4]FuncStudy!$Y$1156</definedName>
    <definedName name="UAcct311" localSheetId="7">[5]FuncStudy!$Y$1156</definedName>
    <definedName name="UAcct311">'[6]Func Study'!$AB$1448</definedName>
    <definedName name="uacct311ssgch" localSheetId="5">[4]FuncStudy!$Y$1155</definedName>
    <definedName name="uacct311ssgch" localSheetId="7">[5]FuncStudy!$Y$1155</definedName>
    <definedName name="uacct311ssgch">'[6]Func Study'!$AB$1447</definedName>
    <definedName name="UAcct312" localSheetId="5">[4]FuncStudy!$Y$1161</definedName>
    <definedName name="UAcct312" localSheetId="7">[5]FuncStudy!$Y$1161</definedName>
    <definedName name="UAcct312">'[6]Func Study'!$AB$1455</definedName>
    <definedName name="uacct312ssgch" localSheetId="5">[4]FuncStudy!$Y$1160</definedName>
    <definedName name="uacct312ssgch" localSheetId="7">[5]FuncStudy!$Y$1160</definedName>
    <definedName name="uacct312ssgch">'[6]Func Study'!$AB$1454</definedName>
    <definedName name="UAcct314" localSheetId="5">[4]FuncStudy!$Y$1166</definedName>
    <definedName name="UAcct314" localSheetId="7">[5]FuncStudy!$Y$1166</definedName>
    <definedName name="UAcct314">'[6]Func Study'!$AB$1462</definedName>
    <definedName name="uacct314ssgch" localSheetId="5">[4]FuncStudy!$Y$1165</definedName>
    <definedName name="uacct314ssgch" localSheetId="7">[5]FuncStudy!$Y$1165</definedName>
    <definedName name="uacct314ssgch">'[6]Func Study'!$AB$1461</definedName>
    <definedName name="UAcct315" localSheetId="5">[4]FuncStudy!$Y$1171</definedName>
    <definedName name="UAcct315" localSheetId="7">[5]FuncStudy!$Y$1171</definedName>
    <definedName name="UAcct315">'[6]Func Study'!$AB$1469</definedName>
    <definedName name="uacct315ssgch" localSheetId="5">[4]FuncStudy!$Y$1170</definedName>
    <definedName name="uacct315ssgch" localSheetId="7">[5]FuncStudy!$Y$1170</definedName>
    <definedName name="uacct315ssgch">'[6]Func Study'!$AB$1468</definedName>
    <definedName name="UAcct316" localSheetId="5">[4]FuncStudy!$Y$1176</definedName>
    <definedName name="UAcct316" localSheetId="7">[5]FuncStudy!$Y$1176</definedName>
    <definedName name="UAcct316">'[6]Func Study'!$AB$1476</definedName>
    <definedName name="uacct316ssgch" localSheetId="5">[4]FuncStudy!$Y$1175</definedName>
    <definedName name="uacct316ssgch" localSheetId="7">[5]FuncStudy!$Y$1175</definedName>
    <definedName name="uacct316ssgch">'[6]Func Study'!$AB$1475</definedName>
    <definedName name="UAcct320" localSheetId="5">[4]FuncStudy!$Y$1188</definedName>
    <definedName name="UAcct320" localSheetId="7">[5]FuncStudy!$Y$1188</definedName>
    <definedName name="UAcct320">'[6]Func Study'!$AB$1492</definedName>
    <definedName name="UAcct321" localSheetId="5">[4]FuncStudy!$Y$1192</definedName>
    <definedName name="UAcct321" localSheetId="7">[5]FuncStudy!$Y$1192</definedName>
    <definedName name="UAcct321">'[6]Func Study'!$AB$1497</definedName>
    <definedName name="UAcct322" localSheetId="5">[4]FuncStudy!$Y$1196</definedName>
    <definedName name="UAcct322" localSheetId="7">[5]FuncStudy!$Y$1196</definedName>
    <definedName name="UAcct322">'[6]Func Study'!$AB$1502</definedName>
    <definedName name="UAcct323" localSheetId="5">[4]FuncStudy!$Y$1200</definedName>
    <definedName name="UAcct323" localSheetId="7">[5]FuncStudy!$Y$1200</definedName>
    <definedName name="UAcct323">'[6]Func Study'!$AB$1507</definedName>
    <definedName name="UAcct324" localSheetId="5">[4]FuncStudy!$Y$1204</definedName>
    <definedName name="UAcct324" localSheetId="7">[5]FuncStudy!$Y$1204</definedName>
    <definedName name="UAcct324">'[6]Func Study'!$AB$1512</definedName>
    <definedName name="UAcct325" localSheetId="5">[4]FuncStudy!$Y$1208</definedName>
    <definedName name="UAcct325" localSheetId="7">[5]FuncStudy!$Y$1208</definedName>
    <definedName name="UAcct325">'[6]Func Study'!$AB$1517</definedName>
    <definedName name="UAcct33" localSheetId="5">[4]FuncStudy!$Y$131</definedName>
    <definedName name="UAcct33" localSheetId="7">[5]FuncStudy!$Y$131</definedName>
    <definedName name="UAcct33">'[6]Func Study'!$AB$290</definedName>
    <definedName name="UAcct330" localSheetId="5">[4]FuncStudy!$Y$1221</definedName>
    <definedName name="UAcct330" localSheetId="7">[5]FuncStudy!$Y$1221</definedName>
    <definedName name="UAcct330">'[6]Func Study'!$AB$1535</definedName>
    <definedName name="UAcct331" localSheetId="5">[4]FuncStudy!$Y$1226</definedName>
    <definedName name="UAcct331" localSheetId="7">[5]FuncStudy!$Y$1226</definedName>
    <definedName name="UAcct331">'[6]Func Study'!$AB$1541</definedName>
    <definedName name="UAcct332" localSheetId="5">[4]FuncStudy!$Y$1231</definedName>
    <definedName name="UAcct332" localSheetId="7">[5]FuncStudy!$Y$1231</definedName>
    <definedName name="UAcct332">'[6]Func Study'!$AB$1547</definedName>
    <definedName name="UAcct333" localSheetId="5">[4]FuncStudy!$Y$1236</definedName>
    <definedName name="UAcct333" localSheetId="7">[5]FuncStudy!$Y$1236</definedName>
    <definedName name="UAcct333">'[6]Func Study'!$AB$1553</definedName>
    <definedName name="UAcct334" localSheetId="5">[4]FuncStudy!$Y$1241</definedName>
    <definedName name="UAcct334" localSheetId="7">[5]FuncStudy!$Y$1241</definedName>
    <definedName name="UAcct334">'[6]Func Study'!$AB$1559</definedName>
    <definedName name="UAcct335" localSheetId="5">[4]FuncStudy!$Y$1246</definedName>
    <definedName name="UAcct335" localSheetId="7">[5]FuncStudy!$Y$1246</definedName>
    <definedName name="UAcct335">'[6]Func Study'!$AB$1565</definedName>
    <definedName name="UAcct336" localSheetId="5">[4]FuncStudy!$Y$1251</definedName>
    <definedName name="UAcct336" localSheetId="7">[5]FuncStudy!$Y$1251</definedName>
    <definedName name="UAcct336">'[6]Func Study'!$AB$1571</definedName>
    <definedName name="UAcct340" localSheetId="5">[4]FuncStudy!$Y$1266</definedName>
    <definedName name="UAcct340" localSheetId="7">[5]FuncStudy!$Y$1266</definedName>
    <definedName name="UAcct340">'[6]Func Study'!$AB$1600</definedName>
    <definedName name="UAcct340Sgw" localSheetId="5">[4]FuncStudy!$Y$1264</definedName>
    <definedName name="UAcct340Sgw" localSheetId="7">[5]FuncStudy!$Y$1264</definedName>
    <definedName name="UAcct340Sgw">[8]FuncStudy!$Y$1264</definedName>
    <definedName name="UAcct341" localSheetId="5">[4]FuncStudy!$Y$1272</definedName>
    <definedName name="UAcct341" localSheetId="7">[5]FuncStudy!$Y$1272</definedName>
    <definedName name="UAcct341">'[6]Func Study'!$AB$1605</definedName>
    <definedName name="UACCT341SGW" localSheetId="5">[4]FuncStudy!$Y$1270</definedName>
    <definedName name="UACCT341SGW" localSheetId="7">[5]FuncStudy!$Y$1270</definedName>
    <definedName name="UACCT341SGW">[8]FuncStudy!$Y$1270</definedName>
    <definedName name="uacct341ssgct" localSheetId="5">[4]FuncStudy!$Y$1271</definedName>
    <definedName name="uacct341ssgct" localSheetId="7">[5]FuncStudy!$Y$1271</definedName>
    <definedName name="uacct341ssgct">'[6]Func Study'!$AB$1604</definedName>
    <definedName name="UAcct342" localSheetId="5">[4]FuncStudy!$Y$1277</definedName>
    <definedName name="UAcct342" localSheetId="7">[5]FuncStudy!$Y$1277</definedName>
    <definedName name="UAcct342">'[6]Func Study'!$AB$1610</definedName>
    <definedName name="uacct342ssgct" localSheetId="5">[4]FuncStudy!$Y$1276</definedName>
    <definedName name="uacct342ssgct" localSheetId="7">[5]FuncStudy!$Y$1276</definedName>
    <definedName name="uacct342ssgct">'[6]Func Study'!$AB$1609</definedName>
    <definedName name="UAcct343" localSheetId="5">[4]FuncStudy!$Y$1284</definedName>
    <definedName name="UAcct343" localSheetId="7">[5]FuncStudy!$Y$1284</definedName>
    <definedName name="UAcct343">'[6]Func Study'!$AB$1617</definedName>
    <definedName name="UAcct343Sgw" localSheetId="5">[4]FuncStudy!$Y$1282</definedName>
    <definedName name="UAcct343Sgw" localSheetId="7">[5]FuncStudy!$Y$1282</definedName>
    <definedName name="UAcct343Sgw">[8]FuncStudy!$Y$1282</definedName>
    <definedName name="uacct343sscct" localSheetId="5">[4]FuncStudy!$Y$1283</definedName>
    <definedName name="uacct343sscct" localSheetId="7">[5]FuncStudy!$Y$1283</definedName>
    <definedName name="uacct343sscct">'[6]Func Study'!$AB$1616</definedName>
    <definedName name="UAcct344" localSheetId="5">[4]FuncStudy!$Y$1291</definedName>
    <definedName name="UAcct344" localSheetId="7">[5]FuncStudy!$Y$1291</definedName>
    <definedName name="UAcct344">'[6]Func Study'!$AB$1623</definedName>
    <definedName name="UACCT344SGW" localSheetId="5">[4]FuncStudy!$Y$1289</definedName>
    <definedName name="UACCT344SGW" localSheetId="7">[5]FuncStudy!$Y$1289</definedName>
    <definedName name="UACCT344SGW">[8]FuncStudy!$Y$1289</definedName>
    <definedName name="uacct344ssgct" localSheetId="5">[4]FuncStudy!$Y$1290</definedName>
    <definedName name="uacct344ssgct" localSheetId="7">[5]FuncStudy!$Y$1290</definedName>
    <definedName name="uacct344ssgct">'[6]Func Study'!$AB$1622</definedName>
    <definedName name="UAcct345" localSheetId="5">[4]FuncStudy!$Y$1297</definedName>
    <definedName name="UAcct345" localSheetId="7">[5]FuncStudy!$Y$1297</definedName>
    <definedName name="UAcct345">'[6]Func Study'!$AB$1628</definedName>
    <definedName name="UACCT345SGW" localSheetId="5">[4]FuncStudy!$Y$1295</definedName>
    <definedName name="UACCT345SGW" localSheetId="7">[5]FuncStudy!$Y$1295</definedName>
    <definedName name="UACCT345SGW">[8]FuncStudy!$Y$1295</definedName>
    <definedName name="uacct345ssgct" localSheetId="5">[4]FuncStudy!$Y$1296</definedName>
    <definedName name="uacct345ssgct" localSheetId="7">[5]FuncStudy!$Y$1296</definedName>
    <definedName name="uacct345ssgct">'[6]Func Study'!$AB$1627</definedName>
    <definedName name="UAcct346" localSheetId="5">[4]FuncStudy!$Y$1303</definedName>
    <definedName name="UAcct346" localSheetId="7">[5]FuncStudy!$Y$1303</definedName>
    <definedName name="UAcct346">'[6]Func Study'!$AB$1633</definedName>
    <definedName name="UAcct346SGW" localSheetId="5">[4]FuncStudy!$Y$1301</definedName>
    <definedName name="UAcct346SGW" localSheetId="7">[5]FuncStudy!$Y$1301</definedName>
    <definedName name="UAcct346SGW">[8]FuncStudy!$Y$1301</definedName>
    <definedName name="UAcct350" localSheetId="5">[4]FuncStudy!$Y$1323</definedName>
    <definedName name="UAcct350" localSheetId="7">[5]FuncStudy!$Y$1323</definedName>
    <definedName name="UAcct350">'[6]Func Study'!$AB$1660</definedName>
    <definedName name="UAcct352" localSheetId="5">[4]FuncStudy!$Y$1330</definedName>
    <definedName name="UAcct352" localSheetId="7">[5]FuncStudy!$Y$1330</definedName>
    <definedName name="UAcct352">'[6]Func Study'!$AB$1667</definedName>
    <definedName name="UAcct353" localSheetId="5">[4]FuncStudy!$Y$1336</definedName>
    <definedName name="UAcct353" localSheetId="7">[5]FuncStudy!$Y$1336</definedName>
    <definedName name="UAcct353">'[6]Func Study'!$AB$1673</definedName>
    <definedName name="UAcct354" localSheetId="5">[4]FuncStudy!$Y$1342</definedName>
    <definedName name="UAcct354" localSheetId="7">[5]FuncStudy!$Y$1342</definedName>
    <definedName name="UAcct354">'[6]Func Study'!$AB$1679</definedName>
    <definedName name="UAcct355" localSheetId="5">[4]FuncStudy!$Y$1348</definedName>
    <definedName name="UAcct355" localSheetId="7">[5]FuncStudy!$Y$1348</definedName>
    <definedName name="UAcct355">'[6]Func Study'!$AB$1685</definedName>
    <definedName name="UAcct356" localSheetId="5">[4]FuncStudy!$Y$1354</definedName>
    <definedName name="UAcct356" localSheetId="7">[5]FuncStudy!$Y$1354</definedName>
    <definedName name="UAcct356">'[6]Func Study'!$AB$1691</definedName>
    <definedName name="UAcct357" localSheetId="5">[4]FuncStudy!$Y$1360</definedName>
    <definedName name="UAcct357" localSheetId="7">[5]FuncStudy!$Y$1360</definedName>
    <definedName name="UAcct357">'[6]Func Study'!$AB$1697</definedName>
    <definedName name="UAcct358" localSheetId="5">[4]FuncStudy!$Y$1366</definedName>
    <definedName name="UAcct358" localSheetId="7">[5]FuncStudy!$Y$1366</definedName>
    <definedName name="UAcct358">'[6]Func Study'!$AB$1703</definedName>
    <definedName name="UAcct359" localSheetId="5">[4]FuncStudy!$Y$1372</definedName>
    <definedName name="UAcct359" localSheetId="7">[5]FuncStudy!$Y$1372</definedName>
    <definedName name="UAcct359">'[6]Func Study'!$AB$1709</definedName>
    <definedName name="UAcct360" localSheetId="5">[4]FuncStudy!$Y$1388</definedName>
    <definedName name="UAcct360" localSheetId="7">[5]FuncStudy!$Y$1388</definedName>
    <definedName name="UAcct360">'[6]Func Study'!$AB$1729</definedName>
    <definedName name="UAcct361" localSheetId="5">[4]FuncStudy!$Y$1394</definedName>
    <definedName name="UAcct361" localSheetId="7">[5]FuncStudy!$Y$1394</definedName>
    <definedName name="UAcct361">'[6]Func Study'!$AB$1735</definedName>
    <definedName name="UAcct362" localSheetId="5">[4]FuncStudy!$Y$1400</definedName>
    <definedName name="UAcct362" localSheetId="7">[5]FuncStudy!$Y$1400</definedName>
    <definedName name="UAcct362">'[6]Func Study'!$AB$1741</definedName>
    <definedName name="UAcct368" localSheetId="5">[4]FuncStudy!$Y$1434</definedName>
    <definedName name="UAcct368" localSheetId="7">[5]FuncStudy!$Y$1434</definedName>
    <definedName name="UAcct368">'[6]Func Study'!$AB$1775</definedName>
    <definedName name="UAcct369" localSheetId="5">[4]FuncStudy!$Y$1441</definedName>
    <definedName name="UAcct369" localSheetId="7">[5]FuncStudy!$Y$1441</definedName>
    <definedName name="UAcct369">'[6]Func Study'!$AB$1782</definedName>
    <definedName name="UAcct370" localSheetId="5">[4]FuncStudy!$Y$1447</definedName>
    <definedName name="UAcct370" localSheetId="7">[5]FuncStudy!$Y$1447</definedName>
    <definedName name="UAcct370">'[6]Func Study'!$AB$1793</definedName>
    <definedName name="UAcct372A" localSheetId="5">[4]FuncStudy!$Y$1460</definedName>
    <definedName name="UAcct372A" localSheetId="7">[5]FuncStudy!$Y$1460</definedName>
    <definedName name="UAcct372A">'[6]Func Study'!$AB$1806</definedName>
    <definedName name="UAcct372Dp" localSheetId="5">[4]FuncStudy!$Y$1458</definedName>
    <definedName name="UAcct372Dp" localSheetId="7">[5]FuncStudy!$Y$1458</definedName>
    <definedName name="UAcct372Dp">'[6]Func Study'!$AB$1804</definedName>
    <definedName name="UAcct372Ds" localSheetId="5">[4]FuncStudy!$Y$1459</definedName>
    <definedName name="UAcct372Ds" localSheetId="7">[5]FuncStudy!$Y$1459</definedName>
    <definedName name="UAcct372Ds">'[6]Func Study'!$AB$1805</definedName>
    <definedName name="UAcct373" localSheetId="5">[4]FuncStudy!$Y$1467</definedName>
    <definedName name="UAcct373" localSheetId="7">[5]FuncStudy!$Y$1467</definedName>
    <definedName name="UAcct373">'[6]Func Study'!$AB$1813</definedName>
    <definedName name="UAcct389Cn" localSheetId="5">[4]FuncStudy!$Y$1482</definedName>
    <definedName name="UAcct389Cn" localSheetId="7">[5]FuncStudy!$Y$1482</definedName>
    <definedName name="UAcct389Cn">'[6]Func Study'!$AB$1831</definedName>
    <definedName name="UAcct389S" localSheetId="5">[4]FuncStudy!$Y$1481</definedName>
    <definedName name="UAcct389S" localSheetId="7">[5]FuncStudy!$Y$1481</definedName>
    <definedName name="UAcct389S">'[6]Func Study'!$AB$1830</definedName>
    <definedName name="UAcct389Sg" localSheetId="5">[4]FuncStudy!$Y$1484</definedName>
    <definedName name="UAcct389Sg" localSheetId="7">[5]FuncStudy!$Y$1484</definedName>
    <definedName name="UAcct389Sg">'[6]Func Study'!$AB$1833</definedName>
    <definedName name="UAcct389Sgu" localSheetId="5">[4]FuncStudy!$Y$1483</definedName>
    <definedName name="UAcct389Sgu" localSheetId="7">[5]FuncStudy!$Y$1483</definedName>
    <definedName name="UAcct389Sgu">'[6]Func Study'!$AB$1832</definedName>
    <definedName name="UAcct389So" localSheetId="5">[4]FuncStudy!$Y$1485</definedName>
    <definedName name="UAcct389So" localSheetId="7">[5]FuncStudy!$Y$1485</definedName>
    <definedName name="UAcct389So">'[6]Func Study'!$AB$1834</definedName>
    <definedName name="UAcct390Cn" localSheetId="5">[4]FuncStudy!$Y$1492</definedName>
    <definedName name="UAcct390Cn" localSheetId="7">[5]FuncStudy!$Y$1492</definedName>
    <definedName name="UAcct390Cn">'[6]Func Study'!$AB$1841</definedName>
    <definedName name="UACCT390LS" localSheetId="5">[4]FuncStudy!$Y$1601</definedName>
    <definedName name="UACCT390LS" localSheetId="7">[5]FuncStudy!$Y$1601</definedName>
    <definedName name="UACCT390LS">'[6]Func Study'!$AB$1954</definedName>
    <definedName name="UAcct390LSG" localSheetId="5">[4]FuncStudy!$Y$1602</definedName>
    <definedName name="UAcct390LSG" localSheetId="7">[5]FuncStudy!$Y$1602</definedName>
    <definedName name="UAcct390LSG">'[6]Func Study'!$AB$1955</definedName>
    <definedName name="UAcct390LSO" localSheetId="5">[4]FuncStudy!$Y$1603</definedName>
    <definedName name="UAcct390LSO" localSheetId="7">[5]FuncStudy!$Y$1603</definedName>
    <definedName name="UAcct390LSO">'[6]Func Study'!$AB$1956</definedName>
    <definedName name="UAcct390S" localSheetId="5">[4]FuncStudy!$Y$1489</definedName>
    <definedName name="UAcct390S" localSheetId="7">[5]FuncStudy!$Y$1489</definedName>
    <definedName name="UAcct390S">'[6]Func Study'!$AB$1838</definedName>
    <definedName name="UAcct390Sgp" localSheetId="5">[4]FuncStudy!$Y$1490</definedName>
    <definedName name="UAcct390Sgp" localSheetId="7">[5]FuncStudy!$Y$1490</definedName>
    <definedName name="UAcct390Sgp">'[6]Func Study'!$AB$1839</definedName>
    <definedName name="UAcct390Sgu" localSheetId="5">[4]FuncStudy!$Y$1491</definedName>
    <definedName name="UAcct390Sgu" localSheetId="7">[5]FuncStudy!$Y$1491</definedName>
    <definedName name="UAcct390Sgu">'[6]Func Study'!$AB$1840</definedName>
    <definedName name="UAcct390Sop" localSheetId="5">[4]FuncStudy!$Y$1493</definedName>
    <definedName name="UAcct390Sop" localSheetId="7">[5]FuncStudy!$Y$1493</definedName>
    <definedName name="UAcct390Sop">'[6]Func Study'!$AB$1842</definedName>
    <definedName name="UAcct390Sou" localSheetId="5">[4]FuncStudy!$Y$1494</definedName>
    <definedName name="UAcct390Sou" localSheetId="7">[5]FuncStudy!$Y$1494</definedName>
    <definedName name="UAcct390Sou">'[6]Func Study'!$AB$1843</definedName>
    <definedName name="UAcct391Cn" localSheetId="5">[4]FuncStudy!$Y$1501</definedName>
    <definedName name="UAcct391Cn" localSheetId="7">[5]FuncStudy!$Y$1501</definedName>
    <definedName name="UAcct391Cn">'[6]Func Study'!$AB$1851</definedName>
    <definedName name="UAcct391S" localSheetId="5">[4]FuncStudy!$Y$1498</definedName>
    <definedName name="UAcct391S" localSheetId="7">[5]FuncStudy!$Y$1498</definedName>
    <definedName name="UAcct391S">'[6]Func Study'!$AB$1848</definedName>
    <definedName name="UAcct391Se" localSheetId="5">[4]FuncStudy!$Y$1503</definedName>
    <definedName name="UAcct391Se" localSheetId="7">[5]FuncStudy!$Y$1503</definedName>
    <definedName name="UAcct391Se">'[6]Func Study'!$AB$1853</definedName>
    <definedName name="UAcct391Sg" localSheetId="5">[4]FuncStudy!$Y$1502</definedName>
    <definedName name="UAcct391Sg" localSheetId="7">[5]FuncStudy!$Y$1502</definedName>
    <definedName name="UAcct391Sg">'[6]Func Study'!$AB$1852</definedName>
    <definedName name="UAcct391Sgp" localSheetId="5">[4]FuncStudy!$Y$1499</definedName>
    <definedName name="UAcct391Sgp" localSheetId="7">[5]FuncStudy!$Y$1499</definedName>
    <definedName name="UAcct391Sgp">'[6]Func Study'!$AB$1849</definedName>
    <definedName name="UAcct391Sgu" localSheetId="5">[4]FuncStudy!$Y$1500</definedName>
    <definedName name="UAcct391Sgu" localSheetId="7">[5]FuncStudy!$Y$1500</definedName>
    <definedName name="UAcct391Sgu">'[6]Func Study'!$AB$1850</definedName>
    <definedName name="UAcct391So" localSheetId="5">[4]FuncStudy!$Y$1504</definedName>
    <definedName name="UAcct391So" localSheetId="7">[5]FuncStudy!$Y$1504</definedName>
    <definedName name="UAcct391So">'[6]Func Study'!$AB$1854</definedName>
    <definedName name="uacct391ssgch" localSheetId="5">[4]FuncStudy!$Y$1505</definedName>
    <definedName name="uacct391ssgch" localSheetId="7">[5]FuncStudy!$Y$1505</definedName>
    <definedName name="uacct391ssgch">'[6]Func Study'!$AB$1855</definedName>
    <definedName name="UACCT391SSGCT" localSheetId="5">[4]FuncStudy!$Y$1506</definedName>
    <definedName name="UACCT391SSGCT" localSheetId="7">[5]FuncStudy!$Y$1506</definedName>
    <definedName name="UACCT391SSGCT">'[6]Func Study'!$AB$1856</definedName>
    <definedName name="UAcct392Cn" localSheetId="5">[4]FuncStudy!$Y$1513</definedName>
    <definedName name="UAcct392Cn" localSheetId="7">[5]FuncStudy!$Y$1513</definedName>
    <definedName name="UAcct392Cn">'[6]Func Study'!$AB$1863</definedName>
    <definedName name="UAcct392L" localSheetId="5">[4]FuncStudy!$Y$1611</definedName>
    <definedName name="UAcct392L" localSheetId="7">[5]FuncStudy!$Y$1611</definedName>
    <definedName name="UAcct392L">'[6]Func Study'!$AB$1964</definedName>
    <definedName name="UACCT392LRCL" localSheetId="5">[4]FuncStudy!$F$1614</definedName>
    <definedName name="UACCT392LRCL" localSheetId="7">[5]FuncStudy!$F$1614</definedName>
    <definedName name="UACCT392LRCL">'[6]Func Study'!$H$1967</definedName>
    <definedName name="UAcct392S" localSheetId="5">[4]FuncStudy!$Y$1510</definedName>
    <definedName name="UAcct392S" localSheetId="7">[5]FuncStudy!$Y$1510</definedName>
    <definedName name="UAcct392S">'[6]Func Study'!$AB$1860</definedName>
    <definedName name="UAcct392Se" localSheetId="5">[4]FuncStudy!$Y$1515</definedName>
    <definedName name="UAcct392Se" localSheetId="7">[5]FuncStudy!$Y$1515</definedName>
    <definedName name="UAcct392Se">'[6]Func Study'!$AB$1865</definedName>
    <definedName name="UAcct392Sg" localSheetId="5">[4]FuncStudy!$Y$1512</definedName>
    <definedName name="UAcct392Sg" localSheetId="7">[5]FuncStudy!$Y$1512</definedName>
    <definedName name="UAcct392Sg">'[6]Func Study'!$AB$1862</definedName>
    <definedName name="UAcct392Sgp" localSheetId="5">[4]FuncStudy!$Y$1516</definedName>
    <definedName name="UAcct392Sgp" localSheetId="7">[5]FuncStudy!$Y$1516</definedName>
    <definedName name="UAcct392Sgp">'[6]Func Study'!$AB$1866</definedName>
    <definedName name="UAcct392Sgu" localSheetId="5">[4]FuncStudy!$Y$1514</definedName>
    <definedName name="UAcct392Sgu" localSheetId="7">[5]FuncStudy!$Y$1514</definedName>
    <definedName name="UAcct392Sgu">'[6]Func Study'!$AB$1864</definedName>
    <definedName name="UAcct392So" localSheetId="5">[4]FuncStudy!$Y$1511</definedName>
    <definedName name="UAcct392So" localSheetId="7">[5]FuncStudy!$Y$1511</definedName>
    <definedName name="UAcct392So">'[6]Func Study'!$AB$1861</definedName>
    <definedName name="uacct392ssgch" localSheetId="5">[4]FuncStudy!$Y$1517</definedName>
    <definedName name="uacct392ssgch" localSheetId="7">[5]FuncStudy!$Y$1517</definedName>
    <definedName name="uacct392ssgch">'[6]Func Study'!$AB$1867</definedName>
    <definedName name="uacct392ssgct" localSheetId="5">[4]FuncStudy!$Y$1518</definedName>
    <definedName name="uacct392ssgct" localSheetId="7">[5]FuncStudy!$Y$1518</definedName>
    <definedName name="uacct392ssgct">'[6]Func Study'!$AB$1868</definedName>
    <definedName name="UAcct393S" localSheetId="5">[4]FuncStudy!$Y$1522</definedName>
    <definedName name="UAcct393S" localSheetId="7">[5]FuncStudy!$Y$1522</definedName>
    <definedName name="UAcct393S">'[6]Func Study'!$AB$1872</definedName>
    <definedName name="UAcct393Sg" localSheetId="5">[4]FuncStudy!$Y$1526</definedName>
    <definedName name="UAcct393Sg" localSheetId="7">[5]FuncStudy!$Y$1526</definedName>
    <definedName name="UAcct393Sg">'[6]Func Study'!$AB$1876</definedName>
    <definedName name="UAcct393Sgp" localSheetId="5">[4]FuncStudy!$Y$1523</definedName>
    <definedName name="UAcct393Sgp" localSheetId="7">[5]FuncStudy!$Y$1523</definedName>
    <definedName name="UAcct393Sgp">'[6]Func Study'!$AB$1873</definedName>
    <definedName name="UAcct393Sgu" localSheetId="5">[4]FuncStudy!$Y$1524</definedName>
    <definedName name="UAcct393Sgu" localSheetId="7">[5]FuncStudy!$Y$1524</definedName>
    <definedName name="UAcct393Sgu">'[6]Func Study'!$AB$1874</definedName>
    <definedName name="UAcct393So" localSheetId="5">[4]FuncStudy!$Y$1525</definedName>
    <definedName name="UAcct393So" localSheetId="7">[5]FuncStudy!$Y$1525</definedName>
    <definedName name="UAcct393So">'[6]Func Study'!$AB$1875</definedName>
    <definedName name="uacct393ssgct" localSheetId="5">[4]FuncStudy!$Y$1527</definedName>
    <definedName name="uacct393ssgct" localSheetId="7">[5]FuncStudy!$Y$1527</definedName>
    <definedName name="uacct393ssgct">'[6]Func Study'!$AB$1877</definedName>
    <definedName name="UAcct394S" localSheetId="5">[4]FuncStudy!$Y$1531</definedName>
    <definedName name="UAcct394S" localSheetId="7">[5]FuncStudy!$Y$1531</definedName>
    <definedName name="UAcct394S">'[6]Func Study'!$AB$1881</definedName>
    <definedName name="UAcct394Se" localSheetId="5">[4]FuncStudy!$Y$1535</definedName>
    <definedName name="UAcct394Se" localSheetId="7">[5]FuncStudy!$Y$1535</definedName>
    <definedName name="UAcct394Se">'[6]Func Study'!$AB$1885</definedName>
    <definedName name="UAcct394Sg" localSheetId="5">[4]FuncStudy!$Y$1536</definedName>
    <definedName name="UAcct394Sg" localSheetId="7">[5]FuncStudy!$Y$1536</definedName>
    <definedName name="UAcct394Sg">'[6]Func Study'!$AB$1886</definedName>
    <definedName name="UAcct394Sgp" localSheetId="5">[4]FuncStudy!$Y$1532</definedName>
    <definedName name="UAcct394Sgp" localSheetId="7">[5]FuncStudy!$Y$1532</definedName>
    <definedName name="UAcct394Sgp">'[6]Func Study'!$AB$1882</definedName>
    <definedName name="UAcct394Sgu" localSheetId="5">[4]FuncStudy!$Y$1533</definedName>
    <definedName name="UAcct394Sgu" localSheetId="7">[5]FuncStudy!$Y$1533</definedName>
    <definedName name="UAcct394Sgu">'[6]Func Study'!$AB$1883</definedName>
    <definedName name="UAcct394So" localSheetId="5">[4]FuncStudy!$Y$1534</definedName>
    <definedName name="UAcct394So" localSheetId="7">[5]FuncStudy!$Y$1534</definedName>
    <definedName name="UAcct394So">'[6]Func Study'!$AB$1884</definedName>
    <definedName name="UACCT394SSGCH" localSheetId="5">[4]FuncStudy!$Y$1537</definedName>
    <definedName name="UACCT394SSGCH" localSheetId="7">[5]FuncStudy!$Y$1537</definedName>
    <definedName name="UACCT394SSGCH">'[6]Func Study'!$AB$1887</definedName>
    <definedName name="UACCT394SSGCT" localSheetId="5">[4]FuncStudy!$Y$1538</definedName>
    <definedName name="UACCT394SSGCT" localSheetId="7">[5]FuncStudy!$Y$1538</definedName>
    <definedName name="UACCT394SSGCT">'[6]Func Study'!$AB$1888</definedName>
    <definedName name="UAcct395S" localSheetId="5">[4]FuncStudy!$Y$1542</definedName>
    <definedName name="UAcct395S" localSheetId="7">[5]FuncStudy!$Y$1542</definedName>
    <definedName name="UAcct395S">'[6]Func Study'!$AB$1892</definedName>
    <definedName name="UAcct395Se" localSheetId="5">[4]FuncStudy!$Y$1546</definedName>
    <definedName name="UAcct395Se" localSheetId="7">[5]FuncStudy!$Y$1546</definedName>
    <definedName name="UAcct395Se">'[6]Func Study'!$AB$1896</definedName>
    <definedName name="UAcct395Sg" localSheetId="5">[4]FuncStudy!$Y$1547</definedName>
    <definedName name="UAcct395Sg" localSheetId="7">[5]FuncStudy!$Y$1547</definedName>
    <definedName name="UAcct395Sg">'[6]Func Study'!$AB$1897</definedName>
    <definedName name="UAcct395Sgp" localSheetId="5">[4]FuncStudy!$Y$1543</definedName>
    <definedName name="UAcct395Sgp" localSheetId="7">[5]FuncStudy!$Y$1543</definedName>
    <definedName name="UAcct395Sgp">'[6]Func Study'!$AB$1893</definedName>
    <definedName name="UAcct395Sgu" localSheetId="5">[4]FuncStudy!$Y$1544</definedName>
    <definedName name="UAcct395Sgu" localSheetId="7">[5]FuncStudy!$Y$1544</definedName>
    <definedName name="UAcct395Sgu">'[6]Func Study'!$AB$1894</definedName>
    <definedName name="UAcct395So" localSheetId="5">[4]FuncStudy!$Y$1545</definedName>
    <definedName name="UAcct395So" localSheetId="7">[5]FuncStudy!$Y$1545</definedName>
    <definedName name="UAcct395So">'[6]Func Study'!$AB$1895</definedName>
    <definedName name="UACCT395SSGCH" localSheetId="5">[4]FuncStudy!$Y$1548</definedName>
    <definedName name="UACCT395SSGCH" localSheetId="7">[5]FuncStudy!$Y$1548</definedName>
    <definedName name="UACCT395SSGCH">'[6]Func Study'!$AB$1898</definedName>
    <definedName name="UACCT395SSGCT" localSheetId="5">[4]FuncStudy!$Y$1549</definedName>
    <definedName name="UACCT395SSGCT" localSheetId="7">[5]FuncStudy!$Y$1549</definedName>
    <definedName name="UACCT395SSGCT">'[6]Func Study'!$AB$1899</definedName>
    <definedName name="UAcct396S" localSheetId="5">[4]FuncStudy!$Y$1553</definedName>
    <definedName name="UAcct396S" localSheetId="7">[5]FuncStudy!$Y$1553</definedName>
    <definedName name="UAcct396S">'[6]Func Study'!$AB$1903</definedName>
    <definedName name="UAcct396Se" localSheetId="5">[4]FuncStudy!$Y$1558</definedName>
    <definedName name="UAcct396Se" localSheetId="7">[5]FuncStudy!$Y$1558</definedName>
    <definedName name="UAcct396Se">'[6]Func Study'!$AB$1908</definedName>
    <definedName name="UAcct396Sg" localSheetId="5">[4]FuncStudy!$Y$1555</definedName>
    <definedName name="UAcct396Sg" localSheetId="7">[5]FuncStudy!$Y$1555</definedName>
    <definedName name="UAcct396Sg">'[6]Func Study'!$AB$1905</definedName>
    <definedName name="UAcct396Sgp" localSheetId="5">[4]FuncStudy!$Y$1554</definedName>
    <definedName name="UAcct396Sgp" localSheetId="7">[5]FuncStudy!$Y$1554</definedName>
    <definedName name="UAcct396Sgp">'[6]Func Study'!$AB$1904</definedName>
    <definedName name="UAcct396Sgu" localSheetId="5">[4]FuncStudy!$Y$1557</definedName>
    <definedName name="UAcct396Sgu" localSheetId="7">[5]FuncStudy!$Y$1557</definedName>
    <definedName name="UAcct396Sgu">'[6]Func Study'!$AB$1907</definedName>
    <definedName name="UAcct396So" localSheetId="5">[4]FuncStudy!$Y$1556</definedName>
    <definedName name="UAcct396So" localSheetId="7">[5]FuncStudy!$Y$1556</definedName>
    <definedName name="UAcct396So">'[6]Func Study'!$AB$1906</definedName>
    <definedName name="UACCT396SSGCH" localSheetId="5">[4]FuncStudy!$Y$1560</definedName>
    <definedName name="UACCT396SSGCH" localSheetId="7">[5]FuncStudy!$Y$1560</definedName>
    <definedName name="UACCT396SSGCH">'[6]Func Study'!$AB$1910</definedName>
    <definedName name="UACCT396SSGCT" localSheetId="5">[4]FuncStudy!$Y$1559</definedName>
    <definedName name="UACCT396SSGCT" localSheetId="7">[5]FuncStudy!$Y$1559</definedName>
    <definedName name="UACCT396SSGCT">'[6]Func Study'!$AB$1909</definedName>
    <definedName name="UAcct397Cn" localSheetId="5">[4]FuncStudy!$Y$1568</definedName>
    <definedName name="UAcct397Cn" localSheetId="7">[5]FuncStudy!$Y$1568</definedName>
    <definedName name="UAcct397Cn">'[6]Func Study'!$AB$1921</definedName>
    <definedName name="UAcct397S" localSheetId="5">[4]FuncStudy!$Y$1564</definedName>
    <definedName name="UAcct397S" localSheetId="7">[5]FuncStudy!$Y$1564</definedName>
    <definedName name="UAcct397S">'[6]Func Study'!$AB$1917</definedName>
    <definedName name="UAcct397Se" localSheetId="5">[4]FuncStudy!$Y$1570</definedName>
    <definedName name="UAcct397Se" localSheetId="7">[5]FuncStudy!$Y$1570</definedName>
    <definedName name="UAcct397Se">'[6]Func Study'!$AB$1923</definedName>
    <definedName name="UAcct397Sg" localSheetId="5">[4]FuncStudy!$Y$1569</definedName>
    <definedName name="UAcct397Sg" localSheetId="7">[5]FuncStudy!$Y$1569</definedName>
    <definedName name="UAcct397Sg">'[6]Func Study'!$AB$1922</definedName>
    <definedName name="UAcct397Sgp" localSheetId="5">[4]FuncStudy!$Y$1565</definedName>
    <definedName name="UAcct397Sgp" localSheetId="7">[5]FuncStudy!$Y$1565</definedName>
    <definedName name="UAcct397Sgp">'[6]Func Study'!$AB$1918</definedName>
    <definedName name="UAcct397Sgu" localSheetId="5">[4]FuncStudy!$Y$1566</definedName>
    <definedName name="UAcct397Sgu" localSheetId="7">[5]FuncStudy!$Y$1566</definedName>
    <definedName name="UAcct397Sgu">'[6]Func Study'!$AB$1919</definedName>
    <definedName name="UAcct397So" localSheetId="5">[4]FuncStudy!$Y$1567</definedName>
    <definedName name="UAcct397So" localSheetId="7">[5]FuncStudy!$Y$1567</definedName>
    <definedName name="UAcct397So">'[6]Func Study'!$AB$1920</definedName>
    <definedName name="UACCT397SSGCH" localSheetId="5">[4]FuncStudy!$Y$1571</definedName>
    <definedName name="UACCT397SSGCH" localSheetId="7">[5]FuncStudy!$Y$1571</definedName>
    <definedName name="UACCT397SSGCH">'[6]Func Study'!$AB$1924</definedName>
    <definedName name="UACCT397SSGCT" localSheetId="5">[4]FuncStudy!$Y$1572</definedName>
    <definedName name="UACCT397SSGCT" localSheetId="7">[5]FuncStudy!$Y$1572</definedName>
    <definedName name="UACCT397SSGCT">'[6]Func Study'!$AB$1925</definedName>
    <definedName name="UAcct398Cn" localSheetId="5">[4]FuncStudy!$Y$1579</definedName>
    <definedName name="UAcct398Cn" localSheetId="7">[5]FuncStudy!$Y$1579</definedName>
    <definedName name="UAcct398Cn">'[6]Func Study'!$AB$1932</definedName>
    <definedName name="UAcct398S" localSheetId="5">[4]FuncStudy!$Y$1576</definedName>
    <definedName name="UAcct398S" localSheetId="7">[5]FuncStudy!$Y$1576</definedName>
    <definedName name="UAcct398S">'[6]Func Study'!$AB$1929</definedName>
    <definedName name="UAcct398Se" localSheetId="5">[4]FuncStudy!$Y$1581</definedName>
    <definedName name="UAcct398Se" localSheetId="7">[5]FuncStudy!$Y$1581</definedName>
    <definedName name="UAcct398Se">'[6]Func Study'!$AB$1934</definedName>
    <definedName name="UAcct398Sg" localSheetId="5">[4]FuncStudy!$Y$1582</definedName>
    <definedName name="UAcct398Sg" localSheetId="7">[5]FuncStudy!$Y$1582</definedName>
    <definedName name="UAcct398Sg">'[6]Func Study'!$AB$1935</definedName>
    <definedName name="UAcct398Sgp" localSheetId="5">[4]FuncStudy!$Y$1577</definedName>
    <definedName name="UAcct398Sgp" localSheetId="7">[5]FuncStudy!$Y$1577</definedName>
    <definedName name="UAcct398Sgp">'[6]Func Study'!$AB$1930</definedName>
    <definedName name="UAcct398Sgu" localSheetId="5">[4]FuncStudy!$Y$1578</definedName>
    <definedName name="UAcct398Sgu" localSheetId="7">[5]FuncStudy!$Y$1578</definedName>
    <definedName name="UAcct398Sgu">'[6]Func Study'!$AB$1931</definedName>
    <definedName name="UAcct398So" localSheetId="5">[4]FuncStudy!$Y$1580</definedName>
    <definedName name="UAcct398So" localSheetId="7">[5]FuncStudy!$Y$1580</definedName>
    <definedName name="UAcct398So">'[6]Func Study'!$AB$1933</definedName>
    <definedName name="UACCT398SSGCT" localSheetId="5">[4]FuncStudy!$Y$1583</definedName>
    <definedName name="UACCT398SSGCT" localSheetId="7">[5]FuncStudy!$Y$1583</definedName>
    <definedName name="UACCT398SSGCT">'[6]Func Study'!$AB$1936</definedName>
    <definedName name="UAcct399" localSheetId="5">[4]FuncStudy!$Y$1590</definedName>
    <definedName name="UAcct399" localSheetId="7">[5]FuncStudy!$Y$1590</definedName>
    <definedName name="UAcct399">'[6]Func Study'!$AB$1943</definedName>
    <definedName name="UAcct399G" localSheetId="5">[4]FuncStudy!$Y$1631</definedName>
    <definedName name="UAcct399G" localSheetId="7">[5]FuncStudy!$Y$1631</definedName>
    <definedName name="UAcct399G">'[6]Func Study'!$AB$1984</definedName>
    <definedName name="UAcct399L" localSheetId="5">[4]FuncStudy!$Y$1594</definedName>
    <definedName name="UAcct399L" localSheetId="7">[5]FuncStudy!$Y$1594</definedName>
    <definedName name="UAcct399L">'[6]Func Study'!$AB$1947</definedName>
    <definedName name="UAcct399Lrcl" localSheetId="5">[4]FuncStudy!$Y$1596</definedName>
    <definedName name="UAcct399Lrcl" localSheetId="7">[5]FuncStudy!$Y$1596</definedName>
    <definedName name="UAcct399Lrcl">'[6]Func Study'!$AB$1949</definedName>
    <definedName name="UAcct403360" localSheetId="5">[4]FuncStudy!$Y$808</definedName>
    <definedName name="UAcct403360" localSheetId="7">[5]FuncStudy!$Y$808</definedName>
    <definedName name="UAcct403360">'[6]Func Study'!$AB$1045</definedName>
    <definedName name="UAcct403361" localSheetId="5">[4]FuncStudy!$Y$809</definedName>
    <definedName name="UAcct403361" localSheetId="7">[5]FuncStudy!$Y$809</definedName>
    <definedName name="UAcct403361">'[6]Func Study'!$AB$1046</definedName>
    <definedName name="UAcct403362" localSheetId="5">[4]FuncStudy!$Y$810</definedName>
    <definedName name="UAcct403362" localSheetId="7">[5]FuncStudy!$Y$810</definedName>
    <definedName name="UAcct403362">'[6]Func Study'!$AB$1047</definedName>
    <definedName name="UAcct403364" localSheetId="5">[4]FuncStudy!$Y$811</definedName>
    <definedName name="UAcct403364" localSheetId="7">[5]FuncStudy!$Y$811</definedName>
    <definedName name="UAcct403364">'[6]Func Study'!$AB$1048</definedName>
    <definedName name="UAcct403365" localSheetId="5">[4]FuncStudy!$Y$812</definedName>
    <definedName name="UAcct403365" localSheetId="7">[5]FuncStudy!$Y$812</definedName>
    <definedName name="UAcct403365">'[6]Func Study'!$AB$1049</definedName>
    <definedName name="UAcct403366" localSheetId="5">[4]FuncStudy!$Y$813</definedName>
    <definedName name="UAcct403366" localSheetId="7">[5]FuncStudy!$Y$813</definedName>
    <definedName name="UAcct403366">'[6]Func Study'!$AB$1050</definedName>
    <definedName name="UAcct403367" localSheetId="5">[4]FuncStudy!$Y$814</definedName>
    <definedName name="UAcct403367" localSheetId="7">[5]FuncStudy!$Y$814</definedName>
    <definedName name="UAcct403367">'[6]Func Study'!$AB$1051</definedName>
    <definedName name="UAcct403368" localSheetId="5">[4]FuncStudy!$Y$815</definedName>
    <definedName name="UAcct403368" localSheetId="7">[5]FuncStudy!$Y$815</definedName>
    <definedName name="UAcct403368">'[6]Func Study'!$AB$1052</definedName>
    <definedName name="UAcct403369" localSheetId="5">[4]FuncStudy!$Y$816</definedName>
    <definedName name="UAcct403369" localSheetId="7">[5]FuncStudy!$Y$816</definedName>
    <definedName name="UAcct403369">'[6]Func Study'!$AB$1053</definedName>
    <definedName name="UAcct403370" localSheetId="5">[4]FuncStudy!$Y$817</definedName>
    <definedName name="UAcct403370" localSheetId="7">[5]FuncStudy!$Y$817</definedName>
    <definedName name="UAcct403370">'[6]Func Study'!$AB$1054</definedName>
    <definedName name="UAcct403371" localSheetId="5">[4]FuncStudy!$Y$818</definedName>
    <definedName name="UAcct403371" localSheetId="7">[5]FuncStudy!$Y$818</definedName>
    <definedName name="UAcct403371">'[6]Func Study'!$AB$1055</definedName>
    <definedName name="UAcct403372" localSheetId="5">[4]FuncStudy!$Y$819</definedName>
    <definedName name="UAcct403372" localSheetId="7">[5]FuncStudy!$Y$819</definedName>
    <definedName name="UAcct403372">'[6]Func Study'!$AB$1056</definedName>
    <definedName name="UAcct403373" localSheetId="5">[4]FuncStudy!$Y$820</definedName>
    <definedName name="UAcct403373" localSheetId="7">[5]FuncStudy!$Y$820</definedName>
    <definedName name="UAcct403373">'[6]Func Study'!$AB$1057</definedName>
    <definedName name="uacct403dgu">'[6]Func Study'!$AB$1068</definedName>
    <definedName name="UAcct403Ep" localSheetId="5">[4]FuncStudy!$Y$846</definedName>
    <definedName name="UAcct403Ep" localSheetId="7">[5]FuncStudy!$Y$846</definedName>
    <definedName name="UAcct403Ep">'[6]Func Study'!$AB$1084</definedName>
    <definedName name="UAcct403Gpcn" localSheetId="5">[4]FuncStudy!$Y$828</definedName>
    <definedName name="UAcct403Gpcn" localSheetId="7">[5]FuncStudy!$Y$828</definedName>
    <definedName name="UAcct403Gpcn">'[6]Func Study'!$AB$1065</definedName>
    <definedName name="UAcct403Gps" localSheetId="5">[4]FuncStudy!$Y$824</definedName>
    <definedName name="UAcct403Gps" localSheetId="7">[5]FuncStudy!$Y$824</definedName>
    <definedName name="UAcct403Gps">'[6]Func Study'!$AB$1061</definedName>
    <definedName name="UAcct403Gpseu" localSheetId="5">[4]FuncStudy!$Y$827</definedName>
    <definedName name="UAcct403Gpseu" localSheetId="7">[5]FuncStudy!$Y$827</definedName>
    <definedName name="UAcct403Gpseu">'[6]Func Study'!$AB$1064</definedName>
    <definedName name="UAcct403Gpsg" localSheetId="5">[4]FuncStudy!$Y$829</definedName>
    <definedName name="UAcct403Gpsg" localSheetId="7">[5]FuncStudy!$Y$829</definedName>
    <definedName name="UAcct403Gpsg">'[6]Func Study'!$AB$1066</definedName>
    <definedName name="UAcct403Gpsgp" localSheetId="5">[4]FuncStudy!$Y$825</definedName>
    <definedName name="UAcct403Gpsgp" localSheetId="7">[5]FuncStudy!$Y$825</definedName>
    <definedName name="UAcct403Gpsgp">'[6]Func Study'!$AB$1062</definedName>
    <definedName name="UAcct403Gpsgu" localSheetId="5">[4]FuncStudy!$Y$826</definedName>
    <definedName name="UAcct403Gpsgu" localSheetId="7">[5]FuncStudy!$Y$826</definedName>
    <definedName name="UAcct403Gpsgu">'[6]Func Study'!$AB$1063</definedName>
    <definedName name="UAcct403Gpso" localSheetId="5">[4]FuncStudy!$Y$830</definedName>
    <definedName name="UAcct403Gpso" localSheetId="7">[5]FuncStudy!$Y$830</definedName>
    <definedName name="UAcct403Gpso">'[6]Func Study'!$AB$1067</definedName>
    <definedName name="uacct403gpssgch" localSheetId="5">[4]FuncStudy!$Y$832</definedName>
    <definedName name="uacct403gpssgch" localSheetId="7">[5]FuncStudy!$Y$832</definedName>
    <definedName name="uacct403gpssgch">'[6]Func Study'!$AB$1070</definedName>
    <definedName name="UACCT403GPSSGCT" localSheetId="5">[4]FuncStudy!$Y$831</definedName>
    <definedName name="UACCT403GPSSGCT" localSheetId="7">[5]FuncStudy!$Y$831</definedName>
    <definedName name="UACCT403GPSSGCT">'[6]Func Study'!$AB$1069</definedName>
    <definedName name="UAcct403Gv0" localSheetId="5">[4]FuncStudy!$Y$837</definedName>
    <definedName name="UAcct403Gv0" localSheetId="7">[5]FuncStudy!$Y$837</definedName>
    <definedName name="UAcct403Gv0">'[6]Func Study'!$AB$1075</definedName>
    <definedName name="UAcct403Hp" localSheetId="5">[4]FuncStudy!$Y$792</definedName>
    <definedName name="UAcct403Hp" localSheetId="7">[5]FuncStudy!$Y$792</definedName>
    <definedName name="UAcct403Hp">'[6]Func Study'!$AB$1029</definedName>
    <definedName name="UAcct403Mp" localSheetId="5">[4]FuncStudy!$Y$841</definedName>
    <definedName name="UAcct403Mp" localSheetId="7">[5]FuncStudy!$Y$841</definedName>
    <definedName name="UAcct403Mp">'[6]Func Study'!$AB$1079</definedName>
    <definedName name="UAcct403Np" localSheetId="5">[4]FuncStudy!$Y$787</definedName>
    <definedName name="UAcct403Np" localSheetId="7">[5]FuncStudy!$Y$787</definedName>
    <definedName name="UAcct403Np">'[6]Func Study'!$AB$1024</definedName>
    <definedName name="UAcct403Op" localSheetId="5">[4]FuncStudy!$Y$799</definedName>
    <definedName name="UAcct403Op" localSheetId="7">[5]FuncStudy!$Y$799</definedName>
    <definedName name="UAcct403Op">'[6]Func Study'!$AB$1036</definedName>
    <definedName name="UAcct403Opsgu" localSheetId="5">[4]FuncStudy!$Y$796</definedName>
    <definedName name="UAcct403Opsgu" localSheetId="7">[5]FuncStudy!$Y$796</definedName>
    <definedName name="UAcct403Opsgu">[8]FuncStudy!$Y$796</definedName>
    <definedName name="uacct403opssg">'[6]Func Study'!$AB$1035</definedName>
    <definedName name="uacct403opssgct" localSheetId="5">[4]FuncStudy!$Y$797</definedName>
    <definedName name="uacct403opssgct" localSheetId="7">[5]FuncStudy!$Y$797</definedName>
    <definedName name="uacct403opssgct">'[6]Func Study'!$AB$1034</definedName>
    <definedName name="uacct403sgw" localSheetId="5">[4]FuncStudy!$Y$798</definedName>
    <definedName name="uacct403sgw" localSheetId="7">[5]FuncStudy!$Y$798</definedName>
    <definedName name="uacct403sgw">[8]FuncStudy!$Y$798</definedName>
    <definedName name="uacct403spdgp" localSheetId="5">[4]FuncStudy!$Y$779</definedName>
    <definedName name="uacct403spdgp" localSheetId="7">[5]FuncStudy!$Y$779</definedName>
    <definedName name="uacct403spdgp">'[6]Func Study'!$AB$1016</definedName>
    <definedName name="uacct403spdgu" localSheetId="5">[4]FuncStudy!$Y$780</definedName>
    <definedName name="uacct403spdgu" localSheetId="7">[5]FuncStudy!$Y$780</definedName>
    <definedName name="uacct403spdgu">'[6]Func Study'!$AB$1017</definedName>
    <definedName name="uacct403spsg" localSheetId="5">[4]FuncStudy!$Y$781</definedName>
    <definedName name="uacct403spsg" localSheetId="7">[5]FuncStudy!$Y$781</definedName>
    <definedName name="uacct403spsg">'[6]Func Study'!$AB$1018</definedName>
    <definedName name="uacct403ssgch" localSheetId="5">[4]FuncStudy!$Y$782</definedName>
    <definedName name="uacct403ssgch" localSheetId="7">[5]FuncStudy!$Y$782</definedName>
    <definedName name="uacct403ssgch">'[6]Func Study'!$AB$1019</definedName>
    <definedName name="UAcct403Tp" localSheetId="5">[4]FuncStudy!$Y$805</definedName>
    <definedName name="UAcct403Tp" localSheetId="7">[5]FuncStudy!$Y$805</definedName>
    <definedName name="UAcct403Tp">'[6]Func Study'!$AB$1042</definedName>
    <definedName name="UAcct404330" localSheetId="5">[4]FuncStudy!$Y$880</definedName>
    <definedName name="UAcct404330" localSheetId="7">[5]FuncStudy!$Y$880</definedName>
    <definedName name="UAcct404330">'[6]Func Study'!$AB$1126</definedName>
    <definedName name="UAcct404Clg" localSheetId="5">[4]FuncStudy!$Y$857</definedName>
    <definedName name="UAcct404Clg" localSheetId="7">[5]FuncStudy!$Y$857</definedName>
    <definedName name="UAcct404Clg">'[6]Func Study'!$AB$1099</definedName>
    <definedName name="UAcct404Clgsop" localSheetId="5">[4]FuncStudy!$Y$855</definedName>
    <definedName name="UAcct404Clgsop" localSheetId="7">[5]FuncStudy!$Y$855</definedName>
    <definedName name="UAcct404Clgsop">'[6]Func Study'!$AB$1097</definedName>
    <definedName name="UAcct404Clgsou" localSheetId="5">[4]FuncStudy!$Y$853</definedName>
    <definedName name="UAcct404Clgsou" localSheetId="7">[5]FuncStudy!$Y$853</definedName>
    <definedName name="UAcct404Clgsou">'[6]Func Study'!$AB$1095</definedName>
    <definedName name="UAcct404Cls" localSheetId="5">[4]FuncStudy!$Y$861</definedName>
    <definedName name="UAcct404Cls" localSheetId="7">[5]FuncStudy!$Y$861</definedName>
    <definedName name="UAcct404Cls">'[6]Func Study'!$AB$1104</definedName>
    <definedName name="UAcct404Ipcn" localSheetId="5">[4]FuncStudy!$Y$867</definedName>
    <definedName name="UAcct404Ipcn" localSheetId="7">[5]FuncStudy!$Y$867</definedName>
    <definedName name="UAcct404Ipcn">'[6]Func Study'!$AB$1111</definedName>
    <definedName name="UACCT404IPDGU" localSheetId="5">[4]FuncStudy!$Y$869</definedName>
    <definedName name="UACCT404IPDGU" localSheetId="7">[5]FuncStudy!$Y$869</definedName>
    <definedName name="UACCT404IPDGU">'[6]Func Study'!$AB$1114</definedName>
    <definedName name="UAcct404Ips" localSheetId="5">[4]FuncStudy!$Y$864</definedName>
    <definedName name="UAcct404Ips" localSheetId="7">[5]FuncStudy!$Y$864</definedName>
    <definedName name="UAcct404Ips">'[6]Func Study'!$AB$1107</definedName>
    <definedName name="UAcct404Ipse" localSheetId="5">[4]FuncStudy!$Y$865</definedName>
    <definedName name="UAcct404Ipse" localSheetId="7">[5]FuncStudy!$Y$865</definedName>
    <definedName name="UAcct404Ipse">'[6]Func Study'!$AB$1108</definedName>
    <definedName name="UACCT404IPSG">'[6]Func Study'!$AB$1109</definedName>
    <definedName name="UACCT404IPSGCT">'[6]Func Study'!$AB$1113</definedName>
    <definedName name="UACCT404IPSGP" localSheetId="5">[4]FuncStudy!$Y$868</definedName>
    <definedName name="UACCT404IPSGP" localSheetId="7">[5]FuncStudy!$Y$868</definedName>
    <definedName name="UACCT404IPSGP">'[6]Func Study'!$AB$1112</definedName>
    <definedName name="UAcct404Ipso" localSheetId="5">[4]FuncStudy!$Y$866</definedName>
    <definedName name="UAcct404Ipso" localSheetId="7">[5]FuncStudy!$Y$866</definedName>
    <definedName name="UAcct404Ipso">'[6]Func Study'!$AB$1110</definedName>
    <definedName name="UACCT404IPSSGCH" localSheetId="5">[4]FuncStudy!$Y$870</definedName>
    <definedName name="UACCT404IPSSGCH" localSheetId="7">[5]FuncStudy!$Y$870</definedName>
    <definedName name="UACCT404IPSSGCH">'[6]Func Study'!$AB$1115</definedName>
    <definedName name="UAcct404O" localSheetId="5">[4]FuncStudy!$Y$875</definedName>
    <definedName name="UAcct404O" localSheetId="7">[5]FuncStudy!$Y$875</definedName>
    <definedName name="UAcct404O">'[6]Func Study'!$AB$1120</definedName>
    <definedName name="UAcct405" localSheetId="5">[4]FuncStudy!$Y$888</definedName>
    <definedName name="UAcct405" localSheetId="7">[5]FuncStudy!$Y$888</definedName>
    <definedName name="UAcct405">'[6]Func Study'!$AB$1134</definedName>
    <definedName name="UAcct406" localSheetId="5">[4]FuncStudy!$Y$894</definedName>
    <definedName name="UAcct406" localSheetId="7">[5]FuncStudy!$Y$894</definedName>
    <definedName name="UAcct406">'[6]Func Study'!$AB$1142</definedName>
    <definedName name="UAcct407" localSheetId="5">[4]FuncStudy!$Y$903</definedName>
    <definedName name="UAcct407" localSheetId="7">[5]FuncStudy!$Y$903</definedName>
    <definedName name="UAcct407">'[6]Func Study'!$AB$1151</definedName>
    <definedName name="UAcct408" localSheetId="5">[4]FuncStudy!$Y$916</definedName>
    <definedName name="UAcct408" localSheetId="7">[5]FuncStudy!$Y$916</definedName>
    <definedName name="UAcct408">'[6]Func Study'!$AB$1170</definedName>
    <definedName name="UAcct408S" localSheetId="5">[4]FuncStudy!$Y$908</definedName>
    <definedName name="UAcct408S" localSheetId="7">[5]FuncStudy!$Y$908</definedName>
    <definedName name="UAcct408S">'[6]Func Study'!$AB$1162</definedName>
    <definedName name="UAcct40910FITOther" localSheetId="5">[4]FuncStudy!$Y$1135</definedName>
    <definedName name="UAcct40910FITOther" localSheetId="7">[5]FuncStudy!$Y$1135</definedName>
    <definedName name="UAcct40910FITOther">[8]FuncStudy!$Y$1135</definedName>
    <definedName name="UAcct40910FitPMI" localSheetId="5">[4]FuncStudy!$Y$1133</definedName>
    <definedName name="UAcct40910FitPMI" localSheetId="7">[5]FuncStudy!$Y$1133</definedName>
    <definedName name="UAcct40910Fitpmi">'[6]Func Study'!$AB$1415</definedName>
    <definedName name="UAcct40910FITPTC" localSheetId="5">[4]FuncStudy!$Y$1134</definedName>
    <definedName name="UAcct40910FITPTC" localSheetId="7">[5]FuncStudy!$Y$1134</definedName>
    <definedName name="UAcct40910FITPTC">[8]FuncStudy!$Y$1134</definedName>
    <definedName name="UAcct40910FITSitus" localSheetId="5">[4]FuncStudy!$Y$1136</definedName>
    <definedName name="UAcct40910FITSitus" localSheetId="7">[5]FuncStudy!$Y$1136</definedName>
    <definedName name="UAcct40910FITSitus">[8]FuncStudy!$Y$1136</definedName>
    <definedName name="UAcct40911Dgu" localSheetId="5">[4]FuncStudy!$Y$1103</definedName>
    <definedName name="UAcct40911Dgu" localSheetId="7">[5]FuncStudy!$Y$1103</definedName>
    <definedName name="UAcct40911Dgu">'[6]Func Study'!$AB$1378</definedName>
    <definedName name="UAcct40911S" localSheetId="5">[4]FuncStudy!$Y$1101</definedName>
    <definedName name="UAcct40911S" localSheetId="7">[5]FuncStudy!$Y$1101</definedName>
    <definedName name="UAcct40911S">'[6]Func Study'!$AB$1376</definedName>
    <definedName name="UAcct41010" localSheetId="5">[4]FuncStudy!$Y$977</definedName>
    <definedName name="UAcct41010" localSheetId="7">[5]FuncStudy!$Y$977</definedName>
    <definedName name="UAcct41010">'[6]Func Study'!$AB$1248</definedName>
    <definedName name="UAcct41020" localSheetId="5">[4]FuncStudy!$Y$992</definedName>
    <definedName name="UAcct41020" localSheetId="7">[5]FuncStudy!$Y$992</definedName>
    <definedName name="UAcct41020">'[6]Func Study'!$AB$1263</definedName>
    <definedName name="UAcct41111" localSheetId="5">[4]FuncStudy!$Y$1026</definedName>
    <definedName name="UAcct41111" localSheetId="7">[5]FuncStudy!$Y$1026</definedName>
    <definedName name="UAcct41111">'[6]Func Study'!$AB$1297</definedName>
    <definedName name="UAcct41120" localSheetId="5">[4]FuncStudy!$Y$1011</definedName>
    <definedName name="UAcct41120" localSheetId="7">[5]FuncStudy!$Y$1011</definedName>
    <definedName name="UAcct41120">'[6]Func Study'!$AB$1282</definedName>
    <definedName name="UAcct41140" localSheetId="5">[4]FuncStudy!$Y$921</definedName>
    <definedName name="UAcct41140" localSheetId="7">[5]FuncStudy!$Y$921</definedName>
    <definedName name="UAcct41140">'[6]Func Study'!$AB$1181</definedName>
    <definedName name="UAcct41141" localSheetId="5">[4]FuncStudy!$Y$926</definedName>
    <definedName name="UAcct41141" localSheetId="7">[5]FuncStudy!$Y$926</definedName>
    <definedName name="UAcct41141">'[6]Func Study'!$AB$1186</definedName>
    <definedName name="UAcct41160" localSheetId="5">[4]FuncStudy!$Y$177</definedName>
    <definedName name="UAcct41160" localSheetId="7">[5]FuncStudy!$Y$177</definedName>
    <definedName name="UAcct41160">'[6]Func Study'!$AB$355</definedName>
    <definedName name="UAcct41170" localSheetId="5">[4]FuncStudy!$Y$182</definedName>
    <definedName name="UAcct41170" localSheetId="7">[5]FuncStudy!$Y$182</definedName>
    <definedName name="UAcct41170">'[6]Func Study'!$AB$360</definedName>
    <definedName name="UAcct4118" localSheetId="5">[4]FuncStudy!$Y$186</definedName>
    <definedName name="UAcct4118" localSheetId="7">[5]FuncStudy!$Y$186</definedName>
    <definedName name="UAcct4118">'[6]Func Study'!$AB$364</definedName>
    <definedName name="UAcct41181" localSheetId="5">[4]FuncStudy!$Y$189</definedName>
    <definedName name="UAcct41181" localSheetId="7">[5]FuncStudy!$Y$189</definedName>
    <definedName name="UAcct41181">'[6]Func Study'!$AB$367</definedName>
    <definedName name="UAcct4194" localSheetId="5">[4]FuncStudy!$Y$193</definedName>
    <definedName name="UAcct4194" localSheetId="7">[5]FuncStudy!$Y$193</definedName>
    <definedName name="UAcct4194">'[6]Func Study'!$AB$371</definedName>
    <definedName name="UAcct419Doth" localSheetId="5">[4]FuncStudy!$Y$957</definedName>
    <definedName name="UAcct419Doth" localSheetId="7">[5]FuncStudy!$Y$957</definedName>
    <definedName name="UAcct419Doth">'[6]Func Study'!$AB$1223</definedName>
    <definedName name="UAcct421" localSheetId="5">[4]FuncStudy!$Y$202</definedName>
    <definedName name="UAcct421" localSheetId="7">[5]FuncStudy!$Y$202</definedName>
    <definedName name="UAcct421">'[6]Func Study'!$AB$380</definedName>
    <definedName name="UAcct4311" localSheetId="5">[4]FuncStudy!$Y$209</definedName>
    <definedName name="UAcct4311" localSheetId="7">[5]FuncStudy!$Y$209</definedName>
    <definedName name="UAcct4311">'[6]Func Study'!$AB$387</definedName>
    <definedName name="UAcct442Se" localSheetId="5">[4]FuncStudy!$Y$100</definedName>
    <definedName name="UAcct442Se" localSheetId="7">[5]FuncStudy!$Y$100</definedName>
    <definedName name="UAcct442Se">'[6]Func Study'!$AB$259</definedName>
    <definedName name="UAcct442Sg" localSheetId="5">[4]FuncStudy!$Y$101</definedName>
    <definedName name="UAcct442Sg" localSheetId="7">[5]FuncStudy!$Y$101</definedName>
    <definedName name="UAcct442Sg">'[6]Func Study'!$AB$260</definedName>
    <definedName name="UAcct447" localSheetId="5">[4]FuncStudy!$Y$125</definedName>
    <definedName name="UAcct447" localSheetId="7">[5]FuncStudy!$Y$125</definedName>
    <definedName name="UAcct447">'[6]Func Study'!$AB$284</definedName>
    <definedName name="UAcct447Dgu" localSheetId="6">'[7]Func Study'!#REF!</definedName>
    <definedName name="UAcct447Dgu" localSheetId="2">'[7]Func Study'!#REF!</definedName>
    <definedName name="UAcct447Dgu" localSheetId="3">'[7]Func Study'!#REF!</definedName>
    <definedName name="UAcct447Dgu" localSheetId="4">'[7]Func Study'!#REF!</definedName>
    <definedName name="UAcct447Dgu">'[7]Func Study'!#REF!</definedName>
    <definedName name="UAcct447S" localSheetId="5">[4]FuncStudy!$Y$121</definedName>
    <definedName name="UAcct447S" localSheetId="7">[5]FuncStudy!$Y$121</definedName>
    <definedName name="UAcct447S">'[6]Func Study'!$AB$280</definedName>
    <definedName name="UAcct447Se" localSheetId="5">[4]FuncStudy!$Y$124</definedName>
    <definedName name="UAcct447Se" localSheetId="7">[5]FuncStudy!$Y$124</definedName>
    <definedName name="UAcct447Se">'[6]Func Study'!$AB$283</definedName>
    <definedName name="UAcct448S" localSheetId="5">[4]FuncStudy!$Y$114</definedName>
    <definedName name="UAcct448S" localSheetId="7">[5]FuncStudy!$Y$114</definedName>
    <definedName name="UAcct448S">'[6]Func Study'!$AB$273</definedName>
    <definedName name="UAcct448So" localSheetId="5">[4]FuncStudy!$Y$115</definedName>
    <definedName name="UAcct448So" localSheetId="7">[5]FuncStudy!$Y$115</definedName>
    <definedName name="UAcct448So">'[6]Func Study'!$AB$274</definedName>
    <definedName name="UAcct449" localSheetId="5">[4]FuncStudy!$Y$130</definedName>
    <definedName name="UAcct449" localSheetId="7">[5]FuncStudy!$Y$130</definedName>
    <definedName name="UAcct449">'[6]Func Study'!$AB$289</definedName>
    <definedName name="UAcct450" localSheetId="5">[4]FuncStudy!$Y$140</definedName>
    <definedName name="UAcct450" localSheetId="7">[5]FuncStudy!$Y$140</definedName>
    <definedName name="UAcct450">'[6]Func Study'!$AB$299</definedName>
    <definedName name="UAcct450S" localSheetId="5">[4]FuncStudy!$Y$138</definedName>
    <definedName name="UAcct450S" localSheetId="7">[5]FuncStudy!$Y$138</definedName>
    <definedName name="UAcct450S">'[6]Func Study'!$AB$297</definedName>
    <definedName name="UAcct450So" localSheetId="5">[4]FuncStudy!$Y$139</definedName>
    <definedName name="UAcct450So" localSheetId="7">[5]FuncStudy!$Y$139</definedName>
    <definedName name="UAcct450So">'[6]Func Study'!$AB$298</definedName>
    <definedName name="UAcct451S" localSheetId="5">[4]FuncStudy!$Y$143</definedName>
    <definedName name="UAcct451S" localSheetId="7">[5]FuncStudy!$Y$143</definedName>
    <definedName name="UAcct451S">'[6]Func Study'!$AB$302</definedName>
    <definedName name="UAcct451Sg" localSheetId="5">[4]FuncStudy!$Y$144</definedName>
    <definedName name="UAcct451Sg" localSheetId="7">[5]FuncStudy!$Y$144</definedName>
    <definedName name="UAcct451Sg">'[6]Func Study'!$AB$303</definedName>
    <definedName name="UAcct451So" localSheetId="5">[4]FuncStudy!$Y$145</definedName>
    <definedName name="UAcct451So" localSheetId="7">[5]FuncStudy!$Y$145</definedName>
    <definedName name="UAcct451So">'[6]Func Study'!$AB$304</definedName>
    <definedName name="UAcct453" localSheetId="5">[4]FuncStudy!$Y$150</definedName>
    <definedName name="UAcct453" localSheetId="7">[5]FuncStudy!$Y$150</definedName>
    <definedName name="UAcct453">'[6]Func Study'!$AB$309</definedName>
    <definedName name="UAcct454" localSheetId="5">[4]FuncStudy!$Y$156</definedName>
    <definedName name="UAcct454" localSheetId="7">[5]FuncStudy!$Y$156</definedName>
    <definedName name="UAcct454">'[6]Func Study'!$AB$315</definedName>
    <definedName name="UAcct454S" localSheetId="5">[4]FuncStudy!$Y$153</definedName>
    <definedName name="UAcct454S" localSheetId="7">[5]FuncStudy!$Y$153</definedName>
    <definedName name="UAcct454S">'[6]Func Study'!$AB$312</definedName>
    <definedName name="UAcct454Sg" localSheetId="5">[4]FuncStudy!$Y$154</definedName>
    <definedName name="UAcct454Sg" localSheetId="7">[5]FuncStudy!$Y$154</definedName>
    <definedName name="UAcct454Sg">'[6]Func Study'!$AB$313</definedName>
    <definedName name="UAcct454So" localSheetId="5">[4]FuncStudy!$Y$155</definedName>
    <definedName name="UAcct454So" localSheetId="7">[5]FuncStudy!$Y$155</definedName>
    <definedName name="UAcct454So">'[6]Func Study'!$AB$314</definedName>
    <definedName name="UAcct456" localSheetId="5">[4]FuncStudy!$Y$164</definedName>
    <definedName name="UAcct456" localSheetId="7">[5]FuncStudy!$Y$164</definedName>
    <definedName name="UAcct456">'[6]Func Study'!$AB$323</definedName>
    <definedName name="UAcct456Cn" localSheetId="5">[4]FuncStudy!$Y$160</definedName>
    <definedName name="UAcct456Cn" localSheetId="7">[5]FuncStudy!$Y$160</definedName>
    <definedName name="UAcct456Cn">'[6]Func Study'!$AB$319</definedName>
    <definedName name="UAcct456S" localSheetId="5">[4]FuncStudy!$Y$159</definedName>
    <definedName name="UAcct456S" localSheetId="7">[5]FuncStudy!$Y$159</definedName>
    <definedName name="UAcct456S">'[6]Func Study'!$AB$318</definedName>
    <definedName name="UAcct456Se" localSheetId="5">[4]FuncStudy!$Y$161</definedName>
    <definedName name="UAcct456Se" localSheetId="7">[5]FuncStudy!$Y$161</definedName>
    <definedName name="UAcct456Se">'[6]Func Study'!$AB$320</definedName>
    <definedName name="UAcct500" localSheetId="5">[4]FuncStudy!$Y$225</definedName>
    <definedName name="UAcct500" localSheetId="7">[5]FuncStudy!$Y$225</definedName>
    <definedName name="UAcct500">'[6]Func Study'!$AB$406</definedName>
    <definedName name="UACCT500SSGCH" localSheetId="5">[4]FuncStudy!$Y$224</definedName>
    <definedName name="UACCT500SSGCH" localSheetId="7">[5]FuncStudy!$Y$224</definedName>
    <definedName name="UACCT500SSGCH">'[6]Func Study'!$AB$405</definedName>
    <definedName name="UAcct501" localSheetId="5">[4]FuncStudy!$Y$233</definedName>
    <definedName name="UAcct501" localSheetId="7">[5]FuncStudy!$Y$233</definedName>
    <definedName name="UAcct501">'[6]Func Study'!$AB$414</definedName>
    <definedName name="UAcct501Se" localSheetId="5">[4]FuncStudy!$Y$228</definedName>
    <definedName name="UAcct501Se" localSheetId="7">[5]FuncStudy!$Y$228</definedName>
    <definedName name="UAcct501Se">'[6]Func Study'!$AB$409</definedName>
    <definedName name="UACCT501SENNPC" localSheetId="5">[4]FuncStudy!$Y$229</definedName>
    <definedName name="UACCT501SENNPC" localSheetId="7">[5]FuncStudy!$Y$229</definedName>
    <definedName name="UACCT501SENNPC">'[6]Func Study'!$AB$410</definedName>
    <definedName name="uacct501ssech" localSheetId="5">[4]FuncStudy!$Y$232</definedName>
    <definedName name="uacct501ssech" localSheetId="7">[5]FuncStudy!$Y$232</definedName>
    <definedName name="uacct501ssech">'[6]Func Study'!$AB$413</definedName>
    <definedName name="UACCT501SSECHNNPC" localSheetId="5">[4]FuncStudy!$Y$231</definedName>
    <definedName name="UACCT501SSECHNNPC" localSheetId="7">[5]FuncStudy!$Y$231</definedName>
    <definedName name="UACCT501SSECHNNPC">'[6]Func Study'!$AB$412</definedName>
    <definedName name="uacct501ssect" localSheetId="5">[4]FuncStudy!$Y$230</definedName>
    <definedName name="uacct501ssect" localSheetId="7">[5]FuncStudy!$Y$230</definedName>
    <definedName name="uacct501ssect">'[6]Func Study'!$AB$411</definedName>
    <definedName name="UAcct502" localSheetId="5">[4]FuncStudy!$Y$238</definedName>
    <definedName name="UAcct502" localSheetId="7">[5]FuncStudy!$Y$238</definedName>
    <definedName name="UAcct502">'[6]Func Study'!$AB$419</definedName>
    <definedName name="UAcct502Dnppsu" localSheetId="2">'[6]Func Study'!#REF!</definedName>
    <definedName name="UAcct502Dnppsu">'[6]Func Study'!#REF!</definedName>
    <definedName name="uacct502snpps" localSheetId="5">[4]FuncStudy!$Y$236</definedName>
    <definedName name="uacct502snpps" localSheetId="7">[5]FuncStudy!$Y$236</definedName>
    <definedName name="uacct502snpps">'[6]Func Study'!$AB$417</definedName>
    <definedName name="uacct502ssgch" localSheetId="5">[4]FuncStudy!$Y$237</definedName>
    <definedName name="uacct502ssgch" localSheetId="7">[5]FuncStudy!$Y$237</definedName>
    <definedName name="uacct502ssgch">'[6]Func Study'!$AB$418</definedName>
    <definedName name="UAcct503" localSheetId="5">[4]FuncStudy!$Y$243</definedName>
    <definedName name="UAcct503" localSheetId="7">[5]FuncStudy!$Y$243</definedName>
    <definedName name="UAcct503">'[6]Func Study'!$AB$424</definedName>
    <definedName name="UAcct503Se" localSheetId="5">[4]FuncStudy!$Y$241</definedName>
    <definedName name="UAcct503Se" localSheetId="7">[5]FuncStudy!$Y$241</definedName>
    <definedName name="UAcct503Se">'[6]Func Study'!$AB$422</definedName>
    <definedName name="UACCT503SENNPC" localSheetId="5">[4]FuncStudy!$Y$242</definedName>
    <definedName name="UACCT503SENNPC" localSheetId="7">[5]FuncStudy!$Y$242</definedName>
    <definedName name="UACCT503SENNPC">'[6]Func Study'!$AB$423</definedName>
    <definedName name="UAcct505" localSheetId="5">[4]FuncStudy!$Y$248</definedName>
    <definedName name="UAcct505" localSheetId="7">[5]FuncStudy!$Y$248</definedName>
    <definedName name="UAcct505">'[6]Func Study'!$AB$429</definedName>
    <definedName name="uacct505snpps" localSheetId="5">[4]FuncStudy!$Y$246</definedName>
    <definedName name="uacct505snpps" localSheetId="7">[5]FuncStudy!$Y$246</definedName>
    <definedName name="uacct505snpps">'[6]Func Study'!$AB$427</definedName>
    <definedName name="uacct505ssgch" localSheetId="5">[4]FuncStudy!$Y$247</definedName>
    <definedName name="uacct505ssgch" localSheetId="7">[5]FuncStudy!$Y$247</definedName>
    <definedName name="uacct505ssgch">'[6]Func Study'!$AB$428</definedName>
    <definedName name="UAcct506" localSheetId="5">[4]FuncStudy!$Y$254</definedName>
    <definedName name="UAcct506" localSheetId="7">[5]FuncStudy!$Y$254</definedName>
    <definedName name="UAcct506">'[6]Func Study'!$AB$435</definedName>
    <definedName name="UAcct506Se" localSheetId="5">[4]FuncStudy!$Y$252</definedName>
    <definedName name="UAcct506Se" localSheetId="7">[5]FuncStudy!$Y$252</definedName>
    <definedName name="UAcct506Se">'[6]Func Study'!$AB$433</definedName>
    <definedName name="uacct506snpps" localSheetId="5">[4]FuncStudy!$Y$251</definedName>
    <definedName name="uacct506snpps" localSheetId="7">[5]FuncStudy!$Y$251</definedName>
    <definedName name="uacct506snpps">'[6]Func Study'!$AB$432</definedName>
    <definedName name="uacct506ssgch" localSheetId="5">[4]FuncStudy!$Y$253</definedName>
    <definedName name="uacct506ssgch" localSheetId="7">[5]FuncStudy!$Y$253</definedName>
    <definedName name="uacct506ssgch">'[6]Func Study'!$AB$434</definedName>
    <definedName name="UAcct507" localSheetId="5">[4]FuncStudy!$Y$259</definedName>
    <definedName name="UAcct507" localSheetId="7">[5]FuncStudy!$Y$259</definedName>
    <definedName name="UAcct507">'[6]Func Study'!$AB$444</definedName>
    <definedName name="uacct507ssgch" localSheetId="5">[4]FuncStudy!$Y$258</definedName>
    <definedName name="uacct507ssgch" localSheetId="7">[5]FuncStudy!$Y$258</definedName>
    <definedName name="uacct507ssgch">'[6]Func Study'!$AB$443</definedName>
    <definedName name="UAcct510" localSheetId="5">[4]FuncStudy!$Y$264</definedName>
    <definedName name="UAcct510" localSheetId="7">[5]FuncStudy!$Y$264</definedName>
    <definedName name="UAcct510">'[6]Func Study'!$AB$449</definedName>
    <definedName name="uacct510ssgch" localSheetId="5">[4]FuncStudy!$Y$263</definedName>
    <definedName name="uacct510ssgch" localSheetId="7">[5]FuncStudy!$Y$263</definedName>
    <definedName name="uacct510ssgch">'[6]Func Study'!$AB$448</definedName>
    <definedName name="UAcct511" localSheetId="5">[4]FuncStudy!$Y$269</definedName>
    <definedName name="UAcct511" localSheetId="7">[5]FuncStudy!$Y$269</definedName>
    <definedName name="UAcct511">'[6]Func Study'!$AB$454</definedName>
    <definedName name="uacct511ssgch" localSheetId="5">[4]FuncStudy!$Y$268</definedName>
    <definedName name="uacct511ssgch" localSheetId="7">[5]FuncStudy!$Y$268</definedName>
    <definedName name="uacct511ssgch">'[6]Func Study'!$AB$453</definedName>
    <definedName name="UAcct512" localSheetId="5">[4]FuncStudy!$Y$274</definedName>
    <definedName name="UAcct512" localSheetId="7">[5]FuncStudy!$Y$274</definedName>
    <definedName name="UAcct512">'[6]Func Study'!$AB$459</definedName>
    <definedName name="uacct512ssgch" localSheetId="5">[4]FuncStudy!$Y$273</definedName>
    <definedName name="uacct512ssgch" localSheetId="7">[5]FuncStudy!$Y$273</definedName>
    <definedName name="uacct512ssgch">'[6]Func Study'!$AB$458</definedName>
    <definedName name="UAcct513" localSheetId="5">[4]FuncStudy!$Y$279</definedName>
    <definedName name="UAcct513" localSheetId="7">[5]FuncStudy!$Y$279</definedName>
    <definedName name="UAcct513">'[6]Func Study'!$AB$464</definedName>
    <definedName name="uacct513ssgch" localSheetId="5">[4]FuncStudy!$Y$278</definedName>
    <definedName name="uacct513ssgch" localSheetId="7">[5]FuncStudy!$Y$278</definedName>
    <definedName name="uacct513ssgch">'[6]Func Study'!$AB$463</definedName>
    <definedName name="UAcct514" localSheetId="5">[4]FuncStudy!$Y$284</definedName>
    <definedName name="UAcct514" localSheetId="7">[5]FuncStudy!$Y$284</definedName>
    <definedName name="UAcct514">'[6]Func Study'!$AB$469</definedName>
    <definedName name="uacct514ssgch" localSheetId="5">[4]FuncStudy!$Y$283</definedName>
    <definedName name="uacct514ssgch" localSheetId="7">[5]FuncStudy!$Y$283</definedName>
    <definedName name="uacct514ssgch">'[6]Func Study'!$AB$468</definedName>
    <definedName name="UAcct517" localSheetId="5">[4]FuncStudy!$Y$290</definedName>
    <definedName name="UAcct517" localSheetId="7">[5]FuncStudy!$Y$290</definedName>
    <definedName name="UAcct517">'[6]Func Study'!$AB$478</definedName>
    <definedName name="UAcct518" localSheetId="5">[4]FuncStudy!$Y$294</definedName>
    <definedName name="UAcct518" localSheetId="7">[5]FuncStudy!$Y$294</definedName>
    <definedName name="UAcct518">'[6]Func Study'!$AB$482</definedName>
    <definedName name="UAcct519" localSheetId="5">[4]FuncStudy!$Y$299</definedName>
    <definedName name="UAcct519" localSheetId="7">[5]FuncStudy!$Y$299</definedName>
    <definedName name="UAcct519">'[6]Func Study'!$AB$487</definedName>
    <definedName name="UAcct520" localSheetId="5">[4]FuncStudy!$Y$303</definedName>
    <definedName name="UAcct520" localSheetId="7">[5]FuncStudy!$Y$303</definedName>
    <definedName name="UAcct520">'[6]Func Study'!$AB$491</definedName>
    <definedName name="UAcct523" localSheetId="5">[4]FuncStudy!$Y$307</definedName>
    <definedName name="UAcct523" localSheetId="7">[5]FuncStudy!$Y$307</definedName>
    <definedName name="UAcct523">'[6]Func Study'!$AB$495</definedName>
    <definedName name="UAcct524" localSheetId="5">[4]FuncStudy!$Y$311</definedName>
    <definedName name="UAcct524" localSheetId="7">[5]FuncStudy!$Y$311</definedName>
    <definedName name="UAcct524">'[6]Func Study'!$AB$499</definedName>
    <definedName name="UAcct528" localSheetId="5">[4]FuncStudy!$Y$315</definedName>
    <definedName name="UAcct528" localSheetId="7">[5]FuncStudy!$Y$315</definedName>
    <definedName name="UAcct528">'[6]Func Study'!$AB$503</definedName>
    <definedName name="UAcct529" localSheetId="5">[4]FuncStudy!$Y$319</definedName>
    <definedName name="UAcct529" localSheetId="7">[5]FuncStudy!$Y$319</definedName>
    <definedName name="UAcct529">'[6]Func Study'!$AB$507</definedName>
    <definedName name="UAcct530" localSheetId="5">[4]FuncStudy!$Y$323</definedName>
    <definedName name="UAcct530" localSheetId="7">[5]FuncStudy!$Y$323</definedName>
    <definedName name="UAcct530">'[6]Func Study'!$AB$511</definedName>
    <definedName name="UAcct531" localSheetId="5">[4]FuncStudy!$Y$327</definedName>
    <definedName name="UAcct531" localSheetId="7">[5]FuncStudy!$Y$327</definedName>
    <definedName name="UAcct531">'[6]Func Study'!$AB$515</definedName>
    <definedName name="UAcct532" localSheetId="5">[4]FuncStudy!$Y$331</definedName>
    <definedName name="UAcct532" localSheetId="7">[5]FuncStudy!$Y$331</definedName>
    <definedName name="UAcct532">'[6]Func Study'!$AB$519</definedName>
    <definedName name="UAcct535" localSheetId="5">[4]FuncStudy!$Y$338</definedName>
    <definedName name="UAcct535" localSheetId="7">[5]FuncStudy!$Y$338</definedName>
    <definedName name="UAcct535">'[6]Func Study'!$AB$531</definedName>
    <definedName name="UAcct536" localSheetId="5">[4]FuncStudy!$Y$342</definedName>
    <definedName name="UAcct536" localSheetId="7">[5]FuncStudy!$Y$342</definedName>
    <definedName name="UAcct536">'[6]Func Study'!$AB$535</definedName>
    <definedName name="UAcct537" localSheetId="5">[4]FuncStudy!$Y$346</definedName>
    <definedName name="UAcct537" localSheetId="7">[5]FuncStudy!$Y$346</definedName>
    <definedName name="UAcct537">'[6]Func Study'!$AB$539</definedName>
    <definedName name="UAcct538" localSheetId="5">[4]FuncStudy!$Y$350</definedName>
    <definedName name="UAcct538" localSheetId="7">[5]FuncStudy!$Y$350</definedName>
    <definedName name="UAcct538">'[6]Func Study'!$AB$543</definedName>
    <definedName name="UAcct539" localSheetId="5">[4]FuncStudy!$Y$354</definedName>
    <definedName name="UAcct539" localSheetId="7">[5]FuncStudy!$Y$354</definedName>
    <definedName name="UAcct539">'[6]Func Study'!$AB$547</definedName>
    <definedName name="UAcct540" localSheetId="5">[4]FuncStudy!$Y$358</definedName>
    <definedName name="UAcct540" localSheetId="7">[5]FuncStudy!$Y$358</definedName>
    <definedName name="UAcct540">'[6]Func Study'!$AB$551</definedName>
    <definedName name="UAcct541" localSheetId="5">[4]FuncStudy!$Y$362</definedName>
    <definedName name="UAcct541" localSheetId="7">[5]FuncStudy!$Y$362</definedName>
    <definedName name="UAcct541">'[6]Func Study'!$AB$555</definedName>
    <definedName name="UAcct542" localSheetId="5">[4]FuncStudy!$Y$366</definedName>
    <definedName name="UAcct542" localSheetId="7">[5]FuncStudy!$Y$366</definedName>
    <definedName name="UAcct542">'[6]Func Study'!$AB$559</definedName>
    <definedName name="UAcct543" localSheetId="5">[4]FuncStudy!$Y$370</definedName>
    <definedName name="UAcct543" localSheetId="7">[5]FuncStudy!$Y$370</definedName>
    <definedName name="UAcct543">'[6]Func Study'!$AB$563</definedName>
    <definedName name="UAcct544" localSheetId="5">[4]FuncStudy!$Y$374</definedName>
    <definedName name="UAcct544" localSheetId="7">[5]FuncStudy!$Y$374</definedName>
    <definedName name="UAcct544">'[6]Func Study'!$AB$567</definedName>
    <definedName name="UAcct545" localSheetId="5">[4]FuncStudy!$Y$378</definedName>
    <definedName name="UAcct545" localSheetId="7">[5]FuncStudy!$Y$378</definedName>
    <definedName name="UAcct545">'[6]Func Study'!$AB$571</definedName>
    <definedName name="UAcct546" localSheetId="5">[4]FuncStudy!$Y$385</definedName>
    <definedName name="UAcct546" localSheetId="7">[5]FuncStudy!$Y$385</definedName>
    <definedName name="UAcct546">'[6]Func Study'!$AB$584</definedName>
    <definedName name="UAcct547Se" localSheetId="5">[4]FuncStudy!$Y$388</definedName>
    <definedName name="UAcct547Se" localSheetId="7">[5]FuncStudy!$Y$388</definedName>
    <definedName name="UAcct547Se">'[6]Func Study'!$AB$587</definedName>
    <definedName name="UACCT547SSECT" localSheetId="5">[4]FuncStudy!$Y$389</definedName>
    <definedName name="UACCT547SSECT" localSheetId="7">[5]FuncStudy!$Y$389</definedName>
    <definedName name="UACCT547SSECT">'[6]Func Study'!$AB$588</definedName>
    <definedName name="UAcct548" localSheetId="5">[4]FuncStudy!$Y$395</definedName>
    <definedName name="UAcct548" localSheetId="7">[5]FuncStudy!$Y$395</definedName>
    <definedName name="UAcct548">'[6]Func Study'!$AB$594</definedName>
    <definedName name="uacct548ssgct" localSheetId="5">[4]FuncStudy!$Y$394</definedName>
    <definedName name="uacct548ssgct" localSheetId="7">[5]FuncStudy!$Y$394</definedName>
    <definedName name="uacct548ssgct">'[6]Func Study'!$AB$593</definedName>
    <definedName name="UAcct549" localSheetId="5">[4]FuncStudy!$Y$400</definedName>
    <definedName name="UAcct549" localSheetId="7">[5]FuncStudy!$Y$400</definedName>
    <definedName name="UAcct549">'[6]Func Study'!$AB$599</definedName>
    <definedName name="UAcct549sg" localSheetId="5">[4]FuncStudy!$Y$398</definedName>
    <definedName name="UAcct549sg" localSheetId="7">[5]FuncStudy!$Y$398</definedName>
    <definedName name="UAcct549sg">[8]FuncStudy!$Y$398</definedName>
    <definedName name="uacct550" localSheetId="5">[4]FuncStudy!$Y$406</definedName>
    <definedName name="uacct550" localSheetId="7">[5]FuncStudy!$Y$406</definedName>
    <definedName name="uacct550">'[6]Func Study'!$AB$610</definedName>
    <definedName name="UACCT550sg" localSheetId="5">[4]FuncStudy!$Y$404</definedName>
    <definedName name="UACCT550sg" localSheetId="7">[5]FuncStudy!$Y$404</definedName>
    <definedName name="UACCT550sg">[8]FuncStudy!$Y$404</definedName>
    <definedName name="uacct550ssgct">'[6]Func Study'!$AB$609</definedName>
    <definedName name="UAcct551" localSheetId="5">[4]FuncStudy!$Y$410</definedName>
    <definedName name="UAcct551" localSheetId="7">[5]FuncStudy!$Y$410</definedName>
    <definedName name="UAcct551">'[6]Func Study'!$AB$614</definedName>
    <definedName name="UAcct552" localSheetId="5">[4]FuncStudy!$Y$415</definedName>
    <definedName name="UAcct552" localSheetId="7">[5]FuncStudy!$Y$415</definedName>
    <definedName name="UAcct552">'[6]Func Study'!$AB$619</definedName>
    <definedName name="UAcct553" localSheetId="5">[4]FuncStudy!$Y$422</definedName>
    <definedName name="UAcct553" localSheetId="7">[5]FuncStudy!$Y$422</definedName>
    <definedName name="UAcct553">'[6]Func Study'!$AB$625</definedName>
    <definedName name="UACCT553SSGCT" localSheetId="5">[4]FuncStudy!$Y$420</definedName>
    <definedName name="UACCT553SSGCT" localSheetId="7">[5]FuncStudy!$Y$420</definedName>
    <definedName name="UACCT553SSGCT">'[6]Func Study'!$AB$624</definedName>
    <definedName name="UAcct554" localSheetId="5">[4]FuncStudy!$Y$428</definedName>
    <definedName name="UAcct554" localSheetId="7">[5]FuncStudy!$Y$428</definedName>
    <definedName name="UAcct554">'[6]Func Study'!$AB$630</definedName>
    <definedName name="UAcct554SSCT" localSheetId="5">[4]FuncStudy!$Y$426</definedName>
    <definedName name="UAcct554SSCT" localSheetId="7">[5]FuncStudy!$Y$426</definedName>
    <definedName name="UAcct554SSCT">[8]FuncStudy!$Y$426</definedName>
    <definedName name="UACCT554SSGCT">'[6]Func Study'!$AB$629</definedName>
    <definedName name="uacct555dgp" localSheetId="5">[4]FuncStudy!$Y$437</definedName>
    <definedName name="uacct555dgp" localSheetId="7">[5]FuncStudy!$Y$437</definedName>
    <definedName name="uacct555dgp">'[6]Func Study'!$AB$645</definedName>
    <definedName name="UAcct555Dgu" localSheetId="5">[4]FuncStudy!$Y$434</definedName>
    <definedName name="UAcct555Dgu" localSheetId="7">[5]FuncStudy!$Y$434</definedName>
    <definedName name="UAcct555Dgu">'[6]Func Study'!$AB$642</definedName>
    <definedName name="UAcct555S" localSheetId="5">[4]FuncStudy!$Y$433</definedName>
    <definedName name="UAcct555S" localSheetId="7">[5]FuncStudy!$Y$433</definedName>
    <definedName name="UAcct555S">'[6]Func Study'!$AB$641</definedName>
    <definedName name="UAcct555Se" localSheetId="5">[4]FuncStudy!$Y$435</definedName>
    <definedName name="UAcct555Se" localSheetId="7">[5]FuncStudy!$Y$435</definedName>
    <definedName name="UAcct555Se">'[6]Func Study'!$AB$643</definedName>
    <definedName name="uacct555ssgp" localSheetId="5">[4]FuncStudy!$Y$436</definedName>
    <definedName name="uacct555ssgp" localSheetId="7">[5]FuncStudy!$Y$436</definedName>
    <definedName name="uacct555ssgp">'[6]Func Study'!$AB$644</definedName>
    <definedName name="UAcct556" localSheetId="5">[4]FuncStudy!$Y$442</definedName>
    <definedName name="UAcct556" localSheetId="7">[5]FuncStudy!$Y$442</definedName>
    <definedName name="UAcct556">'[6]Func Study'!$AB$650</definedName>
    <definedName name="UAcct557" localSheetId="5">[4]FuncStudy!$Y$451</definedName>
    <definedName name="UAcct557" localSheetId="7">[5]FuncStudy!$Y$451</definedName>
    <definedName name="UAcct557">'[6]Func Study'!$AB$659</definedName>
    <definedName name="UACCT557SSGCT" localSheetId="5">[4]FuncStudy!$Y$449</definedName>
    <definedName name="UACCT557SSGCT" localSheetId="7">[5]FuncStudy!$Y$449</definedName>
    <definedName name="UACCT557SSGCT">'[6]Func Study'!$AB$657</definedName>
    <definedName name="UAcct560" localSheetId="5">[4]FuncStudy!$Y$476</definedName>
    <definedName name="UAcct560" localSheetId="7">[5]FuncStudy!$Y$476</definedName>
    <definedName name="UAcct560">'[6]Func Study'!$AB$682</definedName>
    <definedName name="UAcct561" localSheetId="5">[4]FuncStudy!$Y$480</definedName>
    <definedName name="UAcct561" localSheetId="7">[5]FuncStudy!$Y$480</definedName>
    <definedName name="UAcct561">'[6]Func Study'!$AB$686</definedName>
    <definedName name="UAcct562" localSheetId="5">[4]FuncStudy!$Y$484</definedName>
    <definedName name="UAcct562" localSheetId="7">[5]FuncStudy!$Y$484</definedName>
    <definedName name="UAcct562">'[6]Func Study'!$AB$690</definedName>
    <definedName name="UAcct563" localSheetId="5">[4]FuncStudy!$Y$488</definedName>
    <definedName name="UAcct563" localSheetId="7">[5]FuncStudy!$Y$488</definedName>
    <definedName name="UAcct563">'[6]Func Study'!$AB$694</definedName>
    <definedName name="UAcct564" localSheetId="5">[4]FuncStudy!$Y$492</definedName>
    <definedName name="UAcct564" localSheetId="7">[5]FuncStudy!$Y$492</definedName>
    <definedName name="UAcct564">'[6]Func Study'!$AB$698</definedName>
    <definedName name="UAcct565" localSheetId="5">[4]FuncStudy!$Y$497</definedName>
    <definedName name="UAcct565" localSheetId="7">[5]FuncStudy!$Y$497</definedName>
    <definedName name="UAcct565">'[6]Func Study'!$AB$703</definedName>
    <definedName name="UAcct565Se" localSheetId="5">[4]FuncStudy!$Y$496</definedName>
    <definedName name="UAcct565Se" localSheetId="7">[5]FuncStudy!$Y$496</definedName>
    <definedName name="UAcct565Se">'[6]Func Study'!$AB$702</definedName>
    <definedName name="UAcct566" localSheetId="5">[4]FuncStudy!$Y$501</definedName>
    <definedName name="UAcct566" localSheetId="7">[5]FuncStudy!$Y$501</definedName>
    <definedName name="UAcct566">'[6]Func Study'!$AB$707</definedName>
    <definedName name="UAcct567" localSheetId="5">[4]FuncStudy!$Y$505</definedName>
    <definedName name="UAcct567" localSheetId="7">[5]FuncStudy!$Y$505</definedName>
    <definedName name="UAcct567">'[6]Func Study'!$AB$711</definedName>
    <definedName name="UAcct568" localSheetId="5">[4]FuncStudy!$Y$509</definedName>
    <definedName name="UAcct568" localSheetId="7">[5]FuncStudy!$Y$509</definedName>
    <definedName name="UAcct568">'[6]Func Study'!$AB$715</definedName>
    <definedName name="UAcct569" localSheetId="5">[4]FuncStudy!$Y$513</definedName>
    <definedName name="UAcct569" localSheetId="7">[5]FuncStudy!$Y$513</definedName>
    <definedName name="UAcct569">'[6]Func Study'!$AB$719</definedName>
    <definedName name="UAcct570" localSheetId="5">[4]FuncStudy!$Y$517</definedName>
    <definedName name="UAcct570" localSheetId="7">[5]FuncStudy!$Y$517</definedName>
    <definedName name="UAcct570">'[6]Func Study'!$AB$723</definedName>
    <definedName name="UAcct571" localSheetId="5">[4]FuncStudy!$Y$521</definedName>
    <definedName name="UAcct571" localSheetId="7">[5]FuncStudy!$Y$521</definedName>
    <definedName name="UAcct571">'[6]Func Study'!$AB$727</definedName>
    <definedName name="UAcct572" localSheetId="5">[4]FuncStudy!$Y$525</definedName>
    <definedName name="UAcct572" localSheetId="7">[5]FuncStudy!$Y$525</definedName>
    <definedName name="UAcct572">'[6]Func Study'!$AB$731</definedName>
    <definedName name="UAcct573" localSheetId="5">[4]FuncStudy!$Y$529</definedName>
    <definedName name="UAcct573" localSheetId="7">[5]FuncStudy!$Y$529</definedName>
    <definedName name="UAcct573">'[6]Func Study'!$AB$735</definedName>
    <definedName name="UAcct580" localSheetId="5">[4]FuncStudy!$Y$536</definedName>
    <definedName name="UAcct580" localSheetId="7">[5]FuncStudy!$Y$536</definedName>
    <definedName name="UAcct580">'[6]Func Study'!$AB$748</definedName>
    <definedName name="UAcct581" localSheetId="5">[4]FuncStudy!$Y$541</definedName>
    <definedName name="UAcct581" localSheetId="7">[5]FuncStudy!$Y$541</definedName>
    <definedName name="UAcct581">'[6]Func Study'!$AB$753</definedName>
    <definedName name="UAcct582" localSheetId="5">[4]FuncStudy!$Y$546</definedName>
    <definedName name="UAcct582" localSheetId="7">[5]FuncStudy!$Y$546</definedName>
    <definedName name="UAcct582">'[6]Func Study'!$AB$758</definedName>
    <definedName name="UAcct583" localSheetId="5">[4]FuncStudy!$Y$551</definedName>
    <definedName name="UAcct583" localSheetId="7">[5]FuncStudy!$Y$551</definedName>
    <definedName name="UAcct583">'[6]Func Study'!$AB$763</definedName>
    <definedName name="UAcct584" localSheetId="5">[4]FuncStudy!$Y$556</definedName>
    <definedName name="UAcct584" localSheetId="7">[5]FuncStudy!$Y$556</definedName>
    <definedName name="UAcct584">'[6]Func Study'!$AB$768</definedName>
    <definedName name="UAcct585" localSheetId="5">[4]FuncStudy!$Y$561</definedName>
    <definedName name="UAcct585" localSheetId="7">[5]FuncStudy!$Y$561</definedName>
    <definedName name="UAcct585">'[6]Func Study'!$AB$773</definedName>
    <definedName name="UAcct586" localSheetId="5">[4]FuncStudy!$Y$566</definedName>
    <definedName name="UAcct586" localSheetId="7">[5]FuncStudy!$Y$566</definedName>
    <definedName name="UAcct586">'[6]Func Study'!$AB$778</definedName>
    <definedName name="UAcct587" localSheetId="5">[4]FuncStudy!$Y$571</definedName>
    <definedName name="UAcct587" localSheetId="7">[5]FuncStudy!$Y$571</definedName>
    <definedName name="UAcct587">'[6]Func Study'!$AB$783</definedName>
    <definedName name="UAcct588" localSheetId="5">[4]FuncStudy!$Y$576</definedName>
    <definedName name="UAcct588" localSheetId="7">[5]FuncStudy!$Y$576</definedName>
    <definedName name="UAcct588">'[6]Func Study'!$AB$788</definedName>
    <definedName name="UAcct589" localSheetId="5">[4]FuncStudy!$Y$581</definedName>
    <definedName name="UAcct589" localSheetId="7">[5]FuncStudy!$Y$581</definedName>
    <definedName name="UAcct589">'[6]Func Study'!$AB$793</definedName>
    <definedName name="UAcct590" localSheetId="5">[4]FuncStudy!$Y$586</definedName>
    <definedName name="UAcct590" localSheetId="7">[5]FuncStudy!$Y$586</definedName>
    <definedName name="UAcct590">'[6]Func Study'!$AB$798</definedName>
    <definedName name="UAcct591" localSheetId="5">[4]FuncStudy!$Y$591</definedName>
    <definedName name="UAcct591" localSheetId="7">[5]FuncStudy!$Y$591</definedName>
    <definedName name="UAcct591">'[6]Func Study'!$AB$803</definedName>
    <definedName name="UAcct592" localSheetId="5">[4]FuncStudy!$Y$596</definedName>
    <definedName name="UAcct592" localSheetId="7">[5]FuncStudy!$Y$596</definedName>
    <definedName name="UAcct592">'[6]Func Study'!$AB$808</definedName>
    <definedName name="UAcct593" localSheetId="5">[4]FuncStudy!$Y$601</definedName>
    <definedName name="UAcct593" localSheetId="7">[5]FuncStudy!$Y$601</definedName>
    <definedName name="UAcct593">'[6]Func Study'!$AB$813</definedName>
    <definedName name="UAcct594" localSheetId="5">[4]FuncStudy!$Y$606</definedName>
    <definedName name="UAcct594" localSheetId="7">[5]FuncStudy!$Y$606</definedName>
    <definedName name="UAcct594">'[6]Func Study'!$AB$818</definedName>
    <definedName name="UAcct595" localSheetId="5">[4]FuncStudy!$Y$611</definedName>
    <definedName name="UAcct595" localSheetId="7">[5]FuncStudy!$Y$611</definedName>
    <definedName name="UAcct595">'[6]Func Study'!$AB$823</definedName>
    <definedName name="UAcct596" localSheetId="5">[4]FuncStudy!$Y$616</definedName>
    <definedName name="UAcct596" localSheetId="7">[5]FuncStudy!$Y$616</definedName>
    <definedName name="UAcct596">'[6]Func Study'!$AB$833</definedName>
    <definedName name="UAcct597" localSheetId="5">[4]FuncStudy!$Y$621</definedName>
    <definedName name="UAcct597" localSheetId="7">[5]FuncStudy!$Y$621</definedName>
    <definedName name="UAcct597">'[6]Func Study'!$AB$838</definedName>
    <definedName name="UAcct598" localSheetId="5">[4]FuncStudy!$Y$626</definedName>
    <definedName name="UAcct598" localSheetId="7">[5]FuncStudy!$Y$626</definedName>
    <definedName name="UAcct598">'[6]Func Study'!$AB$843</definedName>
    <definedName name="UAcct901" localSheetId="5">[4]FuncStudy!$Y$633</definedName>
    <definedName name="UAcct901" localSheetId="7">[5]FuncStudy!$Y$633</definedName>
    <definedName name="UAcct901">'[6]Func Study'!$AB$855</definedName>
    <definedName name="UAcct902" localSheetId="5">[4]FuncStudy!$Y$638</definedName>
    <definedName name="UAcct902" localSheetId="7">[5]FuncStudy!$Y$638</definedName>
    <definedName name="UAcct902">'[6]Func Study'!$AB$860</definedName>
    <definedName name="UAcct903" localSheetId="5">[4]FuncStudy!$Y$643</definedName>
    <definedName name="UAcct903" localSheetId="7">[5]FuncStudy!$Y$643</definedName>
    <definedName name="UAcct903">'[6]Func Study'!$AB$865</definedName>
    <definedName name="UAcct904" localSheetId="5">[4]FuncStudy!$Y$649</definedName>
    <definedName name="UAcct904" localSheetId="7">[5]FuncStudy!$Y$649</definedName>
    <definedName name="UAcct904">'[6]Func Study'!$AB$871</definedName>
    <definedName name="UAcct905" localSheetId="5">[4]FuncStudy!$Y$654</definedName>
    <definedName name="UAcct905" localSheetId="7">[5]FuncStudy!$Y$654</definedName>
    <definedName name="UAcct905">'[6]Func Study'!$AB$876</definedName>
    <definedName name="UAcct907" localSheetId="5">[4]FuncStudy!$Y$661</definedName>
    <definedName name="UAcct907" localSheetId="7">[5]FuncStudy!$Y$661</definedName>
    <definedName name="UAcct907">'[6]Func Study'!$AB$890</definedName>
    <definedName name="UAcct908" localSheetId="5">[4]FuncStudy!$Y$666</definedName>
    <definedName name="UAcct908" localSheetId="7">[5]FuncStudy!$Y$666</definedName>
    <definedName name="UAcct908">'[6]Func Study'!$AB$895</definedName>
    <definedName name="UAcct909" localSheetId="5">[4]FuncStudy!$Y$671</definedName>
    <definedName name="UAcct909" localSheetId="7">[5]FuncStudy!$Y$671</definedName>
    <definedName name="UAcct909">'[6]Func Study'!$AB$900</definedName>
    <definedName name="UAcct910" localSheetId="5">[4]FuncStudy!$Y$676</definedName>
    <definedName name="UAcct910" localSheetId="7">[5]FuncStudy!$Y$676</definedName>
    <definedName name="UAcct910">'[6]Func Study'!$AB$905</definedName>
    <definedName name="UAcct911" localSheetId="5">[4]FuncStudy!$Y$683</definedName>
    <definedName name="UAcct911" localSheetId="7">[5]FuncStudy!$Y$683</definedName>
    <definedName name="UAcct911">'[6]Func Study'!$AB$916</definedName>
    <definedName name="UAcct912" localSheetId="5">[4]FuncStudy!$Y$688</definedName>
    <definedName name="UAcct912" localSheetId="7">[5]FuncStudy!$Y$688</definedName>
    <definedName name="UAcct912">'[6]Func Study'!$AB$921</definedName>
    <definedName name="UAcct913" localSheetId="5">[4]FuncStudy!$Y$693</definedName>
    <definedName name="UAcct913" localSheetId="7">[5]FuncStudy!$Y$693</definedName>
    <definedName name="UAcct913">'[6]Func Study'!$AB$926</definedName>
    <definedName name="UAcct916" localSheetId="5">[4]FuncStudy!$Y$698</definedName>
    <definedName name="UAcct916" localSheetId="7">[5]FuncStudy!$Y$698</definedName>
    <definedName name="UAcct916">'[6]Func Study'!$AB$931</definedName>
    <definedName name="UAcct920" localSheetId="5">[4]FuncStudy!$Y$707</definedName>
    <definedName name="UAcct920" localSheetId="7">[5]FuncStudy!$Y$707</definedName>
    <definedName name="UAcct920">'[6]Func Study'!$AB$942</definedName>
    <definedName name="UAcct920Cn" localSheetId="5">[4]FuncStudy!$Y$705</definedName>
    <definedName name="UAcct920Cn" localSheetId="7">[5]FuncStudy!$Y$705</definedName>
    <definedName name="UAcct920Cn">'[6]Func Study'!$AB$940</definedName>
    <definedName name="UAcct921" localSheetId="5">[4]FuncStudy!$Y$713</definedName>
    <definedName name="UAcct921" localSheetId="7">[5]FuncStudy!$Y$713</definedName>
    <definedName name="UAcct921">'[6]Func Study'!$AB$948</definedName>
    <definedName name="UAcct921Cn" localSheetId="5">[4]FuncStudy!$Y$711</definedName>
    <definedName name="UAcct921Cn" localSheetId="7">[5]FuncStudy!$Y$711</definedName>
    <definedName name="UAcct921Cn">'[6]Func Study'!$AB$946</definedName>
    <definedName name="UAcct923" localSheetId="5">[4]FuncStudy!$Y$719</definedName>
    <definedName name="UAcct923" localSheetId="7">[5]FuncStudy!$Y$719</definedName>
    <definedName name="UAcct923">'[6]Func Study'!$AB$954</definedName>
    <definedName name="UAcct923Cn" localSheetId="5">[4]FuncStudy!$Y$717</definedName>
    <definedName name="UAcct923Cn" localSheetId="7">[5]FuncStudy!$Y$717</definedName>
    <definedName name="UAcct923Cn">'[6]Func Study'!$AB$952</definedName>
    <definedName name="UAcct924">'[6]Func Study'!$AB$959</definedName>
    <definedName name="UAcct924S" localSheetId="5">[4]FuncStudy!$Y$722</definedName>
    <definedName name="UAcct924S" localSheetId="7">[5]FuncStudy!$Y$722</definedName>
    <definedName name="UAcct924S">[8]FuncStudy!$Y$722</definedName>
    <definedName name="UACCT924SG" localSheetId="5">[4]FuncStudy!$Y$723</definedName>
    <definedName name="UACCT924SG" localSheetId="7">[5]FuncStudy!$Y$723</definedName>
    <definedName name="UACCT924SG">'[6]Func Study'!$AB$958</definedName>
    <definedName name="UAcct924SO" localSheetId="5">[4]FuncStudy!$Y$724</definedName>
    <definedName name="UAcct924SO" localSheetId="7">[5]FuncStudy!$Y$724</definedName>
    <definedName name="UAcct924SO">[8]FuncStudy!$Y$724</definedName>
    <definedName name="UAcct925" localSheetId="5">[4]FuncStudy!$Y$729</definedName>
    <definedName name="UAcct925" localSheetId="7">[5]FuncStudy!$Y$729</definedName>
    <definedName name="UAcct925">'[6]Func Study'!$AB$963</definedName>
    <definedName name="UAcct926" localSheetId="5">[4]FuncStudy!$Y$735</definedName>
    <definedName name="UAcct926" localSheetId="7">[5]FuncStudy!$Y$735</definedName>
    <definedName name="UAcct926">'[6]Func Study'!$AB$969</definedName>
    <definedName name="UAcct927" localSheetId="5">[4]FuncStudy!$Y$740</definedName>
    <definedName name="UAcct927" localSheetId="7">[5]FuncStudy!$Y$740</definedName>
    <definedName name="UAcct927">'[6]Func Study'!$AB$974</definedName>
    <definedName name="UAcct928" localSheetId="5">[4]FuncStudy!$Y$747</definedName>
    <definedName name="UAcct928" localSheetId="7">[5]FuncStudy!$Y$747</definedName>
    <definedName name="UAcct928">'[6]Func Study'!$AB$981</definedName>
    <definedName name="UAcct928RE" localSheetId="5">[4]FuncStudy!$Y$749</definedName>
    <definedName name="UAcct928RE" localSheetId="7">[5]FuncStudy!$Y$749</definedName>
    <definedName name="UAcct928RE">'[6]Func Study'!$AB$983</definedName>
    <definedName name="UAcct929" localSheetId="5">[4]FuncStudy!$Y$754</definedName>
    <definedName name="UAcct929" localSheetId="7">[5]FuncStudy!$Y$754</definedName>
    <definedName name="UAcct929">'[6]Func Study'!$AB$988</definedName>
    <definedName name="UACCT930cn" localSheetId="5">[4]FuncStudy!$Y$758</definedName>
    <definedName name="UACCT930cn" localSheetId="7">[5]FuncStudy!$Y$758</definedName>
    <definedName name="UACCT930cn">'[6]Func Study'!$AB$992</definedName>
    <definedName name="UAcct930S" localSheetId="5">[4]FuncStudy!$Y$757</definedName>
    <definedName name="UAcct930S" localSheetId="7">[5]FuncStudy!$Y$757</definedName>
    <definedName name="UAcct930S">'[6]Func Study'!$AB$991</definedName>
    <definedName name="UAcct930So" localSheetId="5">[4]FuncStudy!$Y$759</definedName>
    <definedName name="UAcct930So" localSheetId="7">[5]FuncStudy!$Y$759</definedName>
    <definedName name="UAcct930So">'[6]Func Study'!$AB$993</definedName>
    <definedName name="UAcct931" localSheetId="5">[4]FuncStudy!$Y$765</definedName>
    <definedName name="UAcct931" localSheetId="7">[5]FuncStudy!$Y$765</definedName>
    <definedName name="UAcct931">'[6]Func Study'!$AB$999</definedName>
    <definedName name="UAcct935" localSheetId="5">[4]FuncStudy!$Y$771</definedName>
    <definedName name="UAcct935" localSheetId="7">[5]FuncStudy!$Y$771</definedName>
    <definedName name="UAcct935">'[6]Func Study'!$AB$1005</definedName>
    <definedName name="UAcctAGA" localSheetId="5">[4]FuncStudy!$Y$132</definedName>
    <definedName name="UAcctAGA" localSheetId="7">[5]FuncStudy!$Y$132</definedName>
    <definedName name="UAcctAGA">'[6]Func Study'!$AB$291</definedName>
    <definedName name="UAcctcwc" localSheetId="5">[4]FuncStudy!$Y$1798</definedName>
    <definedName name="UAcctcwc" localSheetId="7">[5]FuncStudy!$Y$1798</definedName>
    <definedName name="UAcctcwc">'[6]Func Study'!$AB$2163</definedName>
    <definedName name="UAcctd00" localSheetId="5">[4]FuncStudy!$Y$1471</definedName>
    <definedName name="UAcctd00" localSheetId="7">[5]FuncStudy!$Y$1471</definedName>
    <definedName name="UAcctd00">'[6]Func Study'!$AB$1817</definedName>
    <definedName name="UAcctdfad" localSheetId="5">[4]FuncStudy!$Y$214</definedName>
    <definedName name="UAcctdfad" localSheetId="7">[5]FuncStudy!$Y$214</definedName>
    <definedName name="UAcctdfad">'[6]Func Study'!$AB$392</definedName>
    <definedName name="UAcctdfap" localSheetId="5">[4]FuncStudy!$Y$212</definedName>
    <definedName name="UAcctdfap" localSheetId="7">[5]FuncStudy!$Y$212</definedName>
    <definedName name="UAcctdfap">'[6]Func Study'!$AB$390</definedName>
    <definedName name="UAcctdfat" localSheetId="5">[4]FuncStudy!$Y$213</definedName>
    <definedName name="UAcctdfat" localSheetId="7">[5]FuncStudy!$Y$213</definedName>
    <definedName name="UAcctdfat">'[6]Func Study'!$AB$391</definedName>
    <definedName name="UAcctds0" localSheetId="5">[4]FuncStudy!$Y$1475</definedName>
    <definedName name="UAcctds0" localSheetId="7">[5]FuncStudy!$Y$1475</definedName>
    <definedName name="UAcctds0">'[6]Func Study'!$AB$1821</definedName>
    <definedName name="uacctecdcoh">'[6]Func Study'!$AB$663</definedName>
    <definedName name="uacctecddgp">'[6]Func Study'!$AB$662</definedName>
    <definedName name="uacctecdmc">'[6]Func Study'!$AB$664</definedName>
    <definedName name="uacctecdqfsg">'[6]Func Study'!$AB$667</definedName>
    <definedName name="uacctecds">'[6]Func Study'!$AB$666</definedName>
    <definedName name="uacctecdsg">'[6]Func Study'!$AB$665</definedName>
    <definedName name="UAcctfit" localSheetId="5">[4]FuncStudy!$Y$1142</definedName>
    <definedName name="UAcctfit" localSheetId="7">[5]FuncStudy!$Y$1142</definedName>
    <definedName name="UAcctfit">'[6]Func Study'!$AB$1422</definedName>
    <definedName name="UAcctg00" localSheetId="5">[4]FuncStudy!$Y$1623</definedName>
    <definedName name="UAcctg00" localSheetId="7">[5]FuncStudy!$Y$1623</definedName>
    <definedName name="UAcctg00">'[6]Func Study'!$AB$1976</definedName>
    <definedName name="UAccth00" localSheetId="5">[4]FuncStudy!$Y$1257</definedName>
    <definedName name="UAccth00" localSheetId="7">[5]FuncStudy!$Y$1257</definedName>
    <definedName name="UAccth00">'[6]Func Study'!$AB$1578</definedName>
    <definedName name="UAccti00" localSheetId="5">[4]FuncStudy!$Y$1665</definedName>
    <definedName name="UAccti00" localSheetId="7">[5]FuncStudy!$Y$1665</definedName>
    <definedName name="UAccti00">'[6]Func Study'!$AB$2021</definedName>
    <definedName name="UAcctn00" localSheetId="5">[4]FuncStudy!$Y$1213</definedName>
    <definedName name="UAcctn00" localSheetId="7">[5]FuncStudy!$Y$1213</definedName>
    <definedName name="UAcctn00">'[6]Func Study'!$AB$1522</definedName>
    <definedName name="UAccto00" localSheetId="5">[4]FuncStudy!$Y$1308</definedName>
    <definedName name="UAccto00" localSheetId="7">[5]FuncStudy!$Y$1308</definedName>
    <definedName name="UAccto00">'[6]Func Study'!$AB$1638</definedName>
    <definedName name="UAcctowc" localSheetId="5">[4]FuncStudy!$Y$1810</definedName>
    <definedName name="UAcctowc" localSheetId="7">[5]FuncStudy!$Y$1810</definedName>
    <definedName name="UAcctowc">'[6]Func Study'!$AB$2175</definedName>
    <definedName name="uacctowcssech" localSheetId="5">[4]FuncStudy!$Y$1809</definedName>
    <definedName name="uacctowcssech" localSheetId="7">[5]FuncStudy!$Y$1809</definedName>
    <definedName name="uacctowcssech">'[6]Func Study'!$AB$2174</definedName>
    <definedName name="UAccts00" localSheetId="5">[4]FuncStudy!$Y$1181</definedName>
    <definedName name="UAccts00" localSheetId="7">[5]FuncStudy!$Y$1181</definedName>
    <definedName name="UAccts00">'[6]Func Study'!$AB$1481</definedName>
    <definedName name="UAcctSchM" localSheetId="5">[4]FuncStudy!$Y$1120</definedName>
    <definedName name="UAcctSchM" localSheetId="7">[5]FuncStudy!$Y$1120</definedName>
    <definedName name="UAcctSchM">'[6]Func Study'!$AB$1401</definedName>
    <definedName name="UAcctsttax" localSheetId="5">[4]FuncStudy!$Y$1124</definedName>
    <definedName name="UAcctsttax" localSheetId="7">[5]FuncStudy!$Y$1124</definedName>
    <definedName name="UAcctsttax">'[6]Func Study'!$AB$1405</definedName>
    <definedName name="UAcctt00" localSheetId="5">[4]FuncStudy!$Y$1376</definedName>
    <definedName name="UAcctt00" localSheetId="7">[5]FuncStudy!$Y$1376</definedName>
    <definedName name="UAcctt00">'[6]Func Study'!$AB$1713</definedName>
    <definedName name="UACT553SGW" localSheetId="5">[4]FuncStudy!$Y$421</definedName>
    <definedName name="UACT553SGW" localSheetId="7">[5]FuncStudy!$Y$421</definedName>
    <definedName name="UACT553SGW">[8]FuncStudy!$Y$421</definedName>
    <definedName name="UNBILREV" localSheetId="6">#REF!</definedName>
    <definedName name="UNBILREV" localSheetId="2">#REF!</definedName>
    <definedName name="UNBILREV" localSheetId="3">#REF!</definedName>
    <definedName name="UNBILREV" localSheetId="4">#REF!</definedName>
    <definedName name="UNBILREV">#REF!</definedName>
    <definedName name="UncollectibleAccounts">[12]Variables!$D$25</definedName>
    <definedName name="USBR" localSheetId="6">#REF!</definedName>
    <definedName name="USBR" localSheetId="2">#REF!</definedName>
    <definedName name="USBR" localSheetId="3">#REF!</definedName>
    <definedName name="USBR" localSheetId="4">#REF!</definedName>
    <definedName name="USBR">#REF!</definedName>
    <definedName name="USCHMAFS" localSheetId="5">[4]FuncStudy!$Y$1031</definedName>
    <definedName name="USCHMAFS" localSheetId="7">[5]FuncStudy!$Y$1031</definedName>
    <definedName name="USCHMAFS">'[6]Func Study'!$AB$1302</definedName>
    <definedName name="USCHMAFSE" localSheetId="5">[4]FuncStudy!$Y$1034</definedName>
    <definedName name="USCHMAFSE" localSheetId="7">[5]FuncStudy!$Y$1034</definedName>
    <definedName name="USCHMAFSE">'[6]Func Study'!$AB$1305</definedName>
    <definedName name="USCHMAFSG" localSheetId="5">[4]FuncStudy!$Y$1036</definedName>
    <definedName name="USCHMAFSG" localSheetId="7">[5]FuncStudy!$Y$1036</definedName>
    <definedName name="USCHMAFSG">'[6]Func Study'!$AB$1307</definedName>
    <definedName name="USCHMAFSNP" localSheetId="5">[4]FuncStudy!$Y$1032</definedName>
    <definedName name="USCHMAFSNP" localSheetId="7">[5]FuncStudy!$Y$1032</definedName>
    <definedName name="USCHMAFSNP">'[6]Func Study'!$AB$1303</definedName>
    <definedName name="USCHMAFSO" localSheetId="5">[4]FuncStudy!$Y$1033</definedName>
    <definedName name="USCHMAFSO" localSheetId="7">[5]FuncStudy!$Y$1033</definedName>
    <definedName name="USCHMAFSO">'[6]Func Study'!$AB$1304</definedName>
    <definedName name="USCHMAFTROJP" localSheetId="5">[4]FuncStudy!$Y$1035</definedName>
    <definedName name="USCHMAFTROJP" localSheetId="7">[5]FuncStudy!$Y$1035</definedName>
    <definedName name="USCHMAFTROJP">'[6]Func Study'!$AB$1306</definedName>
    <definedName name="USCHMAPBADDEBT" localSheetId="5">[4]FuncStudy!$Y$1045</definedName>
    <definedName name="USCHMAPBADDEBT" localSheetId="7">[5]FuncStudy!$Y$1045</definedName>
    <definedName name="USCHMAPBADDEBT">'[6]Func Study'!$AB$1316</definedName>
    <definedName name="USCHMAPS" localSheetId="5">[4]FuncStudy!$Y$1040</definedName>
    <definedName name="USCHMAPS" localSheetId="7">[5]FuncStudy!$Y$1040</definedName>
    <definedName name="USCHMAPS">'[6]Func Study'!$AB$1311</definedName>
    <definedName name="USCHMAPSE" localSheetId="5">[4]FuncStudy!$Y$1041</definedName>
    <definedName name="USCHMAPSE" localSheetId="7">[5]FuncStudy!$Y$1041</definedName>
    <definedName name="USCHMAPSE">'[6]Func Study'!$AB$1312</definedName>
    <definedName name="USCHMAPSG" localSheetId="5">[4]FuncStudy!$Y$1044</definedName>
    <definedName name="USCHMAPSG" localSheetId="7">[5]FuncStudy!$Y$1044</definedName>
    <definedName name="USCHMAPSG">'[6]Func Study'!$AB$1315</definedName>
    <definedName name="USCHMAPSNP" localSheetId="5">[4]FuncStudy!$Y$1042</definedName>
    <definedName name="USCHMAPSNP" localSheetId="7">[5]FuncStudy!$Y$1042</definedName>
    <definedName name="USCHMAPSNP">'[6]Func Study'!$AB$1313</definedName>
    <definedName name="USCHMAPSO" localSheetId="5">[4]FuncStudy!$Y$1043</definedName>
    <definedName name="USCHMAPSO" localSheetId="7">[5]FuncStudy!$Y$1043</definedName>
    <definedName name="USCHMAPSO">'[6]Func Study'!$AB$1314</definedName>
    <definedName name="USCHMATBADDEBT" localSheetId="5">[4]FuncStudy!$Y$1060</definedName>
    <definedName name="USCHMATBADDEBT" localSheetId="7">[5]FuncStudy!$Y$1060</definedName>
    <definedName name="USCHMATBADDEBT">'[6]Func Study'!$AB$1331</definedName>
    <definedName name="USCHMATCIAC" localSheetId="5">[4]FuncStudy!$Y$1051</definedName>
    <definedName name="USCHMATCIAC" localSheetId="7">[5]FuncStudy!$Y$1051</definedName>
    <definedName name="USCHMATCIAC">'[6]Func Study'!$AB$1322</definedName>
    <definedName name="USCHMATGPS" localSheetId="5">[4]FuncStudy!$Y$1057</definedName>
    <definedName name="USCHMATGPS" localSheetId="7">[5]FuncStudy!$Y$1057</definedName>
    <definedName name="USCHMATGPS">'[6]Func Study'!$AB$1328</definedName>
    <definedName name="USCHMATS" localSheetId="5">[4]FuncStudy!$Y$1049</definedName>
    <definedName name="USCHMATS" localSheetId="7">[5]FuncStudy!$Y$1049</definedName>
    <definedName name="USCHMATS">'[6]Func Study'!$AB$1320</definedName>
    <definedName name="USCHMATSCHMDEXP" localSheetId="5">[4]FuncStudy!$Y$1062</definedName>
    <definedName name="USCHMATSCHMDEXP" localSheetId="7">[5]FuncStudy!$Y$1062</definedName>
    <definedName name="USCHMATSCHMDEXP">'[6]Func Study'!$AB$1333</definedName>
    <definedName name="USCHMATSE" localSheetId="5">[4]FuncStudy!$Y$1055</definedName>
    <definedName name="USCHMATSE" localSheetId="7">[5]FuncStudy!$Y$1055</definedName>
    <definedName name="USCHMATSE">'[6]Func Study'!$AB$1326</definedName>
    <definedName name="USCHMATSG" localSheetId="5">[4]FuncStudy!$Y$1054</definedName>
    <definedName name="USCHMATSG" localSheetId="7">[5]FuncStudy!$Y$1054</definedName>
    <definedName name="USCHMATSG">'[6]Func Study'!$AB$1325</definedName>
    <definedName name="USCHMATSG2" localSheetId="5">[4]FuncStudy!$Y$1056</definedName>
    <definedName name="USCHMATSG2" localSheetId="7">[5]FuncStudy!$Y$1056</definedName>
    <definedName name="USCHMATSG2">'[6]Func Study'!$AB$1327</definedName>
    <definedName name="USCHMATSGCT" localSheetId="5">[4]FuncStudy!$Y$1050</definedName>
    <definedName name="USCHMATSGCT" localSheetId="7">[5]FuncStudy!$Y$1050</definedName>
    <definedName name="USCHMATSGCT">'[6]Func Study'!$AB$1321</definedName>
    <definedName name="USCHMATSNP" localSheetId="5">[4]FuncStudy!$Y$1052</definedName>
    <definedName name="USCHMATSNP" localSheetId="7">[5]FuncStudy!$Y$1052</definedName>
    <definedName name="USCHMATSNP">'[6]Func Study'!$AB$1323</definedName>
    <definedName name="USCHMATSNPD" localSheetId="5">[4]FuncStudy!$Y$1059</definedName>
    <definedName name="USCHMATSNPD" localSheetId="7">[5]FuncStudy!$Y$1059</definedName>
    <definedName name="USCHMATSNPD">'[6]Func Study'!$AB$1330</definedName>
    <definedName name="USCHMATSO" localSheetId="5">[4]FuncStudy!$Y$1058</definedName>
    <definedName name="USCHMATSO" localSheetId="7">[5]FuncStudy!$Y$1058</definedName>
    <definedName name="USCHMATSO">'[6]Func Study'!$AB$1329</definedName>
    <definedName name="USCHMATTAXDEPR" localSheetId="5">[4]FuncStudy!$Y$1061</definedName>
    <definedName name="USCHMATTAXDEPR" localSheetId="7">[5]FuncStudy!$Y$1061</definedName>
    <definedName name="USCHMATTAXDEPR">'[6]Func Study'!$AB$1332</definedName>
    <definedName name="USCHMATTROJD" localSheetId="5">[4]FuncStudy!$Y$1053</definedName>
    <definedName name="USCHMATTROJD" localSheetId="7">[5]FuncStudy!$Y$1053</definedName>
    <definedName name="USCHMATTROJD">'[6]Func Study'!$AB$1324</definedName>
    <definedName name="USCHMDFDGP" localSheetId="5">[4]FuncStudy!$Y$1069</definedName>
    <definedName name="USCHMDFDGP" localSheetId="7">[5]FuncStudy!$Y$1069</definedName>
    <definedName name="USCHMDFDGP">'[6]Func Study'!$AB$1340</definedName>
    <definedName name="USCHMDFDGU" localSheetId="5">[4]FuncStudy!$Y$1070</definedName>
    <definedName name="USCHMDFDGU" localSheetId="7">[5]FuncStudy!$Y$1070</definedName>
    <definedName name="USCHMDFDGU">'[6]Func Study'!$AB$1341</definedName>
    <definedName name="USCHMDFS" localSheetId="5">[4]FuncStudy!$Y$1068</definedName>
    <definedName name="USCHMDFS" localSheetId="7">[5]FuncStudy!$Y$1068</definedName>
    <definedName name="USCHMDFS">'[6]Func Study'!$AB$1339</definedName>
    <definedName name="USCHMDPIBT" localSheetId="5">[4]FuncStudy!$Y$1076</definedName>
    <definedName name="USCHMDPIBT" localSheetId="7">[5]FuncStudy!$Y$1076</definedName>
    <definedName name="USCHMDPIBT">'[6]Func Study'!$AB$1347</definedName>
    <definedName name="USCHMDPS" localSheetId="5">[4]FuncStudy!$Y$1073</definedName>
    <definedName name="USCHMDPS" localSheetId="7">[5]FuncStudy!$Y$1073</definedName>
    <definedName name="USCHMDPS">'[6]Func Study'!$AB$1344</definedName>
    <definedName name="USCHMDPSE" localSheetId="5">[4]FuncStudy!$Y$1074</definedName>
    <definedName name="USCHMDPSE" localSheetId="7">[5]FuncStudy!$Y$1074</definedName>
    <definedName name="USCHMDPSE">'[6]Func Study'!$AB$1345</definedName>
    <definedName name="USCHMDPSG" localSheetId="5">[4]FuncStudy!$Y$1077</definedName>
    <definedName name="USCHMDPSG" localSheetId="7">[5]FuncStudy!$Y$1077</definedName>
    <definedName name="USCHMDPSG">'[6]Func Study'!$AB$1348</definedName>
    <definedName name="USCHMDPSNP" localSheetId="5">[4]FuncStudy!$Y$1075</definedName>
    <definedName name="USCHMDPSNP" localSheetId="7">[5]FuncStudy!$Y$1075</definedName>
    <definedName name="USCHMDPSNP">'[6]Func Study'!$AB$1346</definedName>
    <definedName name="USCHMDPSO" localSheetId="5">[4]FuncStudy!$Y$1078</definedName>
    <definedName name="USCHMDPSO" localSheetId="7">[5]FuncStudy!$Y$1078</definedName>
    <definedName name="USCHMDPSO">'[6]Func Study'!$AB$1349</definedName>
    <definedName name="USCHMDTBADDEBT" localSheetId="5">[4]FuncStudy!$Y$1083</definedName>
    <definedName name="USCHMDTBADDEBT" localSheetId="7">[5]FuncStudy!$Y$1083</definedName>
    <definedName name="USCHMDTBADDEBT">'[6]Func Study'!$AB$1354</definedName>
    <definedName name="USCHMDTCN" localSheetId="5">[4]FuncStudy!$Y$1085</definedName>
    <definedName name="USCHMDTCN" localSheetId="7">[5]FuncStudy!$Y$1085</definedName>
    <definedName name="USCHMDTCN">'[6]Func Study'!$AB$1356</definedName>
    <definedName name="USCHMDTDGP" localSheetId="5">[4]FuncStudy!$Y$1087</definedName>
    <definedName name="USCHMDTDGP" localSheetId="7">[5]FuncStudy!$Y$1087</definedName>
    <definedName name="USCHMDTDGP">'[6]Func Study'!$AB$1358</definedName>
    <definedName name="USCHMDTGPS" localSheetId="5">[4]FuncStudy!$Y$1090</definedName>
    <definedName name="USCHMDTGPS" localSheetId="7">[5]FuncStudy!$Y$1090</definedName>
    <definedName name="USCHMDTGPS">'[6]Func Study'!$AB$1361</definedName>
    <definedName name="USCHMDTS" localSheetId="5">[4]FuncStudy!$Y$1082</definedName>
    <definedName name="USCHMDTS" localSheetId="7">[5]FuncStudy!$Y$1082</definedName>
    <definedName name="USCHMDTS">'[6]Func Study'!$AB$1353</definedName>
    <definedName name="USCHMDTSE" localSheetId="5">[4]FuncStudy!$Y$1088</definedName>
    <definedName name="USCHMDTSE" localSheetId="7">[5]FuncStudy!$Y$1088</definedName>
    <definedName name="USCHMDTSE">'[6]Func Study'!$AB$1359</definedName>
    <definedName name="USCHMDTSG" localSheetId="5">[4]FuncStudy!$Y$1089</definedName>
    <definedName name="USCHMDTSG" localSheetId="7">[5]FuncStudy!$Y$1089</definedName>
    <definedName name="USCHMDTSG">'[6]Func Study'!$AB$1360</definedName>
    <definedName name="USCHMDTSNP" localSheetId="5">[4]FuncStudy!$Y$1084</definedName>
    <definedName name="USCHMDTSNP" localSheetId="7">[5]FuncStudy!$Y$1084</definedName>
    <definedName name="USCHMDTSNP">'[6]Func Study'!$AB$1355</definedName>
    <definedName name="USCHMDTSNPD" localSheetId="5">[4]FuncStudy!$Y$1093</definedName>
    <definedName name="USCHMDTSNPD" localSheetId="7">[5]FuncStudy!$Y$1093</definedName>
    <definedName name="USCHMDTSNPD">'[6]Func Study'!$AB$1364</definedName>
    <definedName name="USCHMDTSO" localSheetId="5">[4]FuncStudy!$Y$1091</definedName>
    <definedName name="USCHMDTSO" localSheetId="7">[5]FuncStudy!$Y$1091</definedName>
    <definedName name="USCHMDTSO">'[6]Func Study'!$AB$1362</definedName>
    <definedName name="USCHMDTTAXDEPR" localSheetId="5">[4]FuncStudy!$Y$1092</definedName>
    <definedName name="USCHMDTTAXDEPR" localSheetId="7">[5]FuncStudy!$Y$1092</definedName>
    <definedName name="USCHMDTTAXDEPR">'[6]Func Study'!$AB$1363</definedName>
    <definedName name="USCHMDTTROJD" localSheetId="5">[4]FuncStudy!$Y$1086</definedName>
    <definedName name="USCHMDTTROJD" localSheetId="7">[5]FuncStudy!$Y$1086</definedName>
    <definedName name="USCHMDTTROJD">'[6]Func Study'!$AB$1357</definedName>
    <definedName name="UT_305A_FY_2002" localSheetId="6">#REF!</definedName>
    <definedName name="UT_305A_FY_2002" localSheetId="2">#REF!</definedName>
    <definedName name="UT_305A_FY_2002" localSheetId="3">#REF!</definedName>
    <definedName name="UT_305A_FY_2002" localSheetId="4">#REF!</definedName>
    <definedName name="UT_305A_FY_2002">#REF!</definedName>
    <definedName name="UT_RVN_0302" localSheetId="6">#REF!</definedName>
    <definedName name="UT_RVN_0302" localSheetId="2">#REF!</definedName>
    <definedName name="UT_RVN_0302" localSheetId="4">#REF!</definedName>
    <definedName name="UT_RVN_0302">#REF!</definedName>
    <definedName name="UtGrossReceipts">[12]Variables!$D$29</definedName>
    <definedName name="ValidAccount">[9]Variables!$AK$43:$AK$369</definedName>
    <definedName name="VAR" localSheetId="6">[23]Backup!#REF!</definedName>
    <definedName name="VAR" localSheetId="2">[23]Backup!#REF!</definedName>
    <definedName name="VAR" localSheetId="3">[23]Backup!#REF!</definedName>
    <definedName name="VAR" localSheetId="4">[23]Backup!#REF!</definedName>
    <definedName name="VAR">[23]Backup!#REF!</definedName>
    <definedName name="VARIABLE" localSheetId="6">[22]Summary!#REF!</definedName>
    <definedName name="VARIABLE" localSheetId="2">[22]Summary!#REF!</definedName>
    <definedName name="VARIABLE" localSheetId="3">[22]Summary!#REF!</definedName>
    <definedName name="VARIABLE" localSheetId="4">[22]Summary!#REF!</definedName>
    <definedName name="VARIABLE">[22]Summary!#REF!</definedName>
    <definedName name="VOUCHER" localSheetId="6">#REF!</definedName>
    <definedName name="VOUCHER" localSheetId="2">#REF!</definedName>
    <definedName name="VOUCHER" localSheetId="3">#REF!</definedName>
    <definedName name="VOUCHER" localSheetId="4">#REF!</definedName>
    <definedName name="VOUCHER">#REF!</definedName>
    <definedName name="WaRevenueTax">[12]Variables!$D$27</definedName>
    <definedName name="WEATHER" localSheetId="6">#REF!</definedName>
    <definedName name="WEATHER" localSheetId="2">#REF!</definedName>
    <definedName name="WEATHER" localSheetId="3">#REF!</definedName>
    <definedName name="WEATHER" localSheetId="4">#REF!</definedName>
    <definedName name="WEATHER">#REF!</definedName>
    <definedName name="WEATHRNORM" localSheetId="6">#REF!</definedName>
    <definedName name="WEATHRNORM" localSheetId="2">#REF!</definedName>
    <definedName name="WEATHRNORM" localSheetId="4">#REF!</definedName>
    <definedName name="WEATHRNORM">#REF!</definedName>
    <definedName name="WIDTH" localSheetId="6">#REF!</definedName>
    <definedName name="WIDTH" localSheetId="2">#REF!</definedName>
    <definedName name="WIDTH" localSheetId="4">#REF!</definedName>
    <definedName name="WIDTH">#REF!</definedName>
    <definedName name="WinterPeak">'[34]Load Data'!$D$9:$H$12,'[34]Load Data'!$D$20:$H$22</definedName>
    <definedName name="WN" localSheetId="6">#REF!</definedName>
    <definedName name="WN" localSheetId="2">#REF!</definedName>
    <definedName name="WN" localSheetId="0">#REF!</definedName>
    <definedName name="WN" localSheetId="1">#REF!</definedName>
    <definedName name="WN" localSheetId="3">#REF!</definedName>
    <definedName name="WN" localSheetId="4">#REF!</definedName>
    <definedName name="WN">#REF!</definedName>
    <definedName name="WORK1" localSheetId="6">#REF!</definedName>
    <definedName name="WORK1" localSheetId="2">#REF!</definedName>
    <definedName name="WORK1" localSheetId="4">#REF!</definedName>
    <definedName name="WORK1">#REF!</definedName>
    <definedName name="WORK2" localSheetId="6">#REF!</definedName>
    <definedName name="WORK2" localSheetId="2">#REF!</definedName>
    <definedName name="WORK2" localSheetId="4">#REF!</definedName>
    <definedName name="WORK2">#REF!</definedName>
    <definedName name="WORK3" localSheetId="6">#REF!</definedName>
    <definedName name="WORK3" localSheetId="2">#REF!</definedName>
    <definedName name="WORK3" localSheetId="4">#REF!</definedName>
    <definedName name="WORK3">#REF!</definedName>
    <definedName name="wrn.All._.Pages." localSheetId="7" hidden="1">{#N/A,#N/A,FALSE,"cover";#N/A,#N/A,FALSE,"lead sheet";#N/A,#N/A,FALSE,"Adj backup";#N/A,#N/A,FALSE,"t Accounts"}</definedName>
    <definedName name="wrn.All._.Pages." localSheetId="4" hidden="1">{#N/A,#N/A,FALSE,"cover";#N/A,#N/A,FALSE,"lead sheet";#N/A,#N/A,FALSE,"Adj backup";#N/A,#N/A,FALSE,"t Accounts"}</definedName>
    <definedName name="wrn.All._.Pages." hidden="1">{#N/A,#N/A,FALSE,"cover";#N/A,#N/A,FALSE,"lead sheet";#N/A,#N/A,FALSE,"Adj backup";#N/A,#N/A,FALSE,"t Accounts"}</definedName>
    <definedName name="wrn.Factors._.Tab._.10." localSheetId="6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2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0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1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3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7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4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OR._.Carrying._.Charge._.JV." localSheetId="6" hidden="1">{#N/A,#N/A,FALSE,"Loans";#N/A,#N/A,FALSE,"Program Costs";#N/A,#N/A,FALSE,"Measures";#N/A,#N/A,FALSE,"Net Lost Rev";#N/A,#N/A,FALSE,"Incentive"}</definedName>
    <definedName name="wrn.OR._.Carrying._.Charge._.JV." localSheetId="1" hidden="1">{#N/A,#N/A,FALSE,"Loans";#N/A,#N/A,FALSE,"Program Costs";#N/A,#N/A,FALSE,"Measures";#N/A,#N/A,FALSE,"Net Lost Rev";#N/A,#N/A,FALSE,"Incentive"}</definedName>
    <definedName name="wrn.OR._.Carrying._.Charge._.JV." localSheetId="3" hidden="1">{#N/A,#N/A,FALSE,"Loans";#N/A,#N/A,FALSE,"Program Costs";#N/A,#N/A,FALSE,"Measures";#N/A,#N/A,FALSE,"Net Lost Rev";#N/A,#N/A,FALSE,"Incentive"}</definedName>
    <definedName name="wrn.OR._.Carrying._.Charge._.JV." localSheetId="7" hidden="1">{#N/A,#N/A,FALSE,"Loans";#N/A,#N/A,FALSE,"Program Costs";#N/A,#N/A,FALSE,"Measures";#N/A,#N/A,FALSE,"Net Lost Rev";#N/A,#N/A,FALSE,"Incentive"}</definedName>
    <definedName name="wrn.OR._.Carrying._.Charge._.JV." localSheetId="4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6" hidden="1">{#N/A,#N/A,FALSE,"Loans";#N/A,#N/A,FALSE,"Program Costs";#N/A,#N/A,FALSE,"Measures";#N/A,#N/A,FALSE,"Net Lost Rev";#N/A,#N/A,FALSE,"Incentive"}</definedName>
    <definedName name="wrn.OR._.Carrying._.Charge._.JV.1" localSheetId="1" hidden="1">{#N/A,#N/A,FALSE,"Loans";#N/A,#N/A,FALSE,"Program Costs";#N/A,#N/A,FALSE,"Measures";#N/A,#N/A,FALSE,"Net Lost Rev";#N/A,#N/A,FALSE,"Incentive"}</definedName>
    <definedName name="wrn.OR._.Carrying._.Charge._.JV.1" localSheetId="3" hidden="1">{#N/A,#N/A,FALSE,"Loans";#N/A,#N/A,FALSE,"Program Costs";#N/A,#N/A,FALSE,"Measures";#N/A,#N/A,FALSE,"Net Lost Rev";#N/A,#N/A,FALSE,"Incentive"}</definedName>
    <definedName name="wrn.OR._.Carrying._.Charge._.JV.1" localSheetId="7" hidden="1">{#N/A,#N/A,FALSE,"Loans";#N/A,#N/A,FALSE,"Program Costs";#N/A,#N/A,FALSE,"Measures";#N/A,#N/A,FALSE,"Net Lost Rev";#N/A,#N/A,FALSE,"Incentive"}</definedName>
    <definedName name="wrn.OR._.Carrying._.Charge._.JV.1" localSheetId="4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SALES._.VAR._.95._.BUDGET." localSheetId="7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localSheetId="4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YearEnd." localSheetId="6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2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0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1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3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7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4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x">'[35]Weather Present'!$K$7</definedName>
    <definedName name="Xfmr_Year1">[11]Variables!$C$20</definedName>
    <definedName name="Xfmr_Year2">[11]Variables!$D$20</definedName>
    <definedName name="XFMR_YR1">[13]Variables!$C$20</definedName>
    <definedName name="XFMR_YR2">[13]Variables!$D$20</definedName>
    <definedName name="y" localSheetId="6" hidden="1">'[3]DSM Output'!$B$21:$B$23</definedName>
    <definedName name="y" hidden="1">'[3]DSM Output'!$B$21:$B$23</definedName>
    <definedName name="Year" localSheetId="6">#REF!</definedName>
    <definedName name="Year" localSheetId="2">#REF!</definedName>
    <definedName name="Year" localSheetId="3">#REF!</definedName>
    <definedName name="Year" localSheetId="4">#REF!</definedName>
    <definedName name="Year">#REF!</definedName>
    <definedName name="YEFactors">[9]Factors!$S$3:$AG$99</definedName>
    <definedName name="z" localSheetId="6" hidden="1">'[3]DSM Output'!$G$21:$G$23</definedName>
    <definedName name="z" hidden="1">'[3]DSM Output'!$G$21:$G$23</definedName>
    <definedName name="ZA" localSheetId="6">'[36] annual balance '!#REF!</definedName>
    <definedName name="ZA" localSheetId="2">'[36] annual balance '!#REF!</definedName>
    <definedName name="ZA" localSheetId="3">'[36] annual balance '!#REF!</definedName>
    <definedName name="ZA" localSheetId="4">'[36] annual balance '!#REF!</definedName>
    <definedName name="ZA">'[36] annual balance '!#REF!</definedName>
  </definedNames>
  <calcPr calcId="152511"/>
</workbook>
</file>

<file path=xl/calcChain.xml><?xml version="1.0" encoding="utf-8"?>
<calcChain xmlns="http://schemas.openxmlformats.org/spreadsheetml/2006/main">
  <c r="V49" i="6" l="1"/>
  <c r="V48" i="6"/>
  <c r="W48" i="6" s="1"/>
  <c r="V47" i="6"/>
  <c r="V37" i="6"/>
  <c r="W37" i="6" s="1"/>
  <c r="W49" i="6"/>
  <c r="W47" i="6"/>
  <c r="W17" i="6"/>
  <c r="F7" i="11"/>
  <c r="K55" i="6"/>
  <c r="K53" i="6" s="1"/>
  <c r="K56" i="6" s="1"/>
  <c r="E81" i="13"/>
  <c r="E78" i="13"/>
  <c r="D44" i="13"/>
  <c r="D78" i="13" s="1"/>
  <c r="E57" i="13"/>
  <c r="E67" i="13" s="1"/>
  <c r="E60" i="13"/>
  <c r="E70" i="13" s="1"/>
  <c r="E66" i="13"/>
  <c r="E72" i="13"/>
  <c r="W34" i="13"/>
  <c r="U34" i="13"/>
  <c r="S34" i="13"/>
  <c r="Q34" i="13"/>
  <c r="O34" i="13"/>
  <c r="M34" i="13"/>
  <c r="X34" i="13"/>
  <c r="V34" i="13"/>
  <c r="T34" i="13"/>
  <c r="R34" i="13"/>
  <c r="P34" i="13"/>
  <c r="N34" i="13"/>
  <c r="E56" i="13"/>
  <c r="E58" i="13" s="1"/>
  <c r="X33" i="13"/>
  <c r="W33" i="13"/>
  <c r="V33" i="13"/>
  <c r="U33" i="13"/>
  <c r="T33" i="13"/>
  <c r="S33" i="13"/>
  <c r="R33" i="13"/>
  <c r="Q33" i="13"/>
  <c r="P33" i="13"/>
  <c r="O33" i="13"/>
  <c r="N33" i="13"/>
  <c r="M33" i="13"/>
  <c r="E62" i="13"/>
  <c r="E46" i="13"/>
  <c r="E80" i="13" s="1"/>
  <c r="E13" i="13"/>
  <c r="E19" i="13" s="1"/>
  <c r="E7" i="13"/>
  <c r="E68" i="13" l="1"/>
  <c r="Y33" i="13"/>
  <c r="E61" i="13" s="1"/>
  <c r="E63" i="13" s="1"/>
  <c r="Y34" i="13"/>
  <c r="E71" i="13" s="1"/>
  <c r="G71" i="13" s="1"/>
  <c r="E30" i="13"/>
  <c r="E34" i="13"/>
  <c r="E38" i="13"/>
  <c r="E41" i="13" l="1"/>
  <c r="E43" i="13" s="1"/>
  <c r="E49" i="13" s="1"/>
  <c r="E73" i="13"/>
  <c r="G73" i="13" s="1"/>
  <c r="E75" i="13" l="1"/>
  <c r="E77" i="13" s="1"/>
  <c r="E83" i="13" s="1"/>
  <c r="G447" i="5" l="1"/>
  <c r="K447" i="5" s="1"/>
  <c r="G446" i="5"/>
  <c r="K446" i="5" s="1"/>
  <c r="S446" i="5" s="1"/>
  <c r="G445" i="5"/>
  <c r="K445" i="5" s="1"/>
  <c r="G444" i="5"/>
  <c r="G443" i="5"/>
  <c r="S447" i="5" l="1"/>
  <c r="K448" i="5"/>
  <c r="S445" i="5"/>
  <c r="R45" i="6" l="1"/>
  <c r="P45" i="6"/>
  <c r="N45" i="6"/>
  <c r="R44" i="6"/>
  <c r="P44" i="6"/>
  <c r="N44" i="6"/>
  <c r="R43" i="6"/>
  <c r="P43" i="6"/>
  <c r="N43" i="6"/>
  <c r="R42" i="6"/>
  <c r="P42" i="6"/>
  <c r="N42" i="6"/>
  <c r="R41" i="6"/>
  <c r="P41" i="6"/>
  <c r="P46" i="6" s="1"/>
  <c r="P50" i="6" s="1"/>
  <c r="N41" i="6"/>
  <c r="R36" i="6"/>
  <c r="P36" i="6"/>
  <c r="N36" i="6"/>
  <c r="R35" i="6"/>
  <c r="P35" i="6"/>
  <c r="N35" i="6"/>
  <c r="R34" i="6"/>
  <c r="P34" i="6"/>
  <c r="N34" i="6"/>
  <c r="R33" i="6"/>
  <c r="P33" i="6"/>
  <c r="N33" i="6"/>
  <c r="R32" i="6"/>
  <c r="P32" i="6"/>
  <c r="N32" i="6"/>
  <c r="R31" i="6"/>
  <c r="P31" i="6"/>
  <c r="N31" i="6"/>
  <c r="R29" i="6"/>
  <c r="P29" i="6"/>
  <c r="N29" i="6"/>
  <c r="R28" i="6"/>
  <c r="R30" i="6" s="1"/>
  <c r="P28" i="6"/>
  <c r="P30" i="6" s="1"/>
  <c r="N28" i="6"/>
  <c r="R26" i="6"/>
  <c r="P26" i="6"/>
  <c r="N26" i="6"/>
  <c r="R25" i="6"/>
  <c r="P25" i="6"/>
  <c r="P27" i="6" s="1"/>
  <c r="N25" i="6"/>
  <c r="N27" i="6" s="1"/>
  <c r="R24" i="6"/>
  <c r="P24" i="6"/>
  <c r="N24" i="6"/>
  <c r="R22" i="6"/>
  <c r="P22" i="6"/>
  <c r="N22" i="6"/>
  <c r="R21" i="6"/>
  <c r="P21" i="6"/>
  <c r="N21" i="6"/>
  <c r="R20" i="6"/>
  <c r="P20" i="6"/>
  <c r="P23" i="6" s="1"/>
  <c r="N20" i="6"/>
  <c r="N16" i="6"/>
  <c r="P16" i="6"/>
  <c r="R16" i="6"/>
  <c r="R15" i="6"/>
  <c r="R18" i="6" s="1"/>
  <c r="P15" i="6"/>
  <c r="P18" i="6" s="1"/>
  <c r="N15" i="6"/>
  <c r="N18" i="6" s="1"/>
  <c r="F6" i="11"/>
  <c r="F4" i="11"/>
  <c r="F5" i="11"/>
  <c r="M34" i="10"/>
  <c r="K49" i="10"/>
  <c r="K37" i="10"/>
  <c r="K17" i="10"/>
  <c r="G494" i="5"/>
  <c r="K35" i="10"/>
  <c r="K34" i="10"/>
  <c r="R38" i="6" l="1"/>
  <c r="N30" i="6"/>
  <c r="N46" i="6"/>
  <c r="N50" i="6" s="1"/>
  <c r="R27" i="6"/>
  <c r="N38" i="6"/>
  <c r="N39" i="6" s="1"/>
  <c r="N23" i="6"/>
  <c r="R23" i="6"/>
  <c r="P38" i="6"/>
  <c r="I48" i="10"/>
  <c r="I47" i="10"/>
  <c r="I45" i="10"/>
  <c r="I44" i="10"/>
  <c r="I43" i="10"/>
  <c r="I42" i="10"/>
  <c r="I41" i="10"/>
  <c r="I36" i="10"/>
  <c r="I35" i="10"/>
  <c r="I34" i="10"/>
  <c r="I33" i="10"/>
  <c r="I32" i="10"/>
  <c r="I31" i="10"/>
  <c r="I29" i="10"/>
  <c r="I28" i="10"/>
  <c r="I26" i="10"/>
  <c r="I25" i="10"/>
  <c r="I24" i="10"/>
  <c r="I22" i="10"/>
  <c r="I21" i="10"/>
  <c r="I20" i="10"/>
  <c r="I16" i="10"/>
  <c r="I15" i="10"/>
  <c r="N51" i="6" l="1"/>
  <c r="I38" i="10"/>
  <c r="I39" i="10" s="1"/>
  <c r="G46" i="10"/>
  <c r="G50" i="10" s="1"/>
  <c r="G38" i="10"/>
  <c r="G39" i="10" s="1"/>
  <c r="G30" i="10"/>
  <c r="G27" i="10"/>
  <c r="G23" i="10"/>
  <c r="G18" i="10"/>
  <c r="P39" i="6" l="1"/>
  <c r="P51" i="6"/>
  <c r="G51" i="10"/>
  <c r="G52" i="10"/>
  <c r="Y49" i="10"/>
  <c r="Q49" i="10"/>
  <c r="U49" i="10" s="1"/>
  <c r="O49" i="10"/>
  <c r="Q37" i="10"/>
  <c r="O37" i="10"/>
  <c r="Q34" i="10"/>
  <c r="O34" i="10"/>
  <c r="I30" i="10"/>
  <c r="I27" i="10"/>
  <c r="I23" i="10"/>
  <c r="Q17" i="10"/>
  <c r="O17" i="10"/>
  <c r="A16" i="10"/>
  <c r="I18" i="10"/>
  <c r="E12" i="10"/>
  <c r="G12" i="10" l="1"/>
  <c r="I12" i="10" s="1"/>
  <c r="AA49" i="10"/>
  <c r="AC49" i="10" s="1"/>
  <c r="U17" i="10"/>
  <c r="AA17" i="10" s="1"/>
  <c r="AC17" i="10" s="1"/>
  <c r="W17" i="10"/>
  <c r="Y17" i="10" s="1"/>
  <c r="W34" i="10"/>
  <c r="Y34" i="10" s="1"/>
  <c r="A17" i="10"/>
  <c r="W37" i="10"/>
  <c r="Y37" i="10" s="1"/>
  <c r="U37" i="10"/>
  <c r="AA37" i="10" s="1"/>
  <c r="AC37" i="10" s="1"/>
  <c r="Q35" i="10"/>
  <c r="I46" i="10"/>
  <c r="K12" i="10" l="1"/>
  <c r="M12" i="10"/>
  <c r="O12" i="10"/>
  <c r="W35" i="10"/>
  <c r="Y35" i="10" s="1"/>
  <c r="I50" i="10"/>
  <c r="I51" i="10" s="1"/>
  <c r="I52" i="10"/>
  <c r="A18" i="10"/>
  <c r="Q12" i="10"/>
  <c r="S12" i="10" s="1"/>
  <c r="U12" i="10" l="1"/>
  <c r="A20" i="10"/>
  <c r="A21" i="10" l="1"/>
  <c r="W12" i="10"/>
  <c r="Y12" i="10" s="1"/>
  <c r="AA12" i="10" s="1"/>
  <c r="AC12" i="10" s="1"/>
  <c r="A22" i="10" l="1"/>
  <c r="A23" i="10" l="1"/>
  <c r="A24" i="10" s="1"/>
  <c r="A25" i="10" l="1"/>
  <c r="A26" i="10" l="1"/>
  <c r="A27" i="10" l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T29" i="9" l="1"/>
  <c r="T31" i="9" s="1"/>
  <c r="U30" i="9"/>
  <c r="V28" i="9"/>
  <c r="T26" i="9"/>
  <c r="V26" i="9" s="1"/>
  <c r="T25" i="9"/>
  <c r="V25" i="9" s="1"/>
  <c r="T23" i="9"/>
  <c r="V23" i="9" s="1"/>
  <c r="V21" i="9"/>
  <c r="A19" i="9"/>
  <c r="V18" i="9"/>
  <c r="A18" i="9"/>
  <c r="V17" i="9"/>
  <c r="A17" i="9"/>
  <c r="V16" i="9"/>
  <c r="T24" i="9"/>
  <c r="V15" i="9"/>
  <c r="V14" i="9"/>
  <c r="C13" i="9" l="1"/>
  <c r="C12" i="9"/>
  <c r="C29" i="9"/>
  <c r="V13" i="9"/>
  <c r="C15" i="9"/>
  <c r="C18" i="9"/>
  <c r="C21" i="9"/>
  <c r="C23" i="9"/>
  <c r="V24" i="9"/>
  <c r="C25" i="9"/>
  <c r="C27" i="9"/>
  <c r="C28" i="9"/>
  <c r="C30" i="9"/>
  <c r="C31" i="9"/>
  <c r="C10" i="9"/>
  <c r="C11" i="9"/>
  <c r="V12" i="9"/>
  <c r="C14" i="9"/>
  <c r="C16" i="9"/>
  <c r="C19" i="9"/>
  <c r="C20" i="9"/>
  <c r="T20" i="9"/>
  <c r="C22" i="9"/>
  <c r="V22" i="9"/>
  <c r="C24" i="9"/>
  <c r="C26" i="9"/>
  <c r="V30" i="9"/>
  <c r="K34" i="6" l="1"/>
  <c r="T34" i="6" s="1"/>
  <c r="V34" i="6" s="1"/>
  <c r="W34" i="6" s="1"/>
  <c r="K29" i="9"/>
  <c r="K26" i="9"/>
  <c r="K24" i="9"/>
  <c r="K22" i="9"/>
  <c r="K20" i="9"/>
  <c r="K17" i="9"/>
  <c r="K16" i="9"/>
  <c r="K14" i="9"/>
  <c r="K12" i="9"/>
  <c r="K11" i="9"/>
  <c r="K10" i="9"/>
  <c r="K13" i="9"/>
  <c r="K31" i="9"/>
  <c r="K30" i="9"/>
  <c r="K28" i="9"/>
  <c r="K27" i="9"/>
  <c r="K25" i="9"/>
  <c r="K23" i="9"/>
  <c r="K21" i="9"/>
  <c r="K18" i="9"/>
  <c r="U37" i="9" s="1"/>
  <c r="Y37" i="9" s="1"/>
  <c r="K15" i="9"/>
  <c r="U35" i="9"/>
  <c r="Y35" i="9" s="1"/>
  <c r="V20" i="9"/>
  <c r="L34" i="6"/>
  <c r="R445" i="5" l="1"/>
  <c r="R448" i="5" s="1"/>
  <c r="U36" i="9"/>
  <c r="Y36" i="9" s="1"/>
  <c r="Q49" i="8"/>
  <c r="Q47" i="8"/>
  <c r="E38" i="8"/>
  <c r="E35" i="8"/>
  <c r="P33" i="8"/>
  <c r="O33" i="8"/>
  <c r="N33" i="8"/>
  <c r="M33" i="8"/>
  <c r="L33" i="8"/>
  <c r="K33" i="8"/>
  <c r="J33" i="8"/>
  <c r="I33" i="8"/>
  <c r="H33" i="8"/>
  <c r="G33" i="8"/>
  <c r="F33" i="8"/>
  <c r="P32" i="8"/>
  <c r="O32" i="8"/>
  <c r="N32" i="8"/>
  <c r="M32" i="8"/>
  <c r="L32" i="8"/>
  <c r="K32" i="8"/>
  <c r="J32" i="8"/>
  <c r="I32" i="8"/>
  <c r="H32" i="8"/>
  <c r="G32" i="8"/>
  <c r="F32" i="8"/>
  <c r="P30" i="8"/>
  <c r="O30" i="8"/>
  <c r="N30" i="8"/>
  <c r="M30" i="8"/>
  <c r="L30" i="8"/>
  <c r="K30" i="8"/>
  <c r="J30" i="8"/>
  <c r="I30" i="8"/>
  <c r="H30" i="8"/>
  <c r="G30" i="8"/>
  <c r="F30" i="8"/>
  <c r="P29" i="8"/>
  <c r="O29" i="8"/>
  <c r="N29" i="8"/>
  <c r="M29" i="8"/>
  <c r="L29" i="8"/>
  <c r="K29" i="8"/>
  <c r="J29" i="8"/>
  <c r="I29" i="8"/>
  <c r="H29" i="8"/>
  <c r="G29" i="8"/>
  <c r="F29" i="8"/>
  <c r="P26" i="8"/>
  <c r="O26" i="8"/>
  <c r="N26" i="8"/>
  <c r="M26" i="8"/>
  <c r="L26" i="8"/>
  <c r="K26" i="8"/>
  <c r="J26" i="8"/>
  <c r="I26" i="8"/>
  <c r="H26" i="8"/>
  <c r="G26" i="8"/>
  <c r="F26" i="8"/>
  <c r="P25" i="8"/>
  <c r="O25" i="8"/>
  <c r="N25" i="8"/>
  <c r="M25" i="8"/>
  <c r="L25" i="8"/>
  <c r="K25" i="8"/>
  <c r="J25" i="8"/>
  <c r="I25" i="8"/>
  <c r="H25" i="8"/>
  <c r="G25" i="8"/>
  <c r="F25" i="8"/>
  <c r="P23" i="8"/>
  <c r="O23" i="8"/>
  <c r="N23" i="8"/>
  <c r="M23" i="8"/>
  <c r="L23" i="8"/>
  <c r="K23" i="8"/>
  <c r="J23" i="8"/>
  <c r="I23" i="8"/>
  <c r="H23" i="8"/>
  <c r="G23" i="8"/>
  <c r="F23" i="8"/>
  <c r="P21" i="8"/>
  <c r="O21" i="8"/>
  <c r="N21" i="8"/>
  <c r="M21" i="8"/>
  <c r="L21" i="8"/>
  <c r="K21" i="8"/>
  <c r="J21" i="8"/>
  <c r="I21" i="8"/>
  <c r="H21" i="8"/>
  <c r="G21" i="8"/>
  <c r="F21" i="8"/>
  <c r="P20" i="8"/>
  <c r="O20" i="8"/>
  <c r="N20" i="8"/>
  <c r="M20" i="8"/>
  <c r="L20" i="8"/>
  <c r="K20" i="8"/>
  <c r="J20" i="8"/>
  <c r="I20" i="8"/>
  <c r="H20" i="8"/>
  <c r="G20" i="8"/>
  <c r="F20" i="8"/>
  <c r="P18" i="8"/>
  <c r="O18" i="8"/>
  <c r="N18" i="8"/>
  <c r="M18" i="8"/>
  <c r="L18" i="8"/>
  <c r="K18" i="8"/>
  <c r="J18" i="8"/>
  <c r="I18" i="8"/>
  <c r="H18" i="8"/>
  <c r="G18" i="8"/>
  <c r="F18" i="8"/>
  <c r="P17" i="8"/>
  <c r="O17" i="8"/>
  <c r="N17" i="8"/>
  <c r="M17" i="8"/>
  <c r="L17" i="8"/>
  <c r="K17" i="8"/>
  <c r="J17" i="8"/>
  <c r="I17" i="8"/>
  <c r="H17" i="8"/>
  <c r="G17" i="8"/>
  <c r="F17" i="8"/>
  <c r="P14" i="8"/>
  <c r="O14" i="8"/>
  <c r="N14" i="8"/>
  <c r="M14" i="8"/>
  <c r="L14" i="8"/>
  <c r="K14" i="8"/>
  <c r="J14" i="8"/>
  <c r="I14" i="8"/>
  <c r="H14" i="8"/>
  <c r="G14" i="8"/>
  <c r="F14" i="8"/>
  <c r="M447" i="5" l="1"/>
  <c r="O447" i="5" s="1"/>
  <c r="T447" i="5" s="1"/>
  <c r="M446" i="5"/>
  <c r="M445" i="5"/>
  <c r="I35" i="8"/>
  <c r="I41" i="6" s="1"/>
  <c r="M35" i="8"/>
  <c r="I44" i="6" s="1"/>
  <c r="E41" i="8"/>
  <c r="E43" i="8" s="1"/>
  <c r="E39" i="8" s="1"/>
  <c r="K35" i="8"/>
  <c r="I30" i="6" s="1"/>
  <c r="E36" i="8"/>
  <c r="G35" i="8"/>
  <c r="I23" i="6" s="1"/>
  <c r="F38" i="8"/>
  <c r="H38" i="8"/>
  <c r="J38" i="8"/>
  <c r="L38" i="8"/>
  <c r="N38" i="8"/>
  <c r="P38" i="8"/>
  <c r="Q17" i="8"/>
  <c r="Q20" i="8"/>
  <c r="Q23" i="8"/>
  <c r="Q26" i="8"/>
  <c r="Q30" i="8"/>
  <c r="Q33" i="8"/>
  <c r="I42" i="6"/>
  <c r="I43" i="6"/>
  <c r="O35" i="8"/>
  <c r="I34" i="6" s="1"/>
  <c r="Q18" i="8"/>
  <c r="Q21" i="8"/>
  <c r="Q25" i="8"/>
  <c r="Q29" i="8"/>
  <c r="Q32" i="8"/>
  <c r="G36" i="8"/>
  <c r="I36" i="8"/>
  <c r="M36" i="8"/>
  <c r="F35" i="8"/>
  <c r="H35" i="8"/>
  <c r="I24" i="6" s="1"/>
  <c r="J35" i="8"/>
  <c r="I27" i="6" s="1"/>
  <c r="L35" i="8"/>
  <c r="I45" i="6" s="1"/>
  <c r="N35" i="8"/>
  <c r="I32" i="6" s="1"/>
  <c r="P35" i="8"/>
  <c r="I35" i="6" s="1"/>
  <c r="G38" i="8"/>
  <c r="G41" i="8" s="1"/>
  <c r="I38" i="8"/>
  <c r="K38" i="8"/>
  <c r="M38" i="8"/>
  <c r="O38" i="8"/>
  <c r="Q14" i="8"/>
  <c r="I38" i="6" l="1"/>
  <c r="O445" i="5"/>
  <c r="T445" i="5"/>
  <c r="O446" i="5"/>
  <c r="O448" i="5" s="1"/>
  <c r="O36" i="8"/>
  <c r="K36" i="8"/>
  <c r="Q35" i="8"/>
  <c r="I18" i="6"/>
  <c r="I46" i="6"/>
  <c r="I50" i="6" s="1"/>
  <c r="I39" i="6"/>
  <c r="P36" i="8"/>
  <c r="P41" i="8"/>
  <c r="L36" i="8"/>
  <c r="L41" i="8"/>
  <c r="H36" i="8"/>
  <c r="H41" i="8"/>
  <c r="Q38" i="8"/>
  <c r="G43" i="8"/>
  <c r="G42" i="8" s="1"/>
  <c r="N36" i="8"/>
  <c r="N41" i="8"/>
  <c r="J36" i="8"/>
  <c r="J41" i="8"/>
  <c r="F36" i="8"/>
  <c r="F41" i="8"/>
  <c r="O41" i="8"/>
  <c r="M41" i="8"/>
  <c r="K41" i="8"/>
  <c r="I41" i="8"/>
  <c r="E42" i="8"/>
  <c r="T446" i="5" l="1"/>
  <c r="R444" i="5"/>
  <c r="R446" i="5" s="1"/>
  <c r="S34" i="10"/>
  <c r="U34" i="10" s="1"/>
  <c r="AA34" i="10" s="1"/>
  <c r="AC34" i="10" s="1"/>
  <c r="I51" i="6"/>
  <c r="H43" i="8"/>
  <c r="H39" i="8" s="1"/>
  <c r="L43" i="8"/>
  <c r="L39" i="8" s="1"/>
  <c r="P43" i="8"/>
  <c r="P39" i="8" s="1"/>
  <c r="G39" i="8"/>
  <c r="I43" i="8"/>
  <c r="I39" i="8" s="1"/>
  <c r="M43" i="8"/>
  <c r="M39" i="8" s="1"/>
  <c r="F43" i="8"/>
  <c r="F42" i="8" s="1"/>
  <c r="Q41" i="8"/>
  <c r="J43" i="8"/>
  <c r="J39" i="8" s="1"/>
  <c r="N43" i="8"/>
  <c r="N39" i="8" s="1"/>
  <c r="K43" i="8"/>
  <c r="K39" i="8" s="1"/>
  <c r="O43" i="8"/>
  <c r="O39" i="8" s="1"/>
  <c r="K23" i="6" l="1"/>
  <c r="K43" i="6"/>
  <c r="K44" i="6"/>
  <c r="K35" i="6"/>
  <c r="T35" i="6" s="1"/>
  <c r="K24" i="6"/>
  <c r="K41" i="6"/>
  <c r="T41" i="6" s="1"/>
  <c r="V41" i="6" s="1"/>
  <c r="W41" i="6" s="1"/>
  <c r="K27" i="6"/>
  <c r="K30" i="6"/>
  <c r="K32" i="6"/>
  <c r="K45" i="6"/>
  <c r="K42" i="6"/>
  <c r="K18" i="6"/>
  <c r="L18" i="6" s="1"/>
  <c r="M42" i="8"/>
  <c r="L35" i="6"/>
  <c r="T44" i="6"/>
  <c r="V44" i="6" s="1"/>
  <c r="W44" i="6" s="1"/>
  <c r="T45" i="6"/>
  <c r="V45" i="6" s="1"/>
  <c r="W45" i="6" s="1"/>
  <c r="T42" i="6"/>
  <c r="V42" i="6" s="1"/>
  <c r="W42" i="6" s="1"/>
  <c r="T43" i="6"/>
  <c r="V43" i="6" s="1"/>
  <c r="W43" i="6" s="1"/>
  <c r="F39" i="8"/>
  <c r="Q43" i="8"/>
  <c r="K42" i="8"/>
  <c r="N42" i="8"/>
  <c r="J42" i="8"/>
  <c r="I42" i="8"/>
  <c r="P42" i="8"/>
  <c r="L42" i="8"/>
  <c r="H42" i="8"/>
  <c r="O42" i="8"/>
  <c r="R58" i="6" l="1"/>
  <c r="T58" i="6" s="1"/>
  <c r="V35" i="6"/>
  <c r="W35" i="6" s="1"/>
  <c r="L32" i="6"/>
  <c r="T32" i="6"/>
  <c r="V32" i="6" s="1"/>
  <c r="W32" i="6" s="1"/>
  <c r="L24" i="6"/>
  <c r="T24" i="6"/>
  <c r="V24" i="6" s="1"/>
  <c r="W24" i="6" s="1"/>
  <c r="K15" i="6"/>
  <c r="L43" i="6"/>
  <c r="L42" i="6"/>
  <c r="L41" i="6"/>
  <c r="L44" i="6"/>
  <c r="R356" i="5"/>
  <c r="L27" i="6"/>
  <c r="K25" i="6"/>
  <c r="K28" i="6"/>
  <c r="T28" i="6" s="1"/>
  <c r="V28" i="6" s="1"/>
  <c r="W28" i="6" s="1"/>
  <c r="L30" i="6"/>
  <c r="K21" i="6"/>
  <c r="L23" i="6"/>
  <c r="K20" i="6"/>
  <c r="L45" i="6"/>
  <c r="T252" i="5"/>
  <c r="S252" i="5"/>
  <c r="T250" i="5"/>
  <c r="S250" i="5"/>
  <c r="L20" i="6" l="1"/>
  <c r="T20" i="6"/>
  <c r="V20" i="6" s="1"/>
  <c r="W20" i="6" s="1"/>
  <c r="L21" i="6"/>
  <c r="T21" i="6"/>
  <c r="V21" i="6" s="1"/>
  <c r="W21" i="6" s="1"/>
  <c r="L25" i="6"/>
  <c r="K31" i="6" s="1"/>
  <c r="T31" i="6" s="1"/>
  <c r="V31" i="6" s="1"/>
  <c r="W31" i="6" s="1"/>
  <c r="T25" i="6"/>
  <c r="V25" i="6" s="1"/>
  <c r="W25" i="6" s="1"/>
  <c r="L15" i="6"/>
  <c r="T15" i="6"/>
  <c r="V15" i="6" s="1"/>
  <c r="W15" i="6" s="1"/>
  <c r="K16" i="6"/>
  <c r="K22" i="6"/>
  <c r="K26" i="6"/>
  <c r="K29" i="6"/>
  <c r="L28" i="6"/>
  <c r="K36" i="6"/>
  <c r="K33" i="6"/>
  <c r="L31" i="6"/>
  <c r="R109" i="5"/>
  <c r="K46" i="6"/>
  <c r="L46" i="6" s="1"/>
  <c r="L36" i="6" l="1"/>
  <c r="T36" i="6"/>
  <c r="V36" i="6" s="1"/>
  <c r="W36" i="6" s="1"/>
  <c r="L29" i="6"/>
  <c r="T29" i="6"/>
  <c r="L22" i="6"/>
  <c r="T22" i="6"/>
  <c r="L33" i="6"/>
  <c r="T33" i="6"/>
  <c r="V33" i="6" s="1"/>
  <c r="W33" i="6" s="1"/>
  <c r="L26" i="6"/>
  <c r="T26" i="6"/>
  <c r="L16" i="6"/>
  <c r="T16" i="6"/>
  <c r="R451" i="5"/>
  <c r="R453" i="5" s="1"/>
  <c r="K38" i="6"/>
  <c r="K50" i="6"/>
  <c r="L50" i="6" s="1"/>
  <c r="O494" i="5"/>
  <c r="O481" i="5"/>
  <c r="O485" i="5" s="1"/>
  <c r="S47" i="10" s="1"/>
  <c r="O476" i="5"/>
  <c r="S48" i="10" s="1"/>
  <c r="O421" i="5"/>
  <c r="K481" i="5"/>
  <c r="K485" i="5" s="1"/>
  <c r="M47" i="10" s="1"/>
  <c r="K476" i="5"/>
  <c r="M48" i="10" s="1"/>
  <c r="K494" i="5"/>
  <c r="K452" i="5"/>
  <c r="K421" i="5"/>
  <c r="T18" i="6" l="1"/>
  <c r="V18" i="6" s="1"/>
  <c r="W18" i="6" s="1"/>
  <c r="V16" i="6"/>
  <c r="W16" i="6" s="1"/>
  <c r="T30" i="6"/>
  <c r="V30" i="6" s="1"/>
  <c r="W30" i="6" s="1"/>
  <c r="V29" i="6"/>
  <c r="W29" i="6" s="1"/>
  <c r="T23" i="6"/>
  <c r="V23" i="6" s="1"/>
  <c r="W23" i="6" s="1"/>
  <c r="V22" i="6"/>
  <c r="W22" i="6" s="1"/>
  <c r="T27" i="6"/>
  <c r="V27" i="6" s="1"/>
  <c r="W27" i="6" s="1"/>
  <c r="V26" i="6"/>
  <c r="W26" i="6" s="1"/>
  <c r="T38" i="6"/>
  <c r="V38" i="6" s="1"/>
  <c r="W38" i="6" s="1"/>
  <c r="K453" i="5"/>
  <c r="S452" i="5"/>
  <c r="M452" i="5"/>
  <c r="O452" i="5" s="1"/>
  <c r="L38" i="6"/>
  <c r="K51" i="6"/>
  <c r="L51" i="6" s="1"/>
  <c r="K39" i="6"/>
  <c r="L39" i="6" s="1"/>
  <c r="A16" i="6"/>
  <c r="E12" i="6"/>
  <c r="G480" i="5"/>
  <c r="G473" i="5"/>
  <c r="G476" i="5" s="1"/>
  <c r="K48" i="10" s="1"/>
  <c r="G387" i="5"/>
  <c r="Q48" i="10" l="1"/>
  <c r="O48" i="10"/>
  <c r="M35" i="10"/>
  <c r="O35" i="10" s="1"/>
  <c r="O453" i="5"/>
  <c r="A17" i="6"/>
  <c r="G13" i="5"/>
  <c r="G53" i="5"/>
  <c r="G395" i="5"/>
  <c r="R450" i="5" l="1"/>
  <c r="R452" i="5" s="1"/>
  <c r="S35" i="10"/>
  <c r="U35" i="10" s="1"/>
  <c r="AA35" i="10" s="1"/>
  <c r="AC35" i="10" s="1"/>
  <c r="W48" i="10"/>
  <c r="Y48" i="10" s="1"/>
  <c r="U48" i="10"/>
  <c r="AA48" i="10" s="1"/>
  <c r="AC48" i="10" s="1"/>
  <c r="T452" i="5"/>
  <c r="A18" i="6"/>
  <c r="A20" i="6" s="1"/>
  <c r="G40" i="5"/>
  <c r="G32" i="5"/>
  <c r="G479" i="5"/>
  <c r="G481" i="5" s="1"/>
  <c r="G485" i="5" s="1"/>
  <c r="K47" i="10" s="1"/>
  <c r="G50" i="5"/>
  <c r="G52" i="5"/>
  <c r="G31" i="5"/>
  <c r="G61" i="5"/>
  <c r="G20" i="5"/>
  <c r="G51" i="5"/>
  <c r="Q47" i="10" l="1"/>
  <c r="O47" i="10"/>
  <c r="A21" i="6"/>
  <c r="A22" i="6" s="1"/>
  <c r="A23" i="6" s="1"/>
  <c r="G364" i="5"/>
  <c r="G39" i="5"/>
  <c r="G22" i="5"/>
  <c r="G12" i="5"/>
  <c r="G60" i="5"/>
  <c r="U47" i="10" l="1"/>
  <c r="AA47" i="10" s="1"/>
  <c r="AC47" i="10" s="1"/>
  <c r="W47" i="10"/>
  <c r="Y47" i="10" s="1"/>
  <c r="A24" i="6"/>
  <c r="G21" i="5"/>
  <c r="G62" i="5"/>
  <c r="G41" i="5"/>
  <c r="G70" i="5"/>
  <c r="A25" i="6" l="1"/>
  <c r="A26" i="6" s="1"/>
  <c r="G245" i="5"/>
  <c r="G77" i="5"/>
  <c r="G94" i="5"/>
  <c r="G249" i="5"/>
  <c r="G233" i="5"/>
  <c r="G222" i="5"/>
  <c r="G241" i="5"/>
  <c r="G253" i="5"/>
  <c r="G244" i="5"/>
  <c r="G231" i="5"/>
  <c r="G220" i="5"/>
  <c r="G210" i="5"/>
  <c r="G212" i="5"/>
  <c r="G214" i="5"/>
  <c r="G217" i="5"/>
  <c r="G221" i="5"/>
  <c r="G224" i="5"/>
  <c r="G228" i="5"/>
  <c r="G232" i="5"/>
  <c r="G236" i="5"/>
  <c r="G242" i="5"/>
  <c r="G248" i="5"/>
  <c r="G355" i="5"/>
  <c r="G358" i="5"/>
  <c r="G132" i="5"/>
  <c r="G127" i="5"/>
  <c r="G122" i="5"/>
  <c r="G118" i="5"/>
  <c r="G114" i="5"/>
  <c r="G109" i="5"/>
  <c r="G108" i="5"/>
  <c r="G113" i="5"/>
  <c r="G117" i="5"/>
  <c r="G121" i="5"/>
  <c r="G126" i="5"/>
  <c r="G131" i="5"/>
  <c r="G135" i="5"/>
  <c r="G137" i="5"/>
  <c r="G158" i="5"/>
  <c r="G393" i="5"/>
  <c r="G389" i="5"/>
  <c r="G390" i="5"/>
  <c r="G240" i="5"/>
  <c r="G229" i="5"/>
  <c r="G218" i="5"/>
  <c r="G238" i="5"/>
  <c r="G247" i="5"/>
  <c r="G235" i="5"/>
  <c r="G227" i="5"/>
  <c r="G216" i="5"/>
  <c r="G211" i="5"/>
  <c r="G213" i="5"/>
  <c r="G215" i="5"/>
  <c r="G219" i="5"/>
  <c r="G223" i="5"/>
  <c r="G226" i="5"/>
  <c r="G230" i="5"/>
  <c r="G234" i="5"/>
  <c r="G239" i="5"/>
  <c r="G246" i="5"/>
  <c r="G251" i="5"/>
  <c r="G365" i="5"/>
  <c r="G356" i="5"/>
  <c r="G134" i="5"/>
  <c r="G129" i="5"/>
  <c r="G125" i="5"/>
  <c r="G120" i="5"/>
  <c r="G116" i="5"/>
  <c r="G112" i="5"/>
  <c r="G107" i="5"/>
  <c r="G110" i="5"/>
  <c r="G115" i="5"/>
  <c r="G119" i="5"/>
  <c r="G124" i="5"/>
  <c r="G128" i="5"/>
  <c r="G133" i="5"/>
  <c r="G136" i="5"/>
  <c r="G138" i="5"/>
  <c r="G391" i="5"/>
  <c r="G388" i="5"/>
  <c r="G392" i="5"/>
  <c r="G146" i="5"/>
  <c r="K391" i="5" l="1"/>
  <c r="S391" i="5" s="1"/>
  <c r="K128" i="5"/>
  <c r="S128" i="5" s="1"/>
  <c r="K110" i="5"/>
  <c r="S110" i="5" s="1"/>
  <c r="K388" i="5"/>
  <c r="S388" i="5" s="1"/>
  <c r="K138" i="5"/>
  <c r="S138" i="5" s="1"/>
  <c r="K133" i="5"/>
  <c r="S133" i="5" s="1"/>
  <c r="K124" i="5"/>
  <c r="S124" i="5" s="1"/>
  <c r="K115" i="5"/>
  <c r="S115" i="5" s="1"/>
  <c r="K107" i="5"/>
  <c r="S107" i="5" s="1"/>
  <c r="K116" i="5"/>
  <c r="S116" i="5" s="1"/>
  <c r="K125" i="5"/>
  <c r="S125" i="5" s="1"/>
  <c r="K134" i="5"/>
  <c r="S134" i="5" s="1"/>
  <c r="K246" i="5"/>
  <c r="S246" i="5" s="1"/>
  <c r="K234" i="5"/>
  <c r="S234" i="5" s="1"/>
  <c r="K226" i="5"/>
  <c r="S226" i="5" s="1"/>
  <c r="K219" i="5"/>
  <c r="S219" i="5" s="1"/>
  <c r="K213" i="5"/>
  <c r="S213" i="5" s="1"/>
  <c r="K216" i="5"/>
  <c r="S216" i="5" s="1"/>
  <c r="K235" i="5"/>
  <c r="S235" i="5" s="1"/>
  <c r="K238" i="5"/>
  <c r="S238" i="5" s="1"/>
  <c r="K229" i="5"/>
  <c r="S229" i="5" s="1"/>
  <c r="K393" i="5"/>
  <c r="S393" i="5" s="1"/>
  <c r="K135" i="5"/>
  <c r="S135" i="5" s="1"/>
  <c r="K126" i="5"/>
  <c r="S126" i="5" s="1"/>
  <c r="K117" i="5"/>
  <c r="S117" i="5" s="1"/>
  <c r="K108" i="5"/>
  <c r="K114" i="5"/>
  <c r="S114" i="5" s="1"/>
  <c r="K122" i="5"/>
  <c r="S122" i="5" s="1"/>
  <c r="K132" i="5"/>
  <c r="S132" i="5" s="1"/>
  <c r="K242" i="5"/>
  <c r="S242" i="5" s="1"/>
  <c r="K232" i="5"/>
  <c r="S232" i="5" s="1"/>
  <c r="K224" i="5"/>
  <c r="S224" i="5" s="1"/>
  <c r="K217" i="5"/>
  <c r="S217" i="5" s="1"/>
  <c r="K212" i="5"/>
  <c r="S212" i="5" s="1"/>
  <c r="K220" i="5"/>
  <c r="S220" i="5" s="1"/>
  <c r="K244" i="5"/>
  <c r="S244" i="5" s="1"/>
  <c r="K241" i="5"/>
  <c r="S241" i="5" s="1"/>
  <c r="K233" i="5"/>
  <c r="S233" i="5" s="1"/>
  <c r="K245" i="5"/>
  <c r="S245" i="5" s="1"/>
  <c r="K392" i="5"/>
  <c r="S392" i="5" s="1"/>
  <c r="K136" i="5"/>
  <c r="S136" i="5" s="1"/>
  <c r="K119" i="5"/>
  <c r="S119" i="5" s="1"/>
  <c r="K112" i="5"/>
  <c r="S112" i="5" s="1"/>
  <c r="K120" i="5"/>
  <c r="S120" i="5" s="1"/>
  <c r="K129" i="5"/>
  <c r="S129" i="5" s="1"/>
  <c r="K251" i="5"/>
  <c r="S251" i="5" s="1"/>
  <c r="K239" i="5"/>
  <c r="S239" i="5" s="1"/>
  <c r="K230" i="5"/>
  <c r="S230" i="5" s="1"/>
  <c r="K223" i="5"/>
  <c r="S223" i="5" s="1"/>
  <c r="K215" i="5"/>
  <c r="S215" i="5" s="1"/>
  <c r="K211" i="5"/>
  <c r="S211" i="5" s="1"/>
  <c r="K227" i="5"/>
  <c r="S227" i="5" s="1"/>
  <c r="K247" i="5"/>
  <c r="S247" i="5" s="1"/>
  <c r="K218" i="5"/>
  <c r="S218" i="5" s="1"/>
  <c r="K240" i="5"/>
  <c r="S240" i="5" s="1"/>
  <c r="K389" i="5"/>
  <c r="S389" i="5" s="1"/>
  <c r="K137" i="5"/>
  <c r="S137" i="5" s="1"/>
  <c r="K131" i="5"/>
  <c r="S131" i="5" s="1"/>
  <c r="K121" i="5"/>
  <c r="S121" i="5" s="1"/>
  <c r="K113" i="5"/>
  <c r="S113" i="5" s="1"/>
  <c r="K109" i="5"/>
  <c r="S109" i="5" s="1"/>
  <c r="K118" i="5"/>
  <c r="S118" i="5" s="1"/>
  <c r="K127" i="5"/>
  <c r="S127" i="5" s="1"/>
  <c r="K248" i="5"/>
  <c r="S248" i="5" s="1"/>
  <c r="K236" i="5"/>
  <c r="S236" i="5" s="1"/>
  <c r="K228" i="5"/>
  <c r="S228" i="5" s="1"/>
  <c r="K221" i="5"/>
  <c r="S221" i="5" s="1"/>
  <c r="K214" i="5"/>
  <c r="S214" i="5" s="1"/>
  <c r="K210" i="5"/>
  <c r="S210" i="5" s="1"/>
  <c r="K231" i="5"/>
  <c r="S231" i="5" s="1"/>
  <c r="K253" i="5"/>
  <c r="S253" i="5" s="1"/>
  <c r="K222" i="5"/>
  <c r="S222" i="5" s="1"/>
  <c r="K249" i="5"/>
  <c r="S249" i="5" s="1"/>
  <c r="G367" i="5"/>
  <c r="K45" i="10" s="1"/>
  <c r="K365" i="5"/>
  <c r="K367" i="5" s="1"/>
  <c r="M45" i="10" s="1"/>
  <c r="G139" i="5"/>
  <c r="A27" i="6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G14" i="5"/>
  <c r="G15" i="5"/>
  <c r="G169" i="5"/>
  <c r="G254" i="5"/>
  <c r="G258" i="5" s="1"/>
  <c r="K42" i="10" s="1"/>
  <c r="G16" i="5"/>
  <c r="G357" i="5"/>
  <c r="G82" i="5"/>
  <c r="G371" i="5"/>
  <c r="Q42" i="10" l="1"/>
  <c r="Q45" i="10"/>
  <c r="O45" i="10"/>
  <c r="K139" i="5"/>
  <c r="K143" i="5" s="1"/>
  <c r="M41" i="10" s="1"/>
  <c r="S108" i="5"/>
  <c r="G143" i="5"/>
  <c r="K41" i="10" s="1"/>
  <c r="K254" i="5"/>
  <c r="K258" i="5" s="1"/>
  <c r="M42" i="10" s="1"/>
  <c r="O42" i="10" s="1"/>
  <c r="S365" i="5"/>
  <c r="K15" i="5"/>
  <c r="S15" i="5" s="1"/>
  <c r="K14" i="5"/>
  <c r="S14" i="5" s="1"/>
  <c r="K16" i="5"/>
  <c r="S16" i="5" s="1"/>
  <c r="G359" i="5"/>
  <c r="G35" i="5"/>
  <c r="G34" i="5"/>
  <c r="G18" i="5"/>
  <c r="G54" i="5"/>
  <c r="G341" i="5"/>
  <c r="G326" i="5"/>
  <c r="G284" i="5"/>
  <c r="G263" i="5"/>
  <c r="G310" i="5"/>
  <c r="G301" i="5"/>
  <c r="G295" i="5"/>
  <c r="G281" i="5"/>
  <c r="G265" i="5"/>
  <c r="G337" i="5"/>
  <c r="G323" i="5"/>
  <c r="G334" i="5"/>
  <c r="G308" i="5"/>
  <c r="G299" i="5"/>
  <c r="G294" i="5"/>
  <c r="G272" i="5"/>
  <c r="G264" i="5"/>
  <c r="G336" i="5"/>
  <c r="G342" i="5"/>
  <c r="G271" i="5"/>
  <c r="G280" i="5"/>
  <c r="G285" i="5"/>
  <c r="G287" i="5"/>
  <c r="G293" i="5"/>
  <c r="G300" i="5"/>
  <c r="G304" i="5"/>
  <c r="G309" i="5"/>
  <c r="G313" i="5"/>
  <c r="G324" i="5"/>
  <c r="G328" i="5"/>
  <c r="G332" i="5"/>
  <c r="G361" i="5"/>
  <c r="K44" i="10" s="1"/>
  <c r="G378" i="5"/>
  <c r="G56" i="5"/>
  <c r="G89" i="5"/>
  <c r="G55" i="5"/>
  <c r="G33" i="5"/>
  <c r="G394" i="5"/>
  <c r="G338" i="5"/>
  <c r="G312" i="5"/>
  <c r="G266" i="5"/>
  <c r="G333" i="5"/>
  <c r="G307" i="5"/>
  <c r="G298" i="5"/>
  <c r="G290" i="5"/>
  <c r="G270" i="5"/>
  <c r="G343" i="5"/>
  <c r="G330" i="5"/>
  <c r="G292" i="5"/>
  <c r="G315" i="5"/>
  <c r="G302" i="5"/>
  <c r="G297" i="5"/>
  <c r="G288" i="5"/>
  <c r="G267" i="5"/>
  <c r="G335" i="5"/>
  <c r="G340" i="5"/>
  <c r="G269" i="5"/>
  <c r="G273" i="5"/>
  <c r="G282" i="5"/>
  <c r="G286" i="5"/>
  <c r="G291" i="5"/>
  <c r="G296" i="5"/>
  <c r="G303" i="5"/>
  <c r="G306" i="5"/>
  <c r="G311" i="5"/>
  <c r="G316" i="5"/>
  <c r="G327" i="5"/>
  <c r="G331" i="5"/>
  <c r="Q41" i="10" l="1"/>
  <c r="O41" i="10"/>
  <c r="W45" i="10"/>
  <c r="Y45" i="10" s="1"/>
  <c r="W42" i="10"/>
  <c r="Y42" i="10" s="1"/>
  <c r="Q44" i="10"/>
  <c r="R359" i="5"/>
  <c r="M359" i="5" s="1"/>
  <c r="O359" i="5" s="1"/>
  <c r="T359" i="5" s="1"/>
  <c r="K316" i="5"/>
  <c r="S316" i="5" s="1"/>
  <c r="K296" i="5"/>
  <c r="S296" i="5" s="1"/>
  <c r="K273" i="5"/>
  <c r="S273" i="5" s="1"/>
  <c r="K340" i="5"/>
  <c r="S340" i="5" s="1"/>
  <c r="K297" i="5"/>
  <c r="S297" i="5" s="1"/>
  <c r="K330" i="5"/>
  <c r="S330" i="5" s="1"/>
  <c r="K270" i="5"/>
  <c r="S270" i="5" s="1"/>
  <c r="K327" i="5"/>
  <c r="S327" i="5" s="1"/>
  <c r="K311" i="5"/>
  <c r="S311" i="5" s="1"/>
  <c r="K303" i="5"/>
  <c r="S303" i="5" s="1"/>
  <c r="K291" i="5"/>
  <c r="S291" i="5" s="1"/>
  <c r="K282" i="5"/>
  <c r="S282" i="5" s="1"/>
  <c r="K269" i="5"/>
  <c r="S269" i="5" s="1"/>
  <c r="K335" i="5"/>
  <c r="S335" i="5" s="1"/>
  <c r="K288" i="5"/>
  <c r="S288" i="5" s="1"/>
  <c r="K302" i="5"/>
  <c r="S302" i="5" s="1"/>
  <c r="K292" i="5"/>
  <c r="S292" i="5" s="1"/>
  <c r="K343" i="5"/>
  <c r="S343" i="5" s="1"/>
  <c r="K290" i="5"/>
  <c r="S290" i="5" s="1"/>
  <c r="K307" i="5"/>
  <c r="S307" i="5" s="1"/>
  <c r="K266" i="5"/>
  <c r="S266" i="5" s="1"/>
  <c r="K338" i="5"/>
  <c r="S338" i="5" s="1"/>
  <c r="K33" i="5"/>
  <c r="S33" i="5" s="1"/>
  <c r="K332" i="5"/>
  <c r="S332" i="5" s="1"/>
  <c r="K324" i="5"/>
  <c r="S324" i="5" s="1"/>
  <c r="K309" i="5"/>
  <c r="S309" i="5" s="1"/>
  <c r="K300" i="5"/>
  <c r="S300" i="5" s="1"/>
  <c r="K287" i="5"/>
  <c r="S287" i="5" s="1"/>
  <c r="K280" i="5"/>
  <c r="S280" i="5" s="1"/>
  <c r="K342" i="5"/>
  <c r="S342" i="5" s="1"/>
  <c r="K264" i="5"/>
  <c r="S264" i="5" s="1"/>
  <c r="K294" i="5"/>
  <c r="S294" i="5" s="1"/>
  <c r="K308" i="5"/>
  <c r="S308" i="5" s="1"/>
  <c r="K323" i="5"/>
  <c r="S323" i="5" s="1"/>
  <c r="K265" i="5"/>
  <c r="S265" i="5" s="1"/>
  <c r="K295" i="5"/>
  <c r="S295" i="5" s="1"/>
  <c r="K310" i="5"/>
  <c r="S310" i="5" s="1"/>
  <c r="K284" i="5"/>
  <c r="S284" i="5" s="1"/>
  <c r="K341" i="5"/>
  <c r="S341" i="5" s="1"/>
  <c r="K18" i="5"/>
  <c r="S18" i="5" s="1"/>
  <c r="K359" i="5"/>
  <c r="K361" i="5" s="1"/>
  <c r="M44" i="10" s="1"/>
  <c r="O44" i="10" s="1"/>
  <c r="K331" i="5"/>
  <c r="S331" i="5" s="1"/>
  <c r="K306" i="5"/>
  <c r="S306" i="5" s="1"/>
  <c r="K286" i="5"/>
  <c r="S286" i="5" s="1"/>
  <c r="K267" i="5"/>
  <c r="S267" i="5" s="1"/>
  <c r="K315" i="5"/>
  <c r="S315" i="5" s="1"/>
  <c r="K298" i="5"/>
  <c r="S298" i="5" s="1"/>
  <c r="K333" i="5"/>
  <c r="S333" i="5" s="1"/>
  <c r="K312" i="5"/>
  <c r="S312" i="5" s="1"/>
  <c r="K55" i="5"/>
  <c r="S55" i="5" s="1"/>
  <c r="K56" i="5"/>
  <c r="S56" i="5" s="1"/>
  <c r="K328" i="5"/>
  <c r="S328" i="5" s="1"/>
  <c r="K313" i="5"/>
  <c r="S313" i="5" s="1"/>
  <c r="K304" i="5"/>
  <c r="S304" i="5" s="1"/>
  <c r="K293" i="5"/>
  <c r="S293" i="5" s="1"/>
  <c r="K285" i="5"/>
  <c r="S285" i="5" s="1"/>
  <c r="K271" i="5"/>
  <c r="S271" i="5" s="1"/>
  <c r="K336" i="5"/>
  <c r="S336" i="5" s="1"/>
  <c r="K272" i="5"/>
  <c r="S272" i="5" s="1"/>
  <c r="K299" i="5"/>
  <c r="S299" i="5" s="1"/>
  <c r="K334" i="5"/>
  <c r="S334" i="5" s="1"/>
  <c r="K337" i="5"/>
  <c r="S337" i="5" s="1"/>
  <c r="K281" i="5"/>
  <c r="S281" i="5" s="1"/>
  <c r="K301" i="5"/>
  <c r="S301" i="5" s="1"/>
  <c r="K263" i="5"/>
  <c r="S263" i="5" s="1"/>
  <c r="K326" i="5"/>
  <c r="S326" i="5" s="1"/>
  <c r="K54" i="5"/>
  <c r="S54" i="5" s="1"/>
  <c r="K34" i="5"/>
  <c r="S34" i="5" s="1"/>
  <c r="K35" i="5"/>
  <c r="S35" i="5" s="1"/>
  <c r="G397" i="5"/>
  <c r="K32" i="10" s="1"/>
  <c r="K394" i="5"/>
  <c r="K397" i="5" s="1"/>
  <c r="M32" i="10" s="1"/>
  <c r="G160" i="5"/>
  <c r="G163" i="5"/>
  <c r="G159" i="5"/>
  <c r="G162" i="5"/>
  <c r="G149" i="5"/>
  <c r="G148" i="5"/>
  <c r="G152" i="5"/>
  <c r="G58" i="5"/>
  <c r="G95" i="5"/>
  <c r="G96" i="5"/>
  <c r="G100" i="5"/>
  <c r="G161" i="5"/>
  <c r="G151" i="5"/>
  <c r="G147" i="5"/>
  <c r="G150" i="5"/>
  <c r="G37" i="5"/>
  <c r="G99" i="5"/>
  <c r="G97" i="5"/>
  <c r="G98" i="5"/>
  <c r="G317" i="5"/>
  <c r="G319" i="5" s="1"/>
  <c r="G344" i="5"/>
  <c r="G346" i="5" s="1"/>
  <c r="G274" i="5"/>
  <c r="K274" i="5" l="1"/>
  <c r="S394" i="5"/>
  <c r="O32" i="10"/>
  <c r="Q32" i="10"/>
  <c r="K317" i="5"/>
  <c r="K319" i="5" s="1"/>
  <c r="W44" i="10"/>
  <c r="Y44" i="10" s="1"/>
  <c r="W41" i="10"/>
  <c r="S359" i="5"/>
  <c r="K344" i="5"/>
  <c r="K346" i="5" s="1"/>
  <c r="O361" i="5"/>
  <c r="S44" i="10" s="1"/>
  <c r="U44" i="10" s="1"/>
  <c r="AA44" i="10" s="1"/>
  <c r="AC44" i="10" s="1"/>
  <c r="K37" i="5"/>
  <c r="S37" i="5" s="1"/>
  <c r="K161" i="5"/>
  <c r="S161" i="5" s="1"/>
  <c r="K100" i="5"/>
  <c r="S100" i="5" s="1"/>
  <c r="K148" i="5"/>
  <c r="S148" i="5" s="1"/>
  <c r="K162" i="5"/>
  <c r="S162" i="5" s="1"/>
  <c r="K98" i="5"/>
  <c r="S98" i="5" s="1"/>
  <c r="K99" i="5"/>
  <c r="S99" i="5" s="1"/>
  <c r="K151" i="5"/>
  <c r="S151" i="5" s="1"/>
  <c r="K58" i="5"/>
  <c r="S58" i="5" s="1"/>
  <c r="K152" i="5"/>
  <c r="S152" i="5" s="1"/>
  <c r="K149" i="5"/>
  <c r="S149" i="5" s="1"/>
  <c r="K160" i="5"/>
  <c r="S160" i="5" s="1"/>
  <c r="K163" i="5"/>
  <c r="S163" i="5" s="1"/>
  <c r="K349" i="5"/>
  <c r="K352" i="5" s="1"/>
  <c r="M43" i="10" s="1"/>
  <c r="M46" i="10" s="1"/>
  <c r="K276" i="5"/>
  <c r="G19" i="5"/>
  <c r="G349" i="5"/>
  <c r="G276" i="5"/>
  <c r="G427" i="5"/>
  <c r="G424" i="5"/>
  <c r="G73" i="5"/>
  <c r="G71" i="5"/>
  <c r="G429" i="5"/>
  <c r="G425" i="5"/>
  <c r="G426" i="5"/>
  <c r="G435" i="5"/>
  <c r="G466" i="5"/>
  <c r="G432" i="5"/>
  <c r="G436" i="5"/>
  <c r="G467" i="5"/>
  <c r="G372" i="5"/>
  <c r="G374" i="5"/>
  <c r="G428" i="5"/>
  <c r="G434" i="5"/>
  <c r="G464" i="5"/>
  <c r="G72" i="5"/>
  <c r="G75" i="5"/>
  <c r="G170" i="5"/>
  <c r="G433" i="5"/>
  <c r="G463" i="5"/>
  <c r="G380" i="5"/>
  <c r="G373" i="5"/>
  <c r="Y41" i="10" l="1"/>
  <c r="W32" i="10"/>
  <c r="Y32" i="10" s="1"/>
  <c r="M50" i="10"/>
  <c r="G352" i="5"/>
  <c r="K43" i="10" s="1"/>
  <c r="R112" i="5"/>
  <c r="R355" i="5"/>
  <c r="R357" i="5" s="1"/>
  <c r="K463" i="5"/>
  <c r="S463" i="5" s="1"/>
  <c r="K72" i="5"/>
  <c r="S72" i="5" s="1"/>
  <c r="K434" i="5"/>
  <c r="S434" i="5" s="1"/>
  <c r="K374" i="5"/>
  <c r="S374" i="5" s="1"/>
  <c r="K467" i="5"/>
  <c r="S467" i="5" s="1"/>
  <c r="K435" i="5"/>
  <c r="S435" i="5" s="1"/>
  <c r="K425" i="5"/>
  <c r="S425" i="5" s="1"/>
  <c r="K71" i="5"/>
  <c r="S71" i="5" s="1"/>
  <c r="K373" i="5"/>
  <c r="K376" i="5" s="1"/>
  <c r="K380" i="5"/>
  <c r="S380" i="5" s="1"/>
  <c r="K433" i="5"/>
  <c r="S433" i="5" s="1"/>
  <c r="K75" i="5"/>
  <c r="S75" i="5" s="1"/>
  <c r="K464" i="5"/>
  <c r="S464" i="5" s="1"/>
  <c r="K428" i="5"/>
  <c r="S428" i="5" s="1"/>
  <c r="K436" i="5"/>
  <c r="S436" i="5" s="1"/>
  <c r="K466" i="5"/>
  <c r="S466" i="5" s="1"/>
  <c r="K426" i="5"/>
  <c r="S426" i="5" s="1"/>
  <c r="K429" i="5"/>
  <c r="S429" i="5" s="1"/>
  <c r="G27" i="5"/>
  <c r="K19" i="5"/>
  <c r="K27" i="5" s="1"/>
  <c r="G164" i="5"/>
  <c r="G179" i="5"/>
  <c r="G177" i="5"/>
  <c r="G101" i="5"/>
  <c r="G59" i="5"/>
  <c r="G153" i="5"/>
  <c r="G379" i="5"/>
  <c r="G178" i="5"/>
  <c r="G38" i="5"/>
  <c r="G376" i="5"/>
  <c r="Q43" i="10" l="1"/>
  <c r="O43" i="10"/>
  <c r="O46" i="10" s="1"/>
  <c r="K46" i="10"/>
  <c r="M336" i="5"/>
  <c r="O336" i="5" s="1"/>
  <c r="T336" i="5" s="1"/>
  <c r="M327" i="5"/>
  <c r="O327" i="5" s="1"/>
  <c r="T327" i="5" s="1"/>
  <c r="M311" i="5"/>
  <c r="O311" i="5" s="1"/>
  <c r="T311" i="5" s="1"/>
  <c r="M302" i="5"/>
  <c r="O302" i="5" s="1"/>
  <c r="T302" i="5" s="1"/>
  <c r="M294" i="5"/>
  <c r="O294" i="5" s="1"/>
  <c r="T294" i="5" s="1"/>
  <c r="M285" i="5"/>
  <c r="O285" i="5" s="1"/>
  <c r="T285" i="5" s="1"/>
  <c r="M270" i="5"/>
  <c r="O270" i="5" s="1"/>
  <c r="T270" i="5" s="1"/>
  <c r="M251" i="5"/>
  <c r="O251" i="5" s="1"/>
  <c r="T251" i="5" s="1"/>
  <c r="M241" i="5"/>
  <c r="O241" i="5" s="1"/>
  <c r="T241" i="5" s="1"/>
  <c r="M232" i="5"/>
  <c r="O232" i="5" s="1"/>
  <c r="T232" i="5" s="1"/>
  <c r="M223" i="5"/>
  <c r="O223" i="5" s="1"/>
  <c r="T223" i="5" s="1"/>
  <c r="M215" i="5"/>
  <c r="O215" i="5" s="1"/>
  <c r="T215" i="5" s="1"/>
  <c r="M136" i="5"/>
  <c r="O136" i="5" s="1"/>
  <c r="T136" i="5" s="1"/>
  <c r="M127" i="5"/>
  <c r="O127" i="5" s="1"/>
  <c r="T127" i="5" s="1"/>
  <c r="M118" i="5"/>
  <c r="O118" i="5" s="1"/>
  <c r="T118" i="5" s="1"/>
  <c r="M109" i="5"/>
  <c r="O109" i="5" s="1"/>
  <c r="T109" i="5" s="1"/>
  <c r="M337" i="5"/>
  <c r="O337" i="5" s="1"/>
  <c r="T337" i="5" s="1"/>
  <c r="M328" i="5"/>
  <c r="O328" i="5" s="1"/>
  <c r="T328" i="5" s="1"/>
  <c r="M312" i="5"/>
  <c r="O312" i="5" s="1"/>
  <c r="T312" i="5" s="1"/>
  <c r="M303" i="5"/>
  <c r="O303" i="5" s="1"/>
  <c r="T303" i="5" s="1"/>
  <c r="M295" i="5"/>
  <c r="O295" i="5" s="1"/>
  <c r="T295" i="5" s="1"/>
  <c r="M286" i="5"/>
  <c r="O286" i="5" s="1"/>
  <c r="T286" i="5" s="1"/>
  <c r="M271" i="5"/>
  <c r="O271" i="5" s="1"/>
  <c r="T271" i="5" s="1"/>
  <c r="M253" i="5"/>
  <c r="O253" i="5" s="1"/>
  <c r="T253" i="5" s="1"/>
  <c r="M242" i="5"/>
  <c r="O242" i="5" s="1"/>
  <c r="T242" i="5" s="1"/>
  <c r="M233" i="5"/>
  <c r="O233" i="5" s="1"/>
  <c r="T233" i="5" s="1"/>
  <c r="M224" i="5"/>
  <c r="O224" i="5" s="1"/>
  <c r="T224" i="5" s="1"/>
  <c r="M216" i="5"/>
  <c r="O216" i="5" s="1"/>
  <c r="T216" i="5" s="1"/>
  <c r="M137" i="5"/>
  <c r="O137" i="5" s="1"/>
  <c r="T137" i="5" s="1"/>
  <c r="M128" i="5"/>
  <c r="O128" i="5" s="1"/>
  <c r="T128" i="5" s="1"/>
  <c r="M119" i="5"/>
  <c r="O119" i="5" s="1"/>
  <c r="T119" i="5" s="1"/>
  <c r="M110" i="5"/>
  <c r="O110" i="5" s="1"/>
  <c r="T110" i="5" s="1"/>
  <c r="M313" i="5"/>
  <c r="O313" i="5" s="1"/>
  <c r="T313" i="5" s="1"/>
  <c r="M272" i="5"/>
  <c r="O272" i="5" s="1"/>
  <c r="T272" i="5" s="1"/>
  <c r="M234" i="5"/>
  <c r="O234" i="5" s="1"/>
  <c r="T234" i="5" s="1"/>
  <c r="M138" i="5"/>
  <c r="O138" i="5" s="1"/>
  <c r="T138" i="5" s="1"/>
  <c r="M120" i="5"/>
  <c r="O120" i="5" s="1"/>
  <c r="T120" i="5" s="1"/>
  <c r="M331" i="5"/>
  <c r="O331" i="5" s="1"/>
  <c r="T331" i="5" s="1"/>
  <c r="M288" i="5"/>
  <c r="O288" i="5" s="1"/>
  <c r="T288" i="5" s="1"/>
  <c r="M245" i="5"/>
  <c r="O245" i="5" s="1"/>
  <c r="T245" i="5" s="1"/>
  <c r="M227" i="5"/>
  <c r="O227" i="5" s="1"/>
  <c r="T227" i="5" s="1"/>
  <c r="M131" i="5"/>
  <c r="O131" i="5" s="1"/>
  <c r="T131" i="5" s="1"/>
  <c r="M343" i="5"/>
  <c r="O343" i="5" s="1"/>
  <c r="T343" i="5" s="1"/>
  <c r="M334" i="5"/>
  <c r="O334" i="5" s="1"/>
  <c r="T334" i="5" s="1"/>
  <c r="M324" i="5"/>
  <c r="O324" i="5" s="1"/>
  <c r="T324" i="5" s="1"/>
  <c r="M309" i="5"/>
  <c r="O309" i="5" s="1"/>
  <c r="T309" i="5" s="1"/>
  <c r="M300" i="5"/>
  <c r="O300" i="5" s="1"/>
  <c r="T300" i="5" s="1"/>
  <c r="M292" i="5"/>
  <c r="O292" i="5" s="1"/>
  <c r="T292" i="5" s="1"/>
  <c r="M282" i="5"/>
  <c r="O282" i="5" s="1"/>
  <c r="T282" i="5" s="1"/>
  <c r="M267" i="5"/>
  <c r="O267" i="5" s="1"/>
  <c r="T267" i="5" s="1"/>
  <c r="M248" i="5"/>
  <c r="O248" i="5" s="1"/>
  <c r="T248" i="5" s="1"/>
  <c r="M239" i="5"/>
  <c r="O239" i="5" s="1"/>
  <c r="T239" i="5" s="1"/>
  <c r="M230" i="5"/>
  <c r="O230" i="5" s="1"/>
  <c r="T230" i="5" s="1"/>
  <c r="M221" i="5"/>
  <c r="O221" i="5" s="1"/>
  <c r="T221" i="5" s="1"/>
  <c r="M213" i="5"/>
  <c r="O213" i="5" s="1"/>
  <c r="T213" i="5" s="1"/>
  <c r="M134" i="5"/>
  <c r="O134" i="5" s="1"/>
  <c r="T134" i="5" s="1"/>
  <c r="M125" i="5"/>
  <c r="O125" i="5" s="1"/>
  <c r="T125" i="5" s="1"/>
  <c r="M116" i="5"/>
  <c r="O116" i="5" s="1"/>
  <c r="T116" i="5" s="1"/>
  <c r="M107" i="5"/>
  <c r="O107" i="5" s="1"/>
  <c r="M335" i="5"/>
  <c r="O335" i="5" s="1"/>
  <c r="T335" i="5" s="1"/>
  <c r="M326" i="5"/>
  <c r="O326" i="5" s="1"/>
  <c r="T326" i="5" s="1"/>
  <c r="M310" i="5"/>
  <c r="O310" i="5" s="1"/>
  <c r="T310" i="5" s="1"/>
  <c r="M301" i="5"/>
  <c r="O301" i="5" s="1"/>
  <c r="T301" i="5" s="1"/>
  <c r="M293" i="5"/>
  <c r="O293" i="5" s="1"/>
  <c r="T293" i="5" s="1"/>
  <c r="M284" i="5"/>
  <c r="O284" i="5" s="1"/>
  <c r="T284" i="5" s="1"/>
  <c r="M269" i="5"/>
  <c r="O269" i="5" s="1"/>
  <c r="T269" i="5" s="1"/>
  <c r="M249" i="5"/>
  <c r="O249" i="5" s="1"/>
  <c r="T249" i="5" s="1"/>
  <c r="M240" i="5"/>
  <c r="O240" i="5" s="1"/>
  <c r="T240" i="5" s="1"/>
  <c r="M231" i="5"/>
  <c r="O231" i="5" s="1"/>
  <c r="T231" i="5" s="1"/>
  <c r="M222" i="5"/>
  <c r="O222" i="5" s="1"/>
  <c r="T222" i="5" s="1"/>
  <c r="M214" i="5"/>
  <c r="O214" i="5" s="1"/>
  <c r="T214" i="5" s="1"/>
  <c r="M135" i="5"/>
  <c r="O135" i="5" s="1"/>
  <c r="T135" i="5" s="1"/>
  <c r="M126" i="5"/>
  <c r="O126" i="5" s="1"/>
  <c r="T126" i="5" s="1"/>
  <c r="M117" i="5"/>
  <c r="O117" i="5" s="1"/>
  <c r="T117" i="5" s="1"/>
  <c r="M108" i="5"/>
  <c r="O108" i="5" s="1"/>
  <c r="T108" i="5" s="1"/>
  <c r="M304" i="5"/>
  <c r="O304" i="5" s="1"/>
  <c r="T304" i="5" s="1"/>
  <c r="M263" i="5"/>
  <c r="M217" i="5"/>
  <c r="O217" i="5" s="1"/>
  <c r="T217" i="5" s="1"/>
  <c r="M340" i="5"/>
  <c r="O340" i="5" s="1"/>
  <c r="T340" i="5" s="1"/>
  <c r="M306" i="5"/>
  <c r="O306" i="5" s="1"/>
  <c r="T306" i="5" s="1"/>
  <c r="M264" i="5"/>
  <c r="O264" i="5" s="1"/>
  <c r="T264" i="5" s="1"/>
  <c r="M218" i="5"/>
  <c r="O218" i="5" s="1"/>
  <c r="T218" i="5" s="1"/>
  <c r="M113" i="5"/>
  <c r="O113" i="5" s="1"/>
  <c r="T113" i="5" s="1"/>
  <c r="M341" i="5"/>
  <c r="O341" i="5" s="1"/>
  <c r="T341" i="5" s="1"/>
  <c r="M332" i="5"/>
  <c r="O332" i="5" s="1"/>
  <c r="T332" i="5" s="1"/>
  <c r="M316" i="5"/>
  <c r="O316" i="5" s="1"/>
  <c r="T316" i="5" s="1"/>
  <c r="M307" i="5"/>
  <c r="O307" i="5" s="1"/>
  <c r="T307" i="5" s="1"/>
  <c r="M298" i="5"/>
  <c r="O298" i="5" s="1"/>
  <c r="T298" i="5" s="1"/>
  <c r="M290" i="5"/>
  <c r="O290" i="5" s="1"/>
  <c r="T290" i="5" s="1"/>
  <c r="M280" i="5"/>
  <c r="O280" i="5" s="1"/>
  <c r="M265" i="5"/>
  <c r="O265" i="5" s="1"/>
  <c r="T265" i="5" s="1"/>
  <c r="M246" i="5"/>
  <c r="O246" i="5" s="1"/>
  <c r="T246" i="5" s="1"/>
  <c r="M236" i="5"/>
  <c r="O236" i="5" s="1"/>
  <c r="T236" i="5" s="1"/>
  <c r="M228" i="5"/>
  <c r="O228" i="5" s="1"/>
  <c r="T228" i="5" s="1"/>
  <c r="M219" i="5"/>
  <c r="O219" i="5" s="1"/>
  <c r="T219" i="5" s="1"/>
  <c r="M211" i="5"/>
  <c r="O211" i="5" s="1"/>
  <c r="T211" i="5" s="1"/>
  <c r="M132" i="5"/>
  <c r="O132" i="5" s="1"/>
  <c r="T132" i="5" s="1"/>
  <c r="M122" i="5"/>
  <c r="O122" i="5" s="1"/>
  <c r="T122" i="5" s="1"/>
  <c r="M114" i="5"/>
  <c r="O114" i="5" s="1"/>
  <c r="T114" i="5" s="1"/>
  <c r="M342" i="5"/>
  <c r="O342" i="5" s="1"/>
  <c r="T342" i="5" s="1"/>
  <c r="M333" i="5"/>
  <c r="O333" i="5" s="1"/>
  <c r="T333" i="5" s="1"/>
  <c r="M323" i="5"/>
  <c r="O323" i="5" s="1"/>
  <c r="M308" i="5"/>
  <c r="O308" i="5" s="1"/>
  <c r="T308" i="5" s="1"/>
  <c r="M299" i="5"/>
  <c r="O299" i="5" s="1"/>
  <c r="T299" i="5" s="1"/>
  <c r="M291" i="5"/>
  <c r="O291" i="5" s="1"/>
  <c r="T291" i="5" s="1"/>
  <c r="M281" i="5"/>
  <c r="O281" i="5" s="1"/>
  <c r="T281" i="5" s="1"/>
  <c r="M266" i="5"/>
  <c r="O266" i="5" s="1"/>
  <c r="T266" i="5" s="1"/>
  <c r="M247" i="5"/>
  <c r="O247" i="5" s="1"/>
  <c r="T247" i="5" s="1"/>
  <c r="M238" i="5"/>
  <c r="O238" i="5" s="1"/>
  <c r="T238" i="5" s="1"/>
  <c r="M229" i="5"/>
  <c r="O229" i="5" s="1"/>
  <c r="T229" i="5" s="1"/>
  <c r="M220" i="5"/>
  <c r="O220" i="5" s="1"/>
  <c r="T220" i="5" s="1"/>
  <c r="M212" i="5"/>
  <c r="O212" i="5" s="1"/>
  <c r="T212" i="5" s="1"/>
  <c r="M133" i="5"/>
  <c r="O133" i="5" s="1"/>
  <c r="T133" i="5" s="1"/>
  <c r="M124" i="5"/>
  <c r="O124" i="5" s="1"/>
  <c r="T124" i="5" s="1"/>
  <c r="M115" i="5"/>
  <c r="O115" i="5" s="1"/>
  <c r="T115" i="5" s="1"/>
  <c r="M338" i="5"/>
  <c r="O338" i="5" s="1"/>
  <c r="T338" i="5" s="1"/>
  <c r="M330" i="5"/>
  <c r="O330" i="5" s="1"/>
  <c r="T330" i="5" s="1"/>
  <c r="M296" i="5"/>
  <c r="O296" i="5" s="1"/>
  <c r="T296" i="5" s="1"/>
  <c r="M287" i="5"/>
  <c r="O287" i="5" s="1"/>
  <c r="T287" i="5" s="1"/>
  <c r="M244" i="5"/>
  <c r="O244" i="5" s="1"/>
  <c r="T244" i="5" s="1"/>
  <c r="M226" i="5"/>
  <c r="O226" i="5" s="1"/>
  <c r="T226" i="5" s="1"/>
  <c r="M129" i="5"/>
  <c r="O129" i="5" s="1"/>
  <c r="T129" i="5" s="1"/>
  <c r="M112" i="5"/>
  <c r="O112" i="5" s="1"/>
  <c r="T112" i="5" s="1"/>
  <c r="M315" i="5"/>
  <c r="O315" i="5" s="1"/>
  <c r="T315" i="5" s="1"/>
  <c r="M297" i="5"/>
  <c r="O297" i="5" s="1"/>
  <c r="T297" i="5" s="1"/>
  <c r="M273" i="5"/>
  <c r="O273" i="5" s="1"/>
  <c r="T273" i="5" s="1"/>
  <c r="M235" i="5"/>
  <c r="O235" i="5" s="1"/>
  <c r="T235" i="5" s="1"/>
  <c r="M210" i="5"/>
  <c r="O210" i="5" s="1"/>
  <c r="M121" i="5"/>
  <c r="O121" i="5" s="1"/>
  <c r="T121" i="5" s="1"/>
  <c r="S373" i="5"/>
  <c r="G46" i="5"/>
  <c r="K15" i="10" s="1"/>
  <c r="K38" i="5"/>
  <c r="K46" i="5" s="1"/>
  <c r="M15" i="10" s="1"/>
  <c r="G155" i="5"/>
  <c r="K24" i="10" s="1"/>
  <c r="K153" i="5"/>
  <c r="K155" i="5" s="1"/>
  <c r="M24" i="10" s="1"/>
  <c r="G103" i="5"/>
  <c r="K21" i="10" s="1"/>
  <c r="K101" i="5"/>
  <c r="K103" i="5" s="1"/>
  <c r="M21" i="10" s="1"/>
  <c r="G67" i="5"/>
  <c r="K16" i="10" s="1"/>
  <c r="K59" i="5"/>
  <c r="K67" i="5" s="1"/>
  <c r="M16" i="10" s="1"/>
  <c r="G166" i="5"/>
  <c r="K25" i="10" s="1"/>
  <c r="K164" i="5"/>
  <c r="K166" i="5" s="1"/>
  <c r="M25" i="10" s="1"/>
  <c r="G194" i="5"/>
  <c r="G171" i="5"/>
  <c r="G83" i="5"/>
  <c r="G186" i="5"/>
  <c r="G84" i="5"/>
  <c r="G381" i="5"/>
  <c r="G430" i="5"/>
  <c r="G85" i="5"/>
  <c r="G193" i="5"/>
  <c r="G195" i="5"/>
  <c r="G87" i="5"/>
  <c r="G437" i="5"/>
  <c r="G468" i="5"/>
  <c r="M18" i="10" l="1"/>
  <c r="O15" i="10"/>
  <c r="Q15" i="10"/>
  <c r="K18" i="10"/>
  <c r="K50" i="10"/>
  <c r="Q16" i="10"/>
  <c r="W16" i="10" s="1"/>
  <c r="Y16" i="10" s="1"/>
  <c r="O16" i="10"/>
  <c r="Q24" i="10"/>
  <c r="O24" i="10"/>
  <c r="O50" i="10"/>
  <c r="W43" i="10"/>
  <c r="Q46" i="10"/>
  <c r="Q25" i="10"/>
  <c r="O25" i="10"/>
  <c r="O21" i="10"/>
  <c r="Q21" i="10"/>
  <c r="S101" i="5"/>
  <c r="S59" i="5"/>
  <c r="S153" i="5"/>
  <c r="T107" i="5"/>
  <c r="O139" i="5"/>
  <c r="O143" i="5" s="1"/>
  <c r="S41" i="10" s="1"/>
  <c r="T323" i="5"/>
  <c r="O344" i="5"/>
  <c r="O346" i="5" s="1"/>
  <c r="T280" i="5"/>
  <c r="O317" i="5"/>
  <c r="O319" i="5" s="1"/>
  <c r="T210" i="5"/>
  <c r="O254" i="5"/>
  <c r="O258" i="5" s="1"/>
  <c r="S42" i="10" s="1"/>
  <c r="U42" i="10" s="1"/>
  <c r="AA42" i="10" s="1"/>
  <c r="AC42" i="10" s="1"/>
  <c r="S164" i="5"/>
  <c r="S38" i="5"/>
  <c r="O263" i="5"/>
  <c r="O274" i="5" s="1"/>
  <c r="K87" i="5"/>
  <c r="K437" i="5"/>
  <c r="S437" i="5" s="1"/>
  <c r="K468" i="5"/>
  <c r="K469" i="5" s="1"/>
  <c r="M36" i="10" s="1"/>
  <c r="K430" i="5"/>
  <c r="S430" i="5" s="1"/>
  <c r="K84" i="5"/>
  <c r="K83" i="5"/>
  <c r="K171" i="5"/>
  <c r="S171" i="5" s="1"/>
  <c r="K438" i="5"/>
  <c r="K440" i="5" s="1"/>
  <c r="M33" i="10" s="1"/>
  <c r="G383" i="5"/>
  <c r="G384" i="5" s="1"/>
  <c r="K31" i="10" s="1"/>
  <c r="K381" i="5"/>
  <c r="K383" i="5" s="1"/>
  <c r="K384" i="5" s="1"/>
  <c r="M31" i="10" s="1"/>
  <c r="G438" i="5"/>
  <c r="G76" i="5"/>
  <c r="G202" i="5"/>
  <c r="Q31" i="10" l="1"/>
  <c r="O31" i="10"/>
  <c r="W21" i="10"/>
  <c r="Y21" i="10" s="1"/>
  <c r="W25" i="10"/>
  <c r="W24" i="10"/>
  <c r="Y24" i="10" s="1"/>
  <c r="Q50" i="10"/>
  <c r="U41" i="10"/>
  <c r="W15" i="10"/>
  <c r="Q18" i="10"/>
  <c r="Y43" i="10"/>
  <c r="W46" i="10"/>
  <c r="O18" i="10"/>
  <c r="O276" i="5"/>
  <c r="O349" i="5"/>
  <c r="O352" i="5" s="1"/>
  <c r="S43" i="10" s="1"/>
  <c r="U43" i="10" s="1"/>
  <c r="AA43" i="10" s="1"/>
  <c r="AC43" i="10" s="1"/>
  <c r="S381" i="5"/>
  <c r="S468" i="5"/>
  <c r="T263" i="5"/>
  <c r="G79" i="5"/>
  <c r="K20" i="10" s="1"/>
  <c r="K76" i="5"/>
  <c r="K79" i="5" s="1"/>
  <c r="G172" i="5"/>
  <c r="M20" i="10" l="1"/>
  <c r="R108" i="5"/>
  <c r="R110" i="5" s="1"/>
  <c r="O20" i="10"/>
  <c r="Q20" i="10"/>
  <c r="AA41" i="10"/>
  <c r="Y46" i="10"/>
  <c r="W50" i="10"/>
  <c r="W18" i="10"/>
  <c r="Y18" i="10" s="1"/>
  <c r="Y15" i="10"/>
  <c r="Y25" i="10"/>
  <c r="W31" i="10"/>
  <c r="Y31" i="10" s="1"/>
  <c r="S76" i="5"/>
  <c r="G174" i="5"/>
  <c r="K26" i="10" s="1"/>
  <c r="K172" i="5"/>
  <c r="K174" i="5" s="1"/>
  <c r="M26" i="10" s="1"/>
  <c r="M27" i="10" s="1"/>
  <c r="G88" i="5"/>
  <c r="AC41" i="10" l="1"/>
  <c r="Q26" i="10"/>
  <c r="O26" i="10"/>
  <c r="O27" i="10" s="1"/>
  <c r="K27" i="10"/>
  <c r="Y50" i="10"/>
  <c r="W20" i="10"/>
  <c r="S172" i="5"/>
  <c r="G91" i="5"/>
  <c r="K22" i="10" s="1"/>
  <c r="K88" i="5"/>
  <c r="K91" i="5" s="1"/>
  <c r="G420" i="5"/>
  <c r="G418" i="5"/>
  <c r="G415" i="5"/>
  <c r="G409" i="5"/>
  <c r="G402" i="5"/>
  <c r="G406" i="5"/>
  <c r="G183" i="5"/>
  <c r="G181" i="5"/>
  <c r="G187" i="5"/>
  <c r="G401" i="5"/>
  <c r="G416" i="5"/>
  <c r="G413" i="5"/>
  <c r="G408" i="5"/>
  <c r="G404" i="5"/>
  <c r="G198" i="5"/>
  <c r="G182" i="5"/>
  <c r="G180" i="5"/>
  <c r="M22" i="10" l="1"/>
  <c r="Q22" i="10"/>
  <c r="O22" i="10"/>
  <c r="K23" i="10"/>
  <c r="M23" i="10"/>
  <c r="Y20" i="10"/>
  <c r="W26" i="10"/>
  <c r="Q27" i="10"/>
  <c r="T181" i="5"/>
  <c r="S181" i="5"/>
  <c r="K183" i="5"/>
  <c r="K182" i="5"/>
  <c r="K180" i="5"/>
  <c r="S180" i="5" s="1"/>
  <c r="K198" i="5"/>
  <c r="S198" i="5" s="1"/>
  <c r="G188" i="5"/>
  <c r="K187" i="5"/>
  <c r="K188" i="5" s="1"/>
  <c r="G457" i="5"/>
  <c r="G197" i="5"/>
  <c r="G456" i="5"/>
  <c r="G419" i="5"/>
  <c r="G459" i="5"/>
  <c r="G196" i="5"/>
  <c r="G405" i="5"/>
  <c r="G203" i="5"/>
  <c r="G461" i="5"/>
  <c r="G184" i="5"/>
  <c r="K184" i="5" l="1"/>
  <c r="K190" i="5" s="1"/>
  <c r="Y26" i="10"/>
  <c r="W27" i="10"/>
  <c r="Y27" i="10" s="1"/>
  <c r="O23" i="10"/>
  <c r="S187" i="5"/>
  <c r="W22" i="10"/>
  <c r="Q23" i="10"/>
  <c r="K196" i="5"/>
  <c r="S196" i="5" s="1"/>
  <c r="G190" i="5"/>
  <c r="K28" i="10" s="1"/>
  <c r="G204" i="5"/>
  <c r="K203" i="5"/>
  <c r="K204" i="5" s="1"/>
  <c r="G460" i="5"/>
  <c r="M28" i="10" l="1"/>
  <c r="O28" i="10"/>
  <c r="Q28" i="10"/>
  <c r="Y22" i="10"/>
  <c r="W23" i="10"/>
  <c r="Y23" i="10" s="1"/>
  <c r="S203" i="5"/>
  <c r="G411" i="5"/>
  <c r="G199" i="5"/>
  <c r="G469" i="5"/>
  <c r="K36" i="10" s="1"/>
  <c r="W28" i="10" l="1"/>
  <c r="O36" i="10"/>
  <c r="Q36" i="10"/>
  <c r="G200" i="5"/>
  <c r="G206" i="5" s="1"/>
  <c r="K29" i="10" s="1"/>
  <c r="K199" i="5"/>
  <c r="K200" i="5" s="1"/>
  <c r="K206" i="5" s="1"/>
  <c r="K496" i="5" s="1"/>
  <c r="G412" i="5"/>
  <c r="G421" i="5" s="1"/>
  <c r="Q29" i="10" l="1"/>
  <c r="K30" i="10"/>
  <c r="W36" i="10"/>
  <c r="Y36" i="10" s="1"/>
  <c r="M29" i="10"/>
  <c r="Y28" i="10"/>
  <c r="S199" i="5"/>
  <c r="G440" i="5"/>
  <c r="M30" i="10" l="1"/>
  <c r="M38" i="10"/>
  <c r="O29" i="10"/>
  <c r="G496" i="5"/>
  <c r="K33" i="10"/>
  <c r="W29" i="10"/>
  <c r="Q30" i="10"/>
  <c r="J26" i="3"/>
  <c r="O30" i="10" l="1"/>
  <c r="M39" i="10"/>
  <c r="M52" i="10" s="1"/>
  <c r="M51" i="10"/>
  <c r="Y29" i="10"/>
  <c r="W30" i="10"/>
  <c r="Y30" i="10" s="1"/>
  <c r="Q33" i="10"/>
  <c r="O33" i="10"/>
  <c r="O38" i="10" s="1"/>
  <c r="K38" i="10"/>
  <c r="J32" i="3"/>
  <c r="J8" i="3"/>
  <c r="M26" i="3"/>
  <c r="N26" i="3" s="1"/>
  <c r="J25" i="3"/>
  <c r="J24" i="3"/>
  <c r="J23" i="3"/>
  <c r="J22" i="3"/>
  <c r="K22" i="3" s="1"/>
  <c r="J21" i="3"/>
  <c r="J20" i="3"/>
  <c r="K20" i="3" s="1"/>
  <c r="J19" i="3"/>
  <c r="J18" i="3"/>
  <c r="J17" i="3"/>
  <c r="J16" i="3"/>
  <c r="J15" i="3"/>
  <c r="R46" i="6" s="1"/>
  <c r="R50" i="6" s="1"/>
  <c r="J14" i="3"/>
  <c r="J13" i="3"/>
  <c r="J12" i="3"/>
  <c r="J11" i="3"/>
  <c r="J10" i="3"/>
  <c r="J9" i="3"/>
  <c r="G25" i="3"/>
  <c r="G24" i="3"/>
  <c r="H24" i="3" s="1"/>
  <c r="G23" i="3"/>
  <c r="H23" i="3" s="1"/>
  <c r="G22" i="3"/>
  <c r="H22" i="3" s="1"/>
  <c r="G21" i="3"/>
  <c r="H21" i="3" s="1"/>
  <c r="G20" i="3"/>
  <c r="G19" i="3"/>
  <c r="G18" i="3"/>
  <c r="G17" i="3"/>
  <c r="G16" i="3"/>
  <c r="H16" i="3" s="1"/>
  <c r="G15" i="3"/>
  <c r="H15" i="3" s="1"/>
  <c r="G14" i="3"/>
  <c r="H14" i="3" s="1"/>
  <c r="G13" i="3"/>
  <c r="H13" i="3" s="1"/>
  <c r="G12" i="3"/>
  <c r="G11" i="3"/>
  <c r="G10" i="3"/>
  <c r="G9" i="3"/>
  <c r="G8" i="3"/>
  <c r="H8" i="3" s="1"/>
  <c r="K26" i="3"/>
  <c r="H26" i="3"/>
  <c r="H25" i="3"/>
  <c r="H20" i="3"/>
  <c r="H19" i="3"/>
  <c r="H18" i="3"/>
  <c r="H17" i="3"/>
  <c r="H12" i="3"/>
  <c r="H11" i="3"/>
  <c r="H10" i="3"/>
  <c r="H9" i="3"/>
  <c r="K24" i="3"/>
  <c r="K16" i="3"/>
  <c r="K14" i="3"/>
  <c r="W33" i="10" l="1"/>
  <c r="Q38" i="10"/>
  <c r="K39" i="10"/>
  <c r="K52" i="10" s="1"/>
  <c r="K51" i="10"/>
  <c r="O39" i="10"/>
  <c r="O52" i="10" s="1"/>
  <c r="O51" i="10"/>
  <c r="R148" i="5"/>
  <c r="R151" i="5" s="1"/>
  <c r="K18" i="3"/>
  <c r="R374" i="5"/>
  <c r="R377" i="5" s="1"/>
  <c r="K8" i="3"/>
  <c r="K10" i="3"/>
  <c r="K12" i="3"/>
  <c r="J27" i="3"/>
  <c r="K27" i="3" s="1"/>
  <c r="M9" i="3"/>
  <c r="M11" i="3"/>
  <c r="M13" i="3"/>
  <c r="M15" i="3"/>
  <c r="M17" i="3"/>
  <c r="M19" i="3"/>
  <c r="N19" i="3" s="1"/>
  <c r="M21" i="3"/>
  <c r="N21" i="3" s="1"/>
  <c r="M23" i="3"/>
  <c r="N23" i="3" s="1"/>
  <c r="M25" i="3"/>
  <c r="N25" i="3" s="1"/>
  <c r="M10" i="3"/>
  <c r="M12" i="3"/>
  <c r="M14" i="3"/>
  <c r="M16" i="3"/>
  <c r="M18" i="3"/>
  <c r="N18" i="3" s="1"/>
  <c r="M20" i="3"/>
  <c r="N20" i="3" s="1"/>
  <c r="M22" i="3"/>
  <c r="N22" i="3" s="1"/>
  <c r="M24" i="3"/>
  <c r="N24" i="3" s="1"/>
  <c r="K9" i="3"/>
  <c r="K11" i="3"/>
  <c r="K13" i="3"/>
  <c r="K15" i="3"/>
  <c r="K17" i="3"/>
  <c r="K19" i="3"/>
  <c r="K21" i="3"/>
  <c r="K23" i="3"/>
  <c r="K25" i="3"/>
  <c r="M8" i="3"/>
  <c r="G27" i="3"/>
  <c r="H27" i="3" s="1"/>
  <c r="Q39" i="10" l="1"/>
  <c r="Q52" i="10" s="1"/>
  <c r="Q51" i="10"/>
  <c r="Y33" i="10"/>
  <c r="W38" i="10"/>
  <c r="R39" i="6"/>
  <c r="M373" i="5"/>
  <c r="O373" i="5" s="1"/>
  <c r="M381" i="5"/>
  <c r="O381" i="5" s="1"/>
  <c r="T381" i="5" s="1"/>
  <c r="M380" i="5"/>
  <c r="O380" i="5" s="1"/>
  <c r="M374" i="5"/>
  <c r="O374" i="5" s="1"/>
  <c r="T374" i="5" s="1"/>
  <c r="R51" i="6"/>
  <c r="R160" i="5"/>
  <c r="R163" i="5" s="1"/>
  <c r="R388" i="5"/>
  <c r="R391" i="5" s="1"/>
  <c r="R364" i="5"/>
  <c r="R367" i="5" s="1"/>
  <c r="M365" i="5" s="1"/>
  <c r="O365" i="5" s="1"/>
  <c r="T46" i="6"/>
  <c r="V46" i="6" s="1"/>
  <c r="W46" i="6" s="1"/>
  <c r="R170" i="5"/>
  <c r="R173" i="5" s="1"/>
  <c r="M426" i="5"/>
  <c r="O426" i="5" s="1"/>
  <c r="T426" i="5" s="1"/>
  <c r="M153" i="5"/>
  <c r="M148" i="5"/>
  <c r="O148" i="5" s="1"/>
  <c r="M151" i="5"/>
  <c r="O151" i="5" s="1"/>
  <c r="T151" i="5" s="1"/>
  <c r="M425" i="5"/>
  <c r="O425" i="5" s="1"/>
  <c r="M429" i="5"/>
  <c r="O429" i="5" s="1"/>
  <c r="T429" i="5" s="1"/>
  <c r="M428" i="5"/>
  <c r="O428" i="5" s="1"/>
  <c r="T428" i="5" s="1"/>
  <c r="M149" i="5"/>
  <c r="O149" i="5" s="1"/>
  <c r="T149" i="5" s="1"/>
  <c r="M152" i="5"/>
  <c r="O152" i="5" s="1"/>
  <c r="T152" i="5" s="1"/>
  <c r="M430" i="5"/>
  <c r="O430" i="5" s="1"/>
  <c r="T430" i="5" s="1"/>
  <c r="N16" i="3"/>
  <c r="N12" i="3"/>
  <c r="N17" i="3"/>
  <c r="N13" i="3"/>
  <c r="N9" i="3"/>
  <c r="N8" i="3"/>
  <c r="N14" i="3"/>
  <c r="N10" i="3"/>
  <c r="N15" i="3"/>
  <c r="N11" i="3"/>
  <c r="M27" i="3"/>
  <c r="N27" i="3" s="1"/>
  <c r="W39" i="10" l="1"/>
  <c r="Y38" i="10"/>
  <c r="W51" i="10"/>
  <c r="Y51" i="10" s="1"/>
  <c r="T50" i="6"/>
  <c r="V50" i="6" s="1"/>
  <c r="W50" i="6" s="1"/>
  <c r="T148" i="5"/>
  <c r="M171" i="5"/>
  <c r="O171" i="5" s="1"/>
  <c r="M172" i="5"/>
  <c r="O172" i="5" s="1"/>
  <c r="T172" i="5" s="1"/>
  <c r="M436" i="5"/>
  <c r="O436" i="5" s="1"/>
  <c r="T436" i="5" s="1"/>
  <c r="M435" i="5"/>
  <c r="O435" i="5" s="1"/>
  <c r="T435" i="5" s="1"/>
  <c r="M434" i="5"/>
  <c r="O434" i="5" s="1"/>
  <c r="T434" i="5" s="1"/>
  <c r="M433" i="5"/>
  <c r="O433" i="5" s="1"/>
  <c r="T433" i="5" s="1"/>
  <c r="M464" i="5"/>
  <c r="O464" i="5" s="1"/>
  <c r="T464" i="5" s="1"/>
  <c r="M437" i="5"/>
  <c r="O437" i="5" s="1"/>
  <c r="T437" i="5" s="1"/>
  <c r="M164" i="5"/>
  <c r="O164" i="5" s="1"/>
  <c r="T164" i="5" s="1"/>
  <c r="M163" i="5"/>
  <c r="O163" i="5" s="1"/>
  <c r="T163" i="5" s="1"/>
  <c r="M162" i="5"/>
  <c r="O162" i="5" s="1"/>
  <c r="T162" i="5" s="1"/>
  <c r="M161" i="5"/>
  <c r="O161" i="5" s="1"/>
  <c r="T161" i="5" s="1"/>
  <c r="M463" i="5"/>
  <c r="O463" i="5" s="1"/>
  <c r="M160" i="5"/>
  <c r="O160" i="5" s="1"/>
  <c r="M468" i="5"/>
  <c r="M467" i="5"/>
  <c r="O467" i="5" s="1"/>
  <c r="T467" i="5" s="1"/>
  <c r="M466" i="5"/>
  <c r="O466" i="5" s="1"/>
  <c r="T466" i="5" s="1"/>
  <c r="R178" i="5"/>
  <c r="R181" i="5" s="1"/>
  <c r="T380" i="5"/>
  <c r="O383" i="5"/>
  <c r="O153" i="5"/>
  <c r="T153" i="5" s="1"/>
  <c r="T365" i="5"/>
  <c r="O367" i="5"/>
  <c r="R72" i="5"/>
  <c r="R74" i="5" s="1"/>
  <c r="T425" i="5"/>
  <c r="R95" i="5"/>
  <c r="R98" i="5" s="1"/>
  <c r="M388" i="5"/>
  <c r="O388" i="5" s="1"/>
  <c r="M392" i="5"/>
  <c r="O392" i="5" s="1"/>
  <c r="T392" i="5" s="1"/>
  <c r="M393" i="5"/>
  <c r="O393" i="5" s="1"/>
  <c r="T393" i="5" s="1"/>
  <c r="M389" i="5"/>
  <c r="O389" i="5" s="1"/>
  <c r="T389" i="5" s="1"/>
  <c r="M391" i="5"/>
  <c r="O391" i="5" s="1"/>
  <c r="T391" i="5" s="1"/>
  <c r="M394" i="5"/>
  <c r="O394" i="5" s="1"/>
  <c r="T394" i="5" s="1"/>
  <c r="T373" i="5"/>
  <c r="O376" i="5"/>
  <c r="R363" i="5" l="1"/>
  <c r="R365" i="5" s="1"/>
  <c r="S45" i="10"/>
  <c r="O155" i="5"/>
  <c r="O438" i="5"/>
  <c r="O440" i="5" s="1"/>
  <c r="S33" i="10" s="1"/>
  <c r="U33" i="10" s="1"/>
  <c r="AA33" i="10" s="1"/>
  <c r="AC33" i="10" s="1"/>
  <c r="T51" i="6"/>
  <c r="V51" i="6" s="1"/>
  <c r="W51" i="6" s="1"/>
  <c r="Y39" i="10"/>
  <c r="W52" i="10"/>
  <c r="Y52" i="10" s="1"/>
  <c r="T388" i="5"/>
  <c r="O397" i="5"/>
  <c r="R387" i="5" s="1"/>
  <c r="T160" i="5"/>
  <c r="O166" i="5"/>
  <c r="M84" i="5"/>
  <c r="O84" i="5" s="1"/>
  <c r="M83" i="5"/>
  <c r="O83" i="5" s="1"/>
  <c r="M88" i="5"/>
  <c r="O88" i="5" s="1"/>
  <c r="M76" i="5"/>
  <c r="O76" i="5" s="1"/>
  <c r="T76" i="5" s="1"/>
  <c r="M75" i="5"/>
  <c r="O75" i="5" s="1"/>
  <c r="T75" i="5" s="1"/>
  <c r="M72" i="5"/>
  <c r="O72" i="5" s="1"/>
  <c r="T72" i="5" s="1"/>
  <c r="M71" i="5"/>
  <c r="O71" i="5" s="1"/>
  <c r="M87" i="5"/>
  <c r="O87" i="5" s="1"/>
  <c r="M196" i="5"/>
  <c r="O196" i="5" s="1"/>
  <c r="M187" i="5"/>
  <c r="M183" i="5"/>
  <c r="O183" i="5" s="1"/>
  <c r="M198" i="5"/>
  <c r="O198" i="5" s="1"/>
  <c r="T198" i="5" s="1"/>
  <c r="M203" i="5"/>
  <c r="M180" i="5"/>
  <c r="O180" i="5" s="1"/>
  <c r="M182" i="5"/>
  <c r="O182" i="5" s="1"/>
  <c r="M199" i="5"/>
  <c r="O468" i="5"/>
  <c r="T468" i="5" s="1"/>
  <c r="T39" i="6"/>
  <c r="V39" i="6" s="1"/>
  <c r="W39" i="6" s="1"/>
  <c r="M100" i="5"/>
  <c r="O100" i="5" s="1"/>
  <c r="T100" i="5" s="1"/>
  <c r="M99" i="5"/>
  <c r="O99" i="5" s="1"/>
  <c r="T99" i="5" s="1"/>
  <c r="M98" i="5"/>
  <c r="O98" i="5" s="1"/>
  <c r="M101" i="5"/>
  <c r="O384" i="5"/>
  <c r="T463" i="5"/>
  <c r="O469" i="5"/>
  <c r="S36" i="10" s="1"/>
  <c r="U36" i="10" s="1"/>
  <c r="AA36" i="10" s="1"/>
  <c r="AC36" i="10" s="1"/>
  <c r="T171" i="5"/>
  <c r="O174" i="5"/>
  <c r="R165" i="5" l="1"/>
  <c r="N55" i="6"/>
  <c r="P55" i="6"/>
  <c r="R55" i="6"/>
  <c r="R169" i="5"/>
  <c r="R171" i="5" s="1"/>
  <c r="S26" i="10"/>
  <c r="U26" i="10" s="1"/>
  <c r="AA26" i="10" s="1"/>
  <c r="AC26" i="10" s="1"/>
  <c r="R147" i="5"/>
  <c r="R149" i="5" s="1"/>
  <c r="S24" i="10"/>
  <c r="U24" i="10" s="1"/>
  <c r="AA24" i="10" s="1"/>
  <c r="AC24" i="10" s="1"/>
  <c r="R389" i="5"/>
  <c r="S32" i="10"/>
  <c r="U32" i="10" s="1"/>
  <c r="AA32" i="10" s="1"/>
  <c r="AC32" i="10" s="1"/>
  <c r="U45" i="10"/>
  <c r="S46" i="10"/>
  <c r="S50" i="10" s="1"/>
  <c r="R373" i="5"/>
  <c r="R375" i="5" s="1"/>
  <c r="S31" i="10"/>
  <c r="U31" i="10" s="1"/>
  <c r="AA31" i="10" s="1"/>
  <c r="AC31" i="10" s="1"/>
  <c r="R159" i="5"/>
  <c r="R161" i="5" s="1"/>
  <c r="S25" i="10"/>
  <c r="O101" i="5"/>
  <c r="T101" i="5" s="1"/>
  <c r="T71" i="5"/>
  <c r="O79" i="5"/>
  <c r="O91" i="5"/>
  <c r="S22" i="10" s="1"/>
  <c r="U22" i="10" s="1"/>
  <c r="AA22" i="10" s="1"/>
  <c r="AC22" i="10" s="1"/>
  <c r="T180" i="5"/>
  <c r="O184" i="5"/>
  <c r="O187" i="5"/>
  <c r="O188" i="5" s="1"/>
  <c r="O199" i="5"/>
  <c r="T199" i="5" s="1"/>
  <c r="R15" i="5"/>
  <c r="T98" i="5"/>
  <c r="O103" i="5"/>
  <c r="O203" i="5"/>
  <c r="O204" i="5" s="1"/>
  <c r="T196" i="5"/>
  <c r="T55" i="6" l="1"/>
  <c r="T203" i="5"/>
  <c r="R18" i="5"/>
  <c r="M14" i="5" s="1"/>
  <c r="S27" i="10"/>
  <c r="U25" i="10"/>
  <c r="R71" i="5"/>
  <c r="R73" i="5" s="1"/>
  <c r="S20" i="10"/>
  <c r="AA45" i="10"/>
  <c r="U46" i="10"/>
  <c r="U50" i="10" s="1"/>
  <c r="R94" i="5"/>
  <c r="R96" i="5" s="1"/>
  <c r="S21" i="10"/>
  <c r="U21" i="10" s="1"/>
  <c r="AA21" i="10" s="1"/>
  <c r="AC21" i="10" s="1"/>
  <c r="O190" i="5"/>
  <c r="S28" i="10" s="1"/>
  <c r="R393" i="5"/>
  <c r="R76" i="5"/>
  <c r="O200" i="5"/>
  <c r="O206" i="5" s="1"/>
  <c r="T187" i="5"/>
  <c r="M35" i="5" l="1"/>
  <c r="O35" i="5" s="1"/>
  <c r="T35" i="5" s="1"/>
  <c r="M54" i="5"/>
  <c r="O54" i="5" s="1"/>
  <c r="M19" i="5"/>
  <c r="O19" i="5" s="1"/>
  <c r="M58" i="5"/>
  <c r="O58" i="5" s="1"/>
  <c r="T58" i="5" s="1"/>
  <c r="M37" i="5"/>
  <c r="O37" i="5" s="1"/>
  <c r="T37" i="5" s="1"/>
  <c r="M33" i="5"/>
  <c r="O33" i="5" s="1"/>
  <c r="M55" i="5"/>
  <c r="O55" i="5" s="1"/>
  <c r="T55" i="5" s="1"/>
  <c r="M59" i="5"/>
  <c r="O59" i="5" s="1"/>
  <c r="O67" i="5" s="1"/>
  <c r="S16" i="10" s="1"/>
  <c r="U16" i="10" s="1"/>
  <c r="AA16" i="10" s="1"/>
  <c r="AC16" i="10" s="1"/>
  <c r="S23" i="10"/>
  <c r="U20" i="10"/>
  <c r="M34" i="5"/>
  <c r="O34" i="5" s="1"/>
  <c r="T34" i="5" s="1"/>
  <c r="AA25" i="10"/>
  <c r="U27" i="10"/>
  <c r="U28" i="10"/>
  <c r="M18" i="5"/>
  <c r="O18" i="5" s="1"/>
  <c r="T18" i="5" s="1"/>
  <c r="M15" i="5"/>
  <c r="O15" i="5" s="1"/>
  <c r="T15" i="5" s="1"/>
  <c r="R177" i="5"/>
  <c r="R179" i="5" s="1"/>
  <c r="S29" i="10"/>
  <c r="U29" i="10" s="1"/>
  <c r="AA29" i="10" s="1"/>
  <c r="AC29" i="10" s="1"/>
  <c r="M38" i="5"/>
  <c r="O38" i="5" s="1"/>
  <c r="T38" i="5" s="1"/>
  <c r="M56" i="5"/>
  <c r="O56" i="5" s="1"/>
  <c r="T56" i="5" s="1"/>
  <c r="M16" i="5"/>
  <c r="O16" i="5" s="1"/>
  <c r="T16" i="5" s="1"/>
  <c r="AC45" i="10"/>
  <c r="AA46" i="10"/>
  <c r="U29" i="9"/>
  <c r="O14" i="5"/>
  <c r="T14" i="5" s="1"/>
  <c r="T54" i="5"/>
  <c r="T33" i="5" l="1"/>
  <c r="S30" i="10"/>
  <c r="U23" i="10"/>
  <c r="U38" i="10"/>
  <c r="U39" i="10" s="1"/>
  <c r="AA20" i="10"/>
  <c r="S38" i="10"/>
  <c r="S39" i="10" s="1"/>
  <c r="AA28" i="10"/>
  <c r="U30" i="10"/>
  <c r="T59" i="5"/>
  <c r="AA50" i="10"/>
  <c r="AC50" i="10" s="1"/>
  <c r="AC46" i="10"/>
  <c r="AA27" i="10"/>
  <c r="AC27" i="10" s="1"/>
  <c r="AC25" i="10"/>
  <c r="V29" i="9"/>
  <c r="U31" i="9"/>
  <c r="O46" i="5"/>
  <c r="O27" i="5"/>
  <c r="S15" i="10" l="1"/>
  <c r="S18" i="10" s="1"/>
  <c r="R14" i="5"/>
  <c r="R16" i="5" s="1"/>
  <c r="AA23" i="10"/>
  <c r="AC23" i="10" s="1"/>
  <c r="AA38" i="10"/>
  <c r="AC20" i="10"/>
  <c r="AC28" i="10"/>
  <c r="AA30" i="10"/>
  <c r="AC30" i="10" s="1"/>
  <c r="O496" i="5"/>
  <c r="Q496" i="5" s="1"/>
  <c r="E31" i="9"/>
  <c r="E12" i="9"/>
  <c r="E22" i="9"/>
  <c r="E29" i="9"/>
  <c r="E15" i="9"/>
  <c r="E23" i="9"/>
  <c r="E30" i="9"/>
  <c r="E11" i="9"/>
  <c r="E14" i="9"/>
  <c r="E19" i="9"/>
  <c r="E26" i="9"/>
  <c r="E27" i="9"/>
  <c r="E25" i="9"/>
  <c r="E10" i="9"/>
  <c r="E20" i="9"/>
  <c r="E24" i="9"/>
  <c r="E13" i="9"/>
  <c r="E18" i="9"/>
  <c r="E21" i="9"/>
  <c r="E28" i="9"/>
  <c r="V31" i="9"/>
  <c r="E16" i="9"/>
  <c r="M27" i="9"/>
  <c r="M12" i="9"/>
  <c r="M26" i="9"/>
  <c r="M17" i="9"/>
  <c r="M18" i="9"/>
  <c r="M24" i="9"/>
  <c r="M16" i="9"/>
  <c r="M15" i="9"/>
  <c r="M10" i="9"/>
  <c r="M28" i="9"/>
  <c r="M13" i="9"/>
  <c r="M20" i="9"/>
  <c r="M31" i="9"/>
  <c r="M25" i="9"/>
  <c r="M11" i="9"/>
  <c r="M30" i="9"/>
  <c r="M22" i="9"/>
  <c r="M21" i="9"/>
  <c r="M29" i="9"/>
  <c r="M23" i="9"/>
  <c r="M14" i="9"/>
  <c r="U15" i="10" l="1"/>
  <c r="AA15" i="10" s="1"/>
  <c r="AC38" i="10"/>
  <c r="AA39" i="10"/>
  <c r="AC39" i="10" s="1"/>
  <c r="S51" i="10"/>
  <c r="R75" i="5" s="1"/>
  <c r="S52" i="10"/>
  <c r="O30" i="9"/>
  <c r="Q30" i="9"/>
  <c r="O15" i="9"/>
  <c r="Q15" i="9"/>
  <c r="V36" i="9"/>
  <c r="O17" i="9"/>
  <c r="Q17" i="9"/>
  <c r="G18" i="9"/>
  <c r="I18" i="9"/>
  <c r="I19" i="9"/>
  <c r="V35" i="9"/>
  <c r="G19" i="9"/>
  <c r="G23" i="9"/>
  <c r="I23" i="9"/>
  <c r="O29" i="9"/>
  <c r="Q29" i="9"/>
  <c r="O13" i="9"/>
  <c r="Q13" i="9"/>
  <c r="Q26" i="9"/>
  <c r="O26" i="9"/>
  <c r="I13" i="9"/>
  <c r="G13" i="9"/>
  <c r="I25" i="9"/>
  <c r="G25" i="9"/>
  <c r="G14" i="9"/>
  <c r="I14" i="9"/>
  <c r="G15" i="9"/>
  <c r="I15" i="9"/>
  <c r="G31" i="9"/>
  <c r="I31" i="9"/>
  <c r="Q21" i="9"/>
  <c r="O21" i="9"/>
  <c r="O25" i="9"/>
  <c r="Q25" i="9"/>
  <c r="O28" i="9"/>
  <c r="Q28" i="9"/>
  <c r="Q24" i="9"/>
  <c r="O24" i="9"/>
  <c r="O12" i="9"/>
  <c r="Q12" i="9"/>
  <c r="G28" i="9"/>
  <c r="I28" i="9"/>
  <c r="I24" i="9"/>
  <c r="G24" i="9"/>
  <c r="I27" i="9"/>
  <c r="G27" i="9"/>
  <c r="I11" i="9"/>
  <c r="G11" i="9"/>
  <c r="G29" i="9"/>
  <c r="I29" i="9"/>
  <c r="O23" i="9"/>
  <c r="Q23" i="9"/>
  <c r="Q20" i="9"/>
  <c r="O20" i="9"/>
  <c r="I16" i="9"/>
  <c r="G16" i="9"/>
  <c r="G10" i="9"/>
  <c r="I10" i="9"/>
  <c r="I12" i="9"/>
  <c r="G12" i="9"/>
  <c r="O11" i="9"/>
  <c r="Q11" i="9"/>
  <c r="O16" i="9"/>
  <c r="Q16" i="9"/>
  <c r="Q14" i="9"/>
  <c r="O14" i="9"/>
  <c r="O22" i="9"/>
  <c r="Q22" i="9"/>
  <c r="Q31" i="9"/>
  <c r="O31" i="9"/>
  <c r="O10" i="9"/>
  <c r="Q10" i="9"/>
  <c r="V37" i="9"/>
  <c r="Q18" i="9"/>
  <c r="O18" i="9"/>
  <c r="O27" i="9"/>
  <c r="Q27" i="9"/>
  <c r="I21" i="9"/>
  <c r="G21" i="9"/>
  <c r="G20" i="9"/>
  <c r="I20" i="9"/>
  <c r="I26" i="9"/>
  <c r="G26" i="9"/>
  <c r="I30" i="9"/>
  <c r="G30" i="9"/>
  <c r="G22" i="9"/>
  <c r="I22" i="9"/>
  <c r="U18" i="10" l="1"/>
  <c r="U51" i="10" s="1"/>
  <c r="R164" i="5"/>
  <c r="R392" i="5"/>
  <c r="AA18" i="10"/>
  <c r="AA51" i="10" s="1"/>
  <c r="AC15" i="10"/>
  <c r="W35" i="9"/>
  <c r="Z35" i="9"/>
  <c r="X35" i="9"/>
  <c r="W37" i="9"/>
  <c r="Z37" i="9"/>
  <c r="X37" i="9"/>
  <c r="X36" i="9"/>
  <c r="W36" i="9"/>
  <c r="Z36" i="9"/>
  <c r="U52" i="10" l="1"/>
  <c r="AC51" i="10"/>
  <c r="AA52" i="10"/>
  <c r="AC52" i="10" s="1"/>
  <c r="AC18" i="10"/>
</calcChain>
</file>

<file path=xl/sharedStrings.xml><?xml version="1.0" encoding="utf-8"?>
<sst xmlns="http://schemas.openxmlformats.org/spreadsheetml/2006/main" count="1157" uniqueCount="555">
  <si>
    <t>Rocky Mountain Power - State of Utah</t>
  </si>
  <si>
    <t>Forecasted</t>
  </si>
  <si>
    <t>GRC</t>
  </si>
  <si>
    <t>Revenue</t>
  </si>
  <si>
    <t>Units</t>
  </si>
  <si>
    <t>Price</t>
  </si>
  <si>
    <t>Dollars</t>
  </si>
  <si>
    <t>Schedule No. 1- Residential Service</t>
  </si>
  <si>
    <t xml:space="preserve">  Customer Charge</t>
  </si>
  <si>
    <t xml:space="preserve">  Customer Charge - 1 Phase</t>
  </si>
  <si>
    <t xml:space="preserve">  Customer Charge - 3 Phase</t>
  </si>
  <si>
    <t xml:space="preserve">  First 400 kWh (May-Sept)</t>
  </si>
  <si>
    <t>¢</t>
  </si>
  <si>
    <t>Res 1, 2, 3</t>
  </si>
  <si>
    <t xml:space="preserve">  Next 600 kWh (May-Sept)</t>
  </si>
  <si>
    <t>In Rate</t>
  </si>
  <si>
    <t xml:space="preserve">  All add'l kWh (May-Sept)</t>
  </si>
  <si>
    <t>Target</t>
  </si>
  <si>
    <t xml:space="preserve">  All kWh (Oct-Apr)</t>
  </si>
  <si>
    <t>D</t>
  </si>
  <si>
    <t xml:space="preserve">  Minimum 1 Phase</t>
  </si>
  <si>
    <t xml:space="preserve">  Minimum 3 Phase</t>
  </si>
  <si>
    <t>Target Change</t>
  </si>
  <si>
    <t xml:space="preserve">  Minimum Seasonal</t>
  </si>
  <si>
    <t xml:space="preserve">  kWh in Minimum</t>
  </si>
  <si>
    <t xml:space="preserve">  Unbilled</t>
  </si>
  <si>
    <t xml:space="preserve">  Total</t>
  </si>
  <si>
    <t>Adj</t>
  </si>
  <si>
    <t>Schedule No. 3- Residential Service</t>
  </si>
  <si>
    <t>Schedule No. 2 - Residential Service Optional Time-of-Day</t>
  </si>
  <si>
    <t xml:space="preserve">  On-Peak kWh (May - Sept)</t>
  </si>
  <si>
    <t xml:space="preserve">  Off-Peak kWh (May - Sept)</t>
  </si>
  <si>
    <t xml:space="preserve">  All kWh</t>
  </si>
  <si>
    <t xml:space="preserve">  kW over 15 (May - Sept)</t>
  </si>
  <si>
    <t xml:space="preserve">  kW over 15 (Oct - Apr)</t>
  </si>
  <si>
    <t xml:space="preserve">  Voltage Discount</t>
  </si>
  <si>
    <t xml:space="preserve">  First 1,500 kWh (May - Sept)</t>
  </si>
  <si>
    <t xml:space="preserve">  All Add'l kWh (May - Sept)</t>
  </si>
  <si>
    <t xml:space="preserve">  First 1,500 kWh (Oct - Apr)</t>
  </si>
  <si>
    <t xml:space="preserve">  All Add'l kWh (Oct - Apr)</t>
  </si>
  <si>
    <t xml:space="preserve">  Seasonal Service</t>
  </si>
  <si>
    <t xml:space="preserve">  All kW (May - Sept)</t>
  </si>
  <si>
    <t xml:space="preserve">  All kW (Oct - Apr)</t>
  </si>
  <si>
    <t xml:space="preserve">      kWh (May-Sept)</t>
  </si>
  <si>
    <t xml:space="preserve">      kWh (Oct-Apr)</t>
  </si>
  <si>
    <t>Schedule No. 6 - Composite</t>
  </si>
  <si>
    <t xml:space="preserve">      kWh (May - Sept)</t>
  </si>
  <si>
    <t xml:space="preserve">      kWh (Oct - Apr)</t>
  </si>
  <si>
    <t>Table A Actual</t>
  </si>
  <si>
    <t>Table A RR</t>
  </si>
  <si>
    <t xml:space="preserve">  All On-peak kW (May - Sept)</t>
  </si>
  <si>
    <t xml:space="preserve">  All On-peak kW (Oct - Apr)</t>
  </si>
  <si>
    <t>Schedule No. 6A - Energy Time-of-Day Option - Composite</t>
  </si>
  <si>
    <t xml:space="preserve">  Facilities kW (May - Sept)</t>
  </si>
  <si>
    <t xml:space="preserve">  Facilities kW (Oct - Apr)</t>
  </si>
  <si>
    <t xml:space="preserve">  On-Peak kWh (Oct - Apr)</t>
  </si>
  <si>
    <t xml:space="preserve">  Off-Peak kWh (Oct - Apr)</t>
  </si>
  <si>
    <t>Schedule No. 7 - Security Area Lighting</t>
  </si>
  <si>
    <t xml:space="preserve">  MERCURY VAPOR LAMPS</t>
  </si>
  <si>
    <t xml:space="preserve">   4,000 Lumen Energy Only</t>
  </si>
  <si>
    <t xml:space="preserve">   7,000 Lumen</t>
  </si>
  <si>
    <t xml:space="preserve">   7,000 Lumen Energy Only</t>
  </si>
  <si>
    <t xml:space="preserve">   20,000 Lumen</t>
  </si>
  <si>
    <t xml:space="preserve">  SODIUM VAPOR LAMPS</t>
  </si>
  <si>
    <t xml:space="preserve">   5,600 Lumen New Pole</t>
  </si>
  <si>
    <t xml:space="preserve">   5,600 Lumen No New Pole</t>
  </si>
  <si>
    <t xml:space="preserve">   9,500 Lumen New Pole</t>
  </si>
  <si>
    <t xml:space="preserve">   9,500 Lumen No New Pole</t>
  </si>
  <si>
    <t xml:space="preserve">   16,000 Lumen New Pole</t>
  </si>
  <si>
    <t xml:space="preserve">   16,000 Lumen No New Pole</t>
  </si>
  <si>
    <t xml:space="preserve">   22,000 Lumen</t>
  </si>
  <si>
    <t xml:space="preserve">   27,500 Lumen New Pole</t>
  </si>
  <si>
    <t xml:space="preserve">   27,500 Lumen No New Pole</t>
  </si>
  <si>
    <t xml:space="preserve">   50,000 Lumen New Pole</t>
  </si>
  <si>
    <t xml:space="preserve">   50,000 Lumen No New Pole</t>
  </si>
  <si>
    <t xml:space="preserve">  SODIUM VAPOR FLOOD LAMPS </t>
  </si>
  <si>
    <t xml:space="preserve">  METAL HALIDE LAMPS</t>
  </si>
  <si>
    <t xml:space="preserve">   12,000 Lumen New Pole</t>
  </si>
  <si>
    <t xml:space="preserve">   12,000 Lumen No New Pole</t>
  </si>
  <si>
    <t xml:space="preserve">   19,500 Lumen New Pole</t>
  </si>
  <si>
    <t xml:space="preserve">   19,500 Lumen No New Pole</t>
  </si>
  <si>
    <t xml:space="preserve">   32,000 Lumen New Pole</t>
  </si>
  <si>
    <t xml:space="preserve">   32,000 Lumen No New Pole</t>
  </si>
  <si>
    <t xml:space="preserve">  107,000 Lumen New Pole</t>
  </si>
  <si>
    <t xml:space="preserve">  107,000 Lumen No New Pole</t>
  </si>
  <si>
    <t>Subtotal</t>
  </si>
  <si>
    <t xml:space="preserve">  kWh Included</t>
  </si>
  <si>
    <t>Unbilled</t>
  </si>
  <si>
    <t>Customers</t>
  </si>
  <si>
    <t>Total (kWh)</t>
  </si>
  <si>
    <t>Schedule No. 8 - Composite</t>
  </si>
  <si>
    <t xml:space="preserve">  Facilities kW</t>
  </si>
  <si>
    <t xml:space="preserve">  On-Peak kW (May - Sept)</t>
  </si>
  <si>
    <t xml:space="preserve">  On-Peak kW (Oct - Apr)</t>
  </si>
  <si>
    <t xml:space="preserve">  Off-Peak kWh</t>
  </si>
  <si>
    <t>Schedule No. 9 - Composite</t>
  </si>
  <si>
    <t xml:space="preserve">  On-Peak kWh (May-Sept)</t>
  </si>
  <si>
    <t xml:space="preserve">  On-Peak kWh (Oct-Apr)</t>
  </si>
  <si>
    <t xml:space="preserve">  Facilities Charge per kW</t>
  </si>
  <si>
    <t xml:space="preserve">  On-Peak kWh</t>
  </si>
  <si>
    <t>Schedule No. 10 - Irrigation</t>
  </si>
  <si>
    <t xml:space="preserve">  Annual Cust. Serv. Chg. - Primary</t>
  </si>
  <si>
    <t xml:space="preserve">  Annual Cust. Serv. Chg. - Secondary</t>
  </si>
  <si>
    <t xml:space="preserve">  Monthly Cust. Serv. Chg.</t>
  </si>
  <si>
    <t xml:space="preserve">  All On-Season kW</t>
  </si>
  <si>
    <t xml:space="preserve">  First 30,000 kWh</t>
  </si>
  <si>
    <t xml:space="preserve">  All add'l kWh</t>
  </si>
  <si>
    <t>Total On Season</t>
  </si>
  <si>
    <t xml:space="preserve">  Post Season</t>
  </si>
  <si>
    <t xml:space="preserve">   Customers</t>
  </si>
  <si>
    <t xml:space="preserve">   kWh</t>
  </si>
  <si>
    <t>Total Post Season</t>
  </si>
  <si>
    <t>TOTAL RATE 10</t>
  </si>
  <si>
    <t>Schedule No. 10-TOD</t>
  </si>
  <si>
    <t xml:space="preserve">   Monthly Cust. Serv. Chg.</t>
  </si>
  <si>
    <t xml:space="preserve">  Voltage Discount kW</t>
  </si>
  <si>
    <t>TOTAL RATE 10-TOD</t>
  </si>
  <si>
    <t>Schedule No. 11 - Street Lighting - Company-Owned System</t>
  </si>
  <si>
    <t xml:space="preserve">  Sodium Vapor Lamps</t>
  </si>
  <si>
    <t xml:space="preserve">   5,600 Lumen - Functional</t>
  </si>
  <si>
    <t xml:space="preserve">   9,500 Lumen - Functional</t>
  </si>
  <si>
    <t xml:space="preserve">   9,500 Lumen - Functional @ 90%</t>
  </si>
  <si>
    <t xml:space="preserve">   9,500 Lumen - S1</t>
  </si>
  <si>
    <t xml:space="preserve">   9,500 Lumen - S2</t>
  </si>
  <si>
    <t xml:space="preserve">   16,000 Lumen - Functional</t>
  </si>
  <si>
    <t xml:space="preserve">   16,000 Lumen - Functional @ 90%</t>
  </si>
  <si>
    <t xml:space="preserve">   16,000 Lumen - S1</t>
  </si>
  <si>
    <t xml:space="preserve">   16,000 Lumen - S2</t>
  </si>
  <si>
    <t xml:space="preserve">   27,500 Lumen - Functional</t>
  </si>
  <si>
    <t xml:space="preserve">   27,500 Lumen - Functional @ 90%</t>
  </si>
  <si>
    <t xml:space="preserve">   27,500 Lumen - S1</t>
  </si>
  <si>
    <t xml:space="preserve">   27,500 Lumen - S2</t>
  </si>
  <si>
    <t xml:space="preserve">   50,000 Lumen - Functional</t>
  </si>
  <si>
    <t xml:space="preserve">   125,000 Lumen</t>
  </si>
  <si>
    <t xml:space="preserve">  Metal Halide Lamps</t>
  </si>
  <si>
    <t xml:space="preserve">   9,000 Lumen - S1</t>
  </si>
  <si>
    <t xml:space="preserve">   9,000 Lumen - S2</t>
  </si>
  <si>
    <t xml:space="preserve">   12,000 Lumen - Functional</t>
  </si>
  <si>
    <t xml:space="preserve">   12,000 Lumen - S1</t>
  </si>
  <si>
    <t xml:space="preserve">   12,000 Lumen - S2</t>
  </si>
  <si>
    <t xml:space="preserve">   19,500 Lumen - Functional</t>
  </si>
  <si>
    <t xml:space="preserve">   19,500 Lumen - S1</t>
  </si>
  <si>
    <t xml:space="preserve">   19,500 Lumen - S2</t>
  </si>
  <si>
    <t xml:space="preserve">   32,000 Lumen - Functional</t>
  </si>
  <si>
    <t xml:space="preserve">   32,000 Lumen - S1</t>
  </si>
  <si>
    <t xml:space="preserve">   32,000 Lumen - S2</t>
  </si>
  <si>
    <t xml:space="preserve">   4,000 Lumen</t>
  </si>
  <si>
    <t xml:space="preserve">   10,000 Lumen</t>
  </si>
  <si>
    <t xml:space="preserve">   10,000 Lumen @ 90%</t>
  </si>
  <si>
    <t xml:space="preserve">   500 Lumen</t>
  </si>
  <si>
    <t xml:space="preserve">   600 Lumen</t>
  </si>
  <si>
    <t xml:space="preserve">   2,500 Lumen</t>
  </si>
  <si>
    <t xml:space="preserve">   6,000 Lumen</t>
  </si>
  <si>
    <t xml:space="preserve">   21,000 Lumen</t>
  </si>
  <si>
    <t xml:space="preserve">  Special Service (No New Service)</t>
  </si>
  <si>
    <t xml:space="preserve">   50,000 Lumen - Flood</t>
  </si>
  <si>
    <t xml:space="preserve">  Subtotal </t>
  </si>
  <si>
    <t>Total</t>
  </si>
  <si>
    <t>Schedule No. 12 - Street Lighting - Customer-Owned System</t>
  </si>
  <si>
    <t xml:space="preserve">  1. Energy Only, No Maintenance</t>
  </si>
  <si>
    <t xml:space="preserve">  High Pressures Sodium Vapor Lamps</t>
  </si>
  <si>
    <t xml:space="preserve">   5,600 Lumen</t>
  </si>
  <si>
    <t xml:space="preserve">   9,500 Lumen</t>
  </si>
  <si>
    <t xml:space="preserve">   16,000 Lumen</t>
  </si>
  <si>
    <t xml:space="preserve">   27,500 Lumen</t>
  </si>
  <si>
    <t xml:space="preserve">   50,000 Lumen</t>
  </si>
  <si>
    <t xml:space="preserve">   9,000 Lumen</t>
  </si>
  <si>
    <t xml:space="preserve">   12,000 Lumen</t>
  </si>
  <si>
    <t xml:space="preserve">   19,500 Lumen</t>
  </si>
  <si>
    <t xml:space="preserve">   32,000 Lumen</t>
  </si>
  <si>
    <t xml:space="preserve">  Non-listed Luminaries kWh</t>
  </si>
  <si>
    <t>Subtotal kWh</t>
  </si>
  <si>
    <t>2a - Partial Maintenance (No New Service)</t>
  </si>
  <si>
    <t xml:space="preserve">  Incandescent Lamps</t>
  </si>
  <si>
    <t xml:space="preserve">   2,500 Lumen or Less</t>
  </si>
  <si>
    <t xml:space="preserve">   2,500 Lumen or Less @ 85%</t>
  </si>
  <si>
    <t xml:space="preserve">  Mercury Vapor Lamps</t>
  </si>
  <si>
    <t xml:space="preserve">   54,000 Lumen</t>
  </si>
  <si>
    <t xml:space="preserve">  High Pressure Sodium Vapor Lamps</t>
  </si>
  <si>
    <t xml:space="preserve">   9,500 Lumen @ 85%</t>
  </si>
  <si>
    <t xml:space="preserve">   9,500 Lumen - Decorative</t>
  </si>
  <si>
    <t xml:space="preserve">   16,000 Lumen @ 85%</t>
  </si>
  <si>
    <t xml:space="preserve">   16,000 Lumen - Decorative</t>
  </si>
  <si>
    <t xml:space="preserve">   22,000 Lumen </t>
  </si>
  <si>
    <t xml:space="preserve">   27,500 Lumen @ 85%</t>
  </si>
  <si>
    <t xml:space="preserve">   27,500 Lumen - Decorative</t>
  </si>
  <si>
    <t xml:space="preserve">   50,000 Lumen @ 85%</t>
  </si>
  <si>
    <t xml:space="preserve">   50,000 Lumen - Decorative</t>
  </si>
  <si>
    <t xml:space="preserve">   9,000 Lumen - Decorative</t>
  </si>
  <si>
    <t xml:space="preserve">   12,000 Lumen @ 85%</t>
  </si>
  <si>
    <t xml:space="preserve">   12,000 Lumen - Decorative</t>
  </si>
  <si>
    <t xml:space="preserve">   19,500 Lumen - Decorative</t>
  </si>
  <si>
    <t xml:space="preserve">   32,000 Lumen - Decorative</t>
  </si>
  <si>
    <t xml:space="preserve">  Fluorescent Lamps</t>
  </si>
  <si>
    <t xml:space="preserve">   1,000 Lumen</t>
  </si>
  <si>
    <t xml:space="preserve">   21,800 Lumen</t>
  </si>
  <si>
    <t>2b - Full Maintenance (No New Service)</t>
  </si>
  <si>
    <t xml:space="preserve">   9,500 Lumen @ 90%</t>
  </si>
  <si>
    <t xml:space="preserve">   16,000 Lumen @ 90%</t>
  </si>
  <si>
    <t xml:space="preserve">   50,000 Lumen @ 90%</t>
  </si>
  <si>
    <t xml:space="preserve">   107,000 Lumen </t>
  </si>
  <si>
    <t>kWh Street Lighting</t>
  </si>
  <si>
    <t>Schedule 15.1 - Metered Outdoor Nighttime Lighting</t>
  </si>
  <si>
    <t xml:space="preserve"> Annual Facility Charge</t>
  </si>
  <si>
    <t xml:space="preserve"> Annual Customer Charge</t>
  </si>
  <si>
    <t xml:space="preserve"> Annual Minimum Charge</t>
  </si>
  <si>
    <t xml:space="preserve"> Monthly Customer Charge</t>
  </si>
  <si>
    <t xml:space="preserve"> All kWh</t>
  </si>
  <si>
    <t xml:space="preserve"> Unbilled</t>
  </si>
  <si>
    <t>Schedule 15.2 - Traffic Signal Systems</t>
  </si>
  <si>
    <t xml:space="preserve"> Customer Charge</t>
  </si>
  <si>
    <t>Schedule No. 21 - Electric Furnace Operations - Limited Service - Industrial</t>
  </si>
  <si>
    <t xml:space="preserve"> Primary Voltage</t>
  </si>
  <si>
    <t xml:space="preserve">  Charge per kW (Facilities)</t>
  </si>
  <si>
    <t xml:space="preserve">  First 100,000 kWh</t>
  </si>
  <si>
    <t xml:space="preserve">  Subtotal</t>
  </si>
  <si>
    <t xml:space="preserve"> 44KV or Higher</t>
  </si>
  <si>
    <t>Schedule No. 23 - Distribution Voltage - Small Customer - Composite</t>
  </si>
  <si>
    <t>Secondary Voltage</t>
  </si>
  <si>
    <t xml:space="preserve">     Customer Charge per month</t>
  </si>
  <si>
    <t xml:space="preserve">     Facilities Charge, per kW month</t>
  </si>
  <si>
    <t xml:space="preserve">     Back-up Power Charge</t>
  </si>
  <si>
    <t xml:space="preserve">         Regular, per On-Peak kW day</t>
  </si>
  <si>
    <t xml:space="preserve">         Maintenance, per On-Peak kW day</t>
  </si>
  <si>
    <t xml:space="preserve">     Excess Power, per kW month</t>
  </si>
  <si>
    <t>Primary Voltage</t>
  </si>
  <si>
    <t>Transmission Voltage</t>
  </si>
  <si>
    <t>Supplemental billed at Schedule 6/8/9 rate</t>
  </si>
  <si>
    <t xml:space="preserve">  Schedule 8</t>
  </si>
  <si>
    <t xml:space="preserve">  Schedule 9</t>
  </si>
  <si>
    <t xml:space="preserve">  Total (Aggregated)</t>
  </si>
  <si>
    <t xml:space="preserve">  kW High Load Hours</t>
  </si>
  <si>
    <t xml:space="preserve">  kWh High Load Hours</t>
  </si>
  <si>
    <t xml:space="preserve">  kWh Low Load Hours</t>
  </si>
  <si>
    <t xml:space="preserve">  kW Back-Up</t>
  </si>
  <si>
    <t xml:space="preserve">  Excess Power, per kW month</t>
  </si>
  <si>
    <t xml:space="preserve">  kW Supplemental</t>
  </si>
  <si>
    <t xml:space="preserve">      On-Peak kW (May - Sept)</t>
  </si>
  <si>
    <t xml:space="preserve">      On-Peak kW (Oct - Apr)</t>
  </si>
  <si>
    <t xml:space="preserve">  kWh Supplemental</t>
  </si>
  <si>
    <t xml:space="preserve">      On-Peak kWh (May-Sept)</t>
  </si>
  <si>
    <t xml:space="preserve">      On-Peak kWh (Oct-Apr)</t>
  </si>
  <si>
    <t xml:space="preserve">      Off-Peak kWh</t>
  </si>
  <si>
    <t xml:space="preserve">  Total </t>
  </si>
  <si>
    <t>Rate No. 77 - Security Lighting, 08THIK0077</t>
  </si>
  <si>
    <t xml:space="preserve">  Customer</t>
  </si>
  <si>
    <t xml:space="preserve">  20,000 Mercury Vapor</t>
  </si>
  <si>
    <t>Lighting Contract - Post Top Lighting - 08PTLD000N/08PTLD000R</t>
  </si>
  <si>
    <t>Energy Only Res</t>
  </si>
  <si>
    <t>Energy Only Non-Res</t>
  </si>
  <si>
    <t xml:space="preserve">  KWH Included</t>
  </si>
  <si>
    <t>Annual Guarantee Adjustment</t>
  </si>
  <si>
    <t xml:space="preserve"> Residential</t>
  </si>
  <si>
    <t xml:space="preserve"> Commercial</t>
  </si>
  <si>
    <t xml:space="preserve"> Industrial</t>
  </si>
  <si>
    <t xml:space="preserve"> Irrigation</t>
  </si>
  <si>
    <t xml:space="preserve"> Public Street &amp; Highway Lighting</t>
  </si>
  <si>
    <t xml:space="preserve"> Other Sales Public Authorities</t>
  </si>
  <si>
    <t xml:space="preserve">  Total AGA</t>
  </si>
  <si>
    <t>TOTAL - ALL CLASSES</t>
  </si>
  <si>
    <t>Rocky Mountain Power</t>
  </si>
  <si>
    <t>on Revenues from Electric Sales to Ultimate Consumers in Utah</t>
  </si>
  <si>
    <t>Line</t>
  </si>
  <si>
    <t>Sch</t>
  </si>
  <si>
    <t>Change</t>
  </si>
  <si>
    <t>No.</t>
  </si>
  <si>
    <t>Description</t>
  </si>
  <si>
    <t>Forecast</t>
  </si>
  <si>
    <t>($000)</t>
  </si>
  <si>
    <t>Residential</t>
  </si>
  <si>
    <t>1,3</t>
  </si>
  <si>
    <t>Residential-Optional TOD</t>
  </si>
  <si>
    <t>AGA/Revenue Credit</t>
  </si>
  <si>
    <t>--</t>
  </si>
  <si>
    <t>Total Residential</t>
  </si>
  <si>
    <t>Commercial &amp; Industrial &amp; OSPA</t>
  </si>
  <si>
    <t>General Service-Distribution</t>
  </si>
  <si>
    <t>General Service-Distribution-Energy TOD</t>
  </si>
  <si>
    <t>6A</t>
  </si>
  <si>
    <t>General Service-Distribution-Demand TOD</t>
  </si>
  <si>
    <t>6B</t>
  </si>
  <si>
    <t>Subtotal Schedule 6</t>
  </si>
  <si>
    <t>General Service-Distribution &gt; 1,000 kW</t>
  </si>
  <si>
    <t>General Service-High Voltage</t>
  </si>
  <si>
    <t>General Service-High Voltage-Energy TOD</t>
  </si>
  <si>
    <t>9A</t>
  </si>
  <si>
    <t>Subtotal Schedule 9</t>
  </si>
  <si>
    <t>Irrigation</t>
  </si>
  <si>
    <t>Irrigation-Time of Day</t>
  </si>
  <si>
    <t>10TOD</t>
  </si>
  <si>
    <t>Subtotal Irrigation</t>
  </si>
  <si>
    <t>Electric Furnace</t>
  </si>
  <si>
    <t>General Service-Distribution-Small</t>
  </si>
  <si>
    <t>Back-up, Maintenance, &amp; Supplementary</t>
  </si>
  <si>
    <t>Contract 1</t>
  </si>
  <si>
    <t>Contract 2</t>
  </si>
  <si>
    <t>Contract 3</t>
  </si>
  <si>
    <t>Total Commercial &amp; Industrial &amp; OSPA</t>
  </si>
  <si>
    <t>Public Street Lighting</t>
  </si>
  <si>
    <t>Security Area Lighting</t>
  </si>
  <si>
    <t>Street Lighting - Company Owned</t>
  </si>
  <si>
    <t>Street Lighting - Customer Owned</t>
  </si>
  <si>
    <t>Metered Outdoor Lighting</t>
  </si>
  <si>
    <t>Traffic Signal Systems</t>
  </si>
  <si>
    <t>Subtotal Public Street Lighting</t>
  </si>
  <si>
    <t>Security Area Lighting-Contracts (PTL)</t>
  </si>
  <si>
    <t>Street Lighting-Contract (77)</t>
  </si>
  <si>
    <t>Total Public Street Lighting</t>
  </si>
  <si>
    <t>Total Sales to Ultimate Customers</t>
  </si>
  <si>
    <t>Present Rev</t>
  </si>
  <si>
    <t>Customer Class</t>
  </si>
  <si>
    <t>%</t>
  </si>
  <si>
    <t>Residential (Schs. 1, 2, 3)</t>
  </si>
  <si>
    <t>General Service (Schs. 6, 6A, 6B)</t>
  </si>
  <si>
    <t>General Service &gt; 1 MW (Sch. 8)</t>
  </si>
  <si>
    <t>Lighting (Schs. 7,11,12)</t>
  </si>
  <si>
    <t>General Service - High Voltage (Schs. 9, 9A)</t>
  </si>
  <si>
    <t>Irrigation (Schs. 10, 10 TOD)</t>
  </si>
  <si>
    <t>Metered Outdoor Lighting (Sch. 15)</t>
  </si>
  <si>
    <t>Traffic Signals (Sch. 15)</t>
  </si>
  <si>
    <t>Electric Furnace (Sch. 21)</t>
  </si>
  <si>
    <t>General Service - Small (Sch. 23)</t>
  </si>
  <si>
    <t>Back-Up, Maint., &amp; Suppl. Service (Sch. 31)</t>
  </si>
  <si>
    <t>Security Area Lighting Contracts (PTL)</t>
  </si>
  <si>
    <t>Street Lighting Contracts (77)</t>
  </si>
  <si>
    <t>Contract Customer 1</t>
  </si>
  <si>
    <t>Contract Customer 2</t>
  </si>
  <si>
    <t>Total Utah</t>
  </si>
  <si>
    <t>Total Utah (excl. Customer 1, 2, &amp; AGA)</t>
  </si>
  <si>
    <t>Rounding</t>
  </si>
  <si>
    <t>Sch 7, 11, 12,</t>
  </si>
  <si>
    <t>SCH 8/31</t>
  </si>
  <si>
    <t>* The actual change will be based on the terms of the contract.</t>
  </si>
  <si>
    <t>Contract Customer 3*</t>
  </si>
  <si>
    <t>Contract Customer 4*</t>
  </si>
  <si>
    <t>Proposed EBA</t>
  </si>
  <si>
    <t>EBA Revenue Spread Calculation</t>
  </si>
  <si>
    <t>Checking</t>
  </si>
  <si>
    <t>2011 GRC Settlement Exhibit A</t>
  </si>
  <si>
    <t>Present EBA</t>
  </si>
  <si>
    <t>Proposed EBA**</t>
  </si>
  <si>
    <t>Total EBA</t>
  </si>
  <si>
    <t>** Proposed $7.8 million collected over two years.</t>
  </si>
  <si>
    <t>Estimated Effect of Proposed Changes</t>
  </si>
  <si>
    <t>Step 2 - 9/1/2013</t>
  </si>
  <si>
    <t>Revenues</t>
  </si>
  <si>
    <t xml:space="preserve">  Total Customer</t>
  </si>
  <si>
    <t xml:space="preserve">      First 400 kWh (Oct-Apr)</t>
  </si>
  <si>
    <t xml:space="preserve">      All add'l kWh (Oct-Apr)</t>
  </si>
  <si>
    <t xml:space="preserve">      kWh in Minimum - Summer</t>
  </si>
  <si>
    <t xml:space="preserve">      kWh in Minimum - Winter</t>
  </si>
  <si>
    <t>Schedule No. 6B - Demand Time-of-Day Option - Composite</t>
  </si>
  <si>
    <t>Schedule No. 9A - Energy TOD - Composite</t>
  </si>
  <si>
    <t xml:space="preserve">  Sodium Vapor Lamps (HPS)</t>
  </si>
  <si>
    <t xml:space="preserve">  Metal Halide Lamps (MH)</t>
  </si>
  <si>
    <t xml:space="preserve">  Mercury Vapor Lamps (No New Service) (MV)</t>
  </si>
  <si>
    <t xml:space="preserve">  Incandescent Lamps (No New Service) (INC)</t>
  </si>
  <si>
    <t xml:space="preserve">  Fluorescent Lamps (No New Service) (FLOUR)</t>
  </si>
  <si>
    <t>Customer</t>
  </si>
  <si>
    <t>Schedule No.31 - Back-Up, Maintenance, and Supplementary Power - Composite</t>
  </si>
  <si>
    <t xml:space="preserve">  Interruptible kWh</t>
  </si>
  <si>
    <t>Contract 3 - Composite</t>
  </si>
  <si>
    <t xml:space="preserve">  Facilities Charge per kW - Back-Up</t>
  </si>
  <si>
    <t>Base Period 12 Months Ending June 2011</t>
  </si>
  <si>
    <t>Forecast Test Period 12 Months Ending May 2013</t>
  </si>
  <si>
    <t xml:space="preserve">Present </t>
  </si>
  <si>
    <t>GRC Step 2</t>
  </si>
  <si>
    <t>EBA-2013</t>
  </si>
  <si>
    <t>Settlement</t>
  </si>
  <si>
    <t>EBA-1</t>
  </si>
  <si>
    <t>EBA-2</t>
  </si>
  <si>
    <t>EBA-Total</t>
  </si>
  <si>
    <t>Sch 6, 6B</t>
  </si>
  <si>
    <t>Sch9/31/Contract3</t>
  </si>
  <si>
    <t>Rate Spread</t>
  </si>
  <si>
    <t>Blocking Based on Adjusted Actual and Forecasted Loads</t>
  </si>
  <si>
    <t>Cost Of Service By Rate Schedule</t>
  </si>
  <si>
    <t>State of Utah</t>
  </si>
  <si>
    <t>2010 Protocol (Non Wgt)</t>
  </si>
  <si>
    <t>12 Months Ended May 2013</t>
  </si>
  <si>
    <t>Exhibit A1</t>
  </si>
  <si>
    <t>Page 3 of 3</t>
  </si>
  <si>
    <t>Utah Allocation Based on Scalar Method from Docket 10-035-124</t>
  </si>
  <si>
    <t>Utah</t>
  </si>
  <si>
    <t>General</t>
  </si>
  <si>
    <t>Street &amp; Area</t>
  </si>
  <si>
    <t>Traffic</t>
  </si>
  <si>
    <t>Outdoor</t>
  </si>
  <si>
    <t>FERC</t>
  </si>
  <si>
    <t>COS</t>
  </si>
  <si>
    <t>Jurisdiction</t>
  </si>
  <si>
    <t>Large Dist.</t>
  </si>
  <si>
    <t>+1 MW</t>
  </si>
  <si>
    <t>Lighting</t>
  </si>
  <si>
    <t>Trans</t>
  </si>
  <si>
    <t>Signals</t>
  </si>
  <si>
    <t>Small Dist.</t>
  </si>
  <si>
    <t>Industrial</t>
  </si>
  <si>
    <t>ACCT</t>
  </si>
  <si>
    <t xml:space="preserve">DESCRIPTION </t>
  </si>
  <si>
    <t>Factor</t>
  </si>
  <si>
    <t>Normalized</t>
  </si>
  <si>
    <t>Sch 1</t>
  </si>
  <si>
    <t>Sch 6</t>
  </si>
  <si>
    <t>Sch 8</t>
  </si>
  <si>
    <t>Sch. 7,11,12</t>
  </si>
  <si>
    <t>Sch 9</t>
  </si>
  <si>
    <t>Sch 10</t>
  </si>
  <si>
    <t>Sch 15</t>
  </si>
  <si>
    <t>Sch 23</t>
  </si>
  <si>
    <t>Cust 1</t>
  </si>
  <si>
    <t>Cust 2</t>
  </si>
  <si>
    <t>447</t>
  </si>
  <si>
    <t>Sales for Resale</t>
  </si>
  <si>
    <t>Demand</t>
  </si>
  <si>
    <t>F10</t>
  </si>
  <si>
    <t>456</t>
  </si>
  <si>
    <t>Other Electric Revenue</t>
  </si>
  <si>
    <t>Energy</t>
  </si>
  <si>
    <t>F30</t>
  </si>
  <si>
    <t>501</t>
  </si>
  <si>
    <t>Fuel Related</t>
  </si>
  <si>
    <t>Cholla</t>
  </si>
  <si>
    <t>503</t>
  </si>
  <si>
    <t>Steam From Other Sources</t>
  </si>
  <si>
    <t>547</t>
  </si>
  <si>
    <t>Fuel</t>
  </si>
  <si>
    <t>Simple Cycle Combustion Turbine</t>
  </si>
  <si>
    <t>555</t>
  </si>
  <si>
    <t>Purchased Power</t>
  </si>
  <si>
    <t>565</t>
  </si>
  <si>
    <t>Transm of Electricity by Others</t>
  </si>
  <si>
    <t>TOTAL EBA COSTS</t>
  </si>
  <si>
    <t xml:space="preserve">     Class % of NPC</t>
  </si>
  <si>
    <t xml:space="preserve">     Demand Related</t>
  </si>
  <si>
    <t xml:space="preserve">     Energy Related</t>
  </si>
  <si>
    <t>Coin Peak, Sys</t>
  </si>
  <si>
    <t>MWH @ Input</t>
  </si>
  <si>
    <t>NPC</t>
  </si>
  <si>
    <t>Allocator</t>
  </si>
  <si>
    <t>Total EBA Rev</t>
  </si>
  <si>
    <t>Total Sales to Ultimate Customers 
(excluding Contract 1, AGA)</t>
  </si>
  <si>
    <t>Total Commercial &amp; Industrial 
(excluding Contract 1, AGA)</t>
  </si>
  <si>
    <t>EBA 1</t>
  </si>
  <si>
    <t>EBA 2</t>
  </si>
  <si>
    <t>EBA 3</t>
  </si>
  <si>
    <t>% of Each EBA Excluding Contract 2</t>
  </si>
  <si>
    <t>Net Change</t>
  </si>
  <si>
    <t>(9)</t>
  </si>
  <si>
    <t>% of EBA 2</t>
  </si>
  <si>
    <t>Monthly Billing Comparison</t>
  </si>
  <si>
    <t>Schedule 1 - State of Utah</t>
  </si>
  <si>
    <t>Residential Service</t>
  </si>
  <si>
    <t>Summer</t>
  </si>
  <si>
    <t>Winter</t>
  </si>
  <si>
    <r>
      <t>Monthly Billing</t>
    </r>
    <r>
      <rPr>
        <vertAlign val="superscript"/>
        <sz val="10"/>
        <rFont val="Times New Roman"/>
        <family val="1"/>
      </rPr>
      <t>1</t>
    </r>
  </si>
  <si>
    <t>kWh</t>
  </si>
  <si>
    <t>Present</t>
  </si>
  <si>
    <t>Proposed</t>
  </si>
  <si>
    <t>$</t>
  </si>
  <si>
    <t>Basic</t>
  </si>
  <si>
    <t>kWh1</t>
  </si>
  <si>
    <t>kWh2</t>
  </si>
  <si>
    <t>kWh3</t>
  </si>
  <si>
    <t>Minimum</t>
  </si>
  <si>
    <t>w</t>
  </si>
  <si>
    <t>HELP</t>
  </si>
  <si>
    <t>a</t>
  </si>
  <si>
    <t>DSM</t>
  </si>
  <si>
    <t>s</t>
  </si>
  <si>
    <t>Sch 195 Solar</t>
  </si>
  <si>
    <t>Sch 94 EBA</t>
  </si>
  <si>
    <t>Sch 98 REC</t>
  </si>
  <si>
    <t>Net (EBA+REC)</t>
  </si>
  <si>
    <r>
      <t>1</t>
    </r>
    <r>
      <rPr>
        <sz val="10"/>
        <rFont val="Times New Roman"/>
        <family val="1"/>
      </rPr>
      <t xml:space="preserve">  Including HELP, DSM, EBA, REC and SOLAR adjustments.</t>
    </r>
  </si>
  <si>
    <t>w: Winter average usage; a:  Annual average usage; s: Summer average usage.</t>
  </si>
  <si>
    <t>Monthly Average</t>
  </si>
  <si>
    <t xml:space="preserve">Proposed </t>
  </si>
  <si>
    <t>¢/kWh</t>
  </si>
  <si>
    <t>Annual</t>
  </si>
  <si>
    <t>Table  A</t>
  </si>
  <si>
    <t>Estimated Effect of Proposed EBA Changes</t>
  </si>
  <si>
    <t>No. of</t>
  </si>
  <si>
    <t>MWh</t>
  </si>
  <si>
    <t>Present Revenue ($000)</t>
  </si>
  <si>
    <t>Proposed Revenue ($000)</t>
  </si>
  <si>
    <t>Base</t>
  </si>
  <si>
    <t>Net</t>
  </si>
  <si>
    <t>EBA</t>
  </si>
  <si>
    <t>(%)</t>
  </si>
  <si>
    <t>Total Commercial &amp; Industrial 
(excluding Contracts 1, 2, AGA)</t>
  </si>
  <si>
    <t>Total Sales to Ultimate Customers 
(excluding Contracts 1, 2, AGA)</t>
  </si>
  <si>
    <t>Base Test Period 12 Months Ending June 2011</t>
  </si>
  <si>
    <t>EBA History</t>
  </si>
  <si>
    <t>Effective Date</t>
  </si>
  <si>
    <t>Docket No</t>
  </si>
  <si>
    <t>Recover Years</t>
  </si>
  <si>
    <t>12-035-67</t>
  </si>
  <si>
    <t>October through December 2011</t>
  </si>
  <si>
    <t>prior to October 2011</t>
  </si>
  <si>
    <t>10-035-124</t>
  </si>
  <si>
    <t>Total Deferral ($m)</t>
  </si>
  <si>
    <t>Amount/Year ($m)</t>
  </si>
  <si>
    <t>13-035-32, 13-035-T14</t>
  </si>
  <si>
    <t>January 2012 through December 2012</t>
  </si>
  <si>
    <t>Deferral Period</t>
  </si>
  <si>
    <t>Ending Date</t>
  </si>
  <si>
    <t>EBA-3</t>
  </si>
  <si>
    <t>EBA-2014</t>
  </si>
  <si>
    <t>EBA 4</t>
  </si>
  <si>
    <t xml:space="preserve">  Fixed Customer Charge</t>
  </si>
  <si>
    <t>GRC Actual</t>
  </si>
  <si>
    <t>Calendar Year 2013 EBA Deferral</t>
  </si>
  <si>
    <t>Actual EBAC ($/MWh)</t>
  </si>
  <si>
    <t>Base EBAC ($/MWh)</t>
  </si>
  <si>
    <t>$/MWh Differential</t>
  </si>
  <si>
    <t>Utah Load (MWh)</t>
  </si>
  <si>
    <t>Total Deferrable*</t>
  </si>
  <si>
    <t>EBA Deferral at 70% Sharing</t>
  </si>
  <si>
    <t>Additional FERC ER11-3643 Revenues</t>
  </si>
  <si>
    <t>Interest through Dec. 31, 2013</t>
  </si>
  <si>
    <t>Interest Jan. 1, 2014 through Oct. 31, 2014</t>
  </si>
  <si>
    <t>Requested EBA Recovery</t>
  </si>
  <si>
    <t>* Calculated monthly</t>
  </si>
  <si>
    <t>Utah Allocated Actual NPC</t>
  </si>
  <si>
    <t>npc</t>
  </si>
  <si>
    <t>Utah Allocated Base NPC</t>
  </si>
  <si>
    <t>wheeling</t>
  </si>
  <si>
    <t>NPC Variance</t>
  </si>
  <si>
    <t>actual sales</t>
  </si>
  <si>
    <t>Utah Allocated Actual Wheeling Revenue</t>
  </si>
  <si>
    <t>Utah Allocated Base Wheeling Revenue</t>
  </si>
  <si>
    <t>restated npc</t>
  </si>
  <si>
    <t>Wheeling Revenue Variance</t>
  </si>
  <si>
    <t>restated wheeling</t>
  </si>
  <si>
    <t>Actual Utah Sales (MWh)</t>
  </si>
  <si>
    <t>Base Utah Sales (MWh)</t>
  </si>
  <si>
    <t>Load Variance</t>
  </si>
  <si>
    <t>Base NPC Collection Variance</t>
  </si>
  <si>
    <t>Combined Impact on Total Deferrable EBAC</t>
  </si>
  <si>
    <t>Utah Allocated Base NPC - Docket No. 11-035-200</t>
  </si>
  <si>
    <t>Projected Utah Sales</t>
  </si>
  <si>
    <t>NPC $/MWh (Line 1 / Line 2)</t>
  </si>
  <si>
    <t>Sales Adjusted Base NPC (Line 3 x Line 4)</t>
  </si>
  <si>
    <t>NPC Variance (Line 6 - Line 5)</t>
  </si>
  <si>
    <t>Utah Allocated Base Wheeling Revenue - Docket No. 11-035-200</t>
  </si>
  <si>
    <t>Wheeling Revenue $/MWH (Line 8 / Line 9)</t>
  </si>
  <si>
    <t>Actual Utah Sales</t>
  </si>
  <si>
    <t>Sales Adjusted Base Wheeling Revenue (Line 10 x Line 11)</t>
  </si>
  <si>
    <t>Wheeling Revenue Variance (Line 13 - Line 12)</t>
  </si>
  <si>
    <t>Total Deferrable EBAC (Line 7 + Line 14)</t>
  </si>
  <si>
    <t>EBA Deferral at 70% Sharing (Line 15 x 0.7%)</t>
  </si>
  <si>
    <t>Requested EBA Recovery (Sum Lines 16 - 19)</t>
  </si>
  <si>
    <t>% of Each EBA for Contract 2</t>
  </si>
  <si>
    <t>January 2013 through December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</si>
</sst>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4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&quot;$&quot;#,##0"/>
    <numFmt numFmtId="166" formatCode="0.0%"/>
    <numFmt numFmtId="167" formatCode="0.0000_);[Red]\(0.0000\)"/>
    <numFmt numFmtId="168" formatCode="0.0000_)"/>
    <numFmt numFmtId="169" formatCode="#,##0.0000"/>
    <numFmt numFmtId="170" formatCode="#,##0.00000_);\(#,##0.00000\)"/>
    <numFmt numFmtId="171" formatCode="#,##0.0000_);\(#,##0.0000\)"/>
    <numFmt numFmtId="172" formatCode="_(* #,##0.0000_);_(* \(#,##0.0000\);_(* &quot;-&quot;??_);_(@_)"/>
    <numFmt numFmtId="173" formatCode="_(* #,##0_);_(* \(#,##0\);_(* &quot;-&quot;??_);_(@_)"/>
    <numFmt numFmtId="174" formatCode="0.000%"/>
    <numFmt numFmtId="175" formatCode="0.0"/>
    <numFmt numFmtId="176" formatCode="&quot;$&quot;#,##0.0000_);\(&quot;$&quot;#,##0.0000\)"/>
    <numFmt numFmtId="177" formatCode="_(&quot;$&quot;* #,##0_);_(&quot;$&quot;* \(#,##0\);_(&quot;$&quot;* &quot;-&quot;??_);_(@_)"/>
    <numFmt numFmtId="178" formatCode="&quot;$&quot;#,##0.00"/>
    <numFmt numFmtId="179" formatCode="&quot;$&quot;###0;[Red]\(&quot;$&quot;###0\)"/>
    <numFmt numFmtId="180" formatCode="dd\-mmm\-yy_)"/>
    <numFmt numFmtId="181" formatCode="_(* #,##0.00000_);_(* \(#,##0.00000\);_(* &quot;-&quot;??_);_(@_)"/>
    <numFmt numFmtId="182" formatCode="_-* #,##0\ &quot;F&quot;_-;\-* #,##0\ &quot;F&quot;_-;_-* &quot;-&quot;\ &quot;F&quot;_-;_-@_-"/>
    <numFmt numFmtId="183" formatCode="#,##0.000;[Red]\-#,##0.000"/>
    <numFmt numFmtId="184" formatCode="_(* #,##0_);[Red]_(* \(#,##0\);_(* &quot;-&quot;_);_(@_)"/>
    <numFmt numFmtId="185" formatCode="0.0000"/>
    <numFmt numFmtId="186" formatCode="&quot;$&quot;#,##0.000_);\(&quot;$&quot;#,##0.000\)"/>
    <numFmt numFmtId="187" formatCode="&quot;$&quot;#,##0.0_);[Red]\(&quot;$&quot;#,##0.0\)"/>
    <numFmt numFmtId="188" formatCode="[$-409]mmmm\ d\,\ yyyy;@"/>
    <numFmt numFmtId="189" formatCode="_(&quot;$&quot;\ #,##0.00_);_(&quot;$&quot;* \(#,##0.00\);_(&quot;$&quot;* &quot;-&quot;??_);_(@_)"/>
    <numFmt numFmtId="190" formatCode="_(&quot;$&quot;\ #,##0_);_(&quot;$&quot;* \(#,##0\);_(&quot;$&quot;* &quot;-&quot;_);_(@_)"/>
  </numFmts>
  <fonts count="63">
    <font>
      <sz val="12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4"/>
      <color theme="1"/>
      <name val="Times New Roman"/>
      <family val="1"/>
    </font>
    <font>
      <b/>
      <sz val="12"/>
      <name val="Times New Roman"/>
      <family val="1"/>
    </font>
    <font>
      <sz val="12"/>
      <color indexed="8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name val="Arial"/>
      <family val="2"/>
    </font>
    <font>
      <sz val="12"/>
      <color indexed="12"/>
      <name val="Times New Roman"/>
      <family val="1"/>
    </font>
    <font>
      <sz val="12"/>
      <color rgb="FF0000FF"/>
      <name val="Times New Roman"/>
      <family val="1"/>
    </font>
    <font>
      <sz val="12"/>
      <name val="Arial"/>
      <family val="2"/>
    </font>
    <font>
      <i/>
      <sz val="12"/>
      <name val="Times New Roman"/>
      <family val="1"/>
    </font>
    <font>
      <sz val="7"/>
      <name val="Arial"/>
      <family val="2"/>
    </font>
    <font>
      <sz val="10"/>
      <name val="Swiss"/>
      <family val="2"/>
    </font>
    <font>
      <sz val="12"/>
      <name val="TimesNewRomanPS"/>
    </font>
    <font>
      <sz val="11"/>
      <color indexed="8"/>
      <name val="Century Schoolbook"/>
      <family val="2"/>
    </font>
    <font>
      <sz val="10"/>
      <color theme="1"/>
      <name val="Times New Roman"/>
      <family val="2"/>
    </font>
    <font>
      <sz val="10"/>
      <name val="LinePrinter"/>
    </font>
    <font>
      <sz val="8"/>
      <name val="Helv"/>
    </font>
    <font>
      <b/>
      <sz val="8"/>
      <name val="Arial"/>
      <family val="2"/>
    </font>
    <font>
      <sz val="8"/>
      <name val="Arial"/>
      <family val="2"/>
    </font>
    <font>
      <sz val="12"/>
      <name val="Arial MT"/>
    </font>
    <font>
      <sz val="8"/>
      <color theme="1"/>
      <name val="Courier New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color indexed="39"/>
      <name val="Arial"/>
      <family val="2"/>
    </font>
    <font>
      <b/>
      <sz val="18"/>
      <name val="Arial"/>
      <family val="2"/>
    </font>
    <font>
      <sz val="10"/>
      <color indexed="10"/>
      <name val="Arial"/>
      <family val="2"/>
    </font>
    <font>
      <sz val="8"/>
      <color indexed="12"/>
      <name val="Arial"/>
      <family val="2"/>
    </font>
    <font>
      <sz val="12"/>
      <color theme="1"/>
      <name val="Symbol"/>
      <family val="1"/>
      <charset val="2"/>
    </font>
    <font>
      <b/>
      <sz val="13"/>
      <color theme="1"/>
      <name val="Times New Roman"/>
      <family val="1"/>
    </font>
    <font>
      <i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i/>
      <u/>
      <sz val="12"/>
      <color theme="1"/>
      <name val="Times New Roman"/>
      <family val="1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rgb="FF0000FF"/>
      <name val="Arial"/>
      <family val="2"/>
    </font>
    <font>
      <sz val="10"/>
      <color rgb="FF0000FF"/>
      <name val="Arial"/>
      <family val="2"/>
    </font>
    <font>
      <b/>
      <sz val="10"/>
      <color theme="1"/>
      <name val="Arial"/>
      <family val="2"/>
    </font>
    <font>
      <b/>
      <sz val="10"/>
      <color rgb="FF3333FF"/>
      <name val="Arial"/>
      <family val="2"/>
    </font>
    <font>
      <b/>
      <sz val="16"/>
      <name val="Times New Roman"/>
      <family val="1"/>
    </font>
    <font>
      <b/>
      <sz val="14"/>
      <name val="Arial"/>
      <family val="2"/>
    </font>
    <font>
      <sz val="12"/>
      <color rgb="FFFF0000"/>
      <name val="Times New Roman"/>
      <family val="1"/>
    </font>
    <font>
      <b/>
      <sz val="13"/>
      <name val="Times New Roman"/>
      <family val="1"/>
    </font>
    <font>
      <sz val="10"/>
      <name val="Times New Roman"/>
      <family val="1"/>
    </font>
    <font>
      <b/>
      <i/>
      <sz val="13"/>
      <name val="Times New Roman"/>
      <family val="1"/>
    </font>
    <font>
      <b/>
      <sz val="10"/>
      <name val="Times New Roman"/>
      <family val="1"/>
    </font>
    <font>
      <vertAlign val="superscript"/>
      <sz val="10"/>
      <name val="Times New Roman"/>
      <family val="1"/>
    </font>
    <font>
      <u/>
      <sz val="10"/>
      <name val="Times New Roman"/>
      <family val="1"/>
    </font>
    <font>
      <b/>
      <i/>
      <u/>
      <sz val="10"/>
      <name val="Times New Roman"/>
      <family val="1"/>
    </font>
    <font>
      <sz val="10"/>
      <color indexed="12"/>
      <name val="Times New Roman"/>
      <family val="1"/>
    </font>
    <font>
      <sz val="10"/>
      <color rgb="FF0000FF"/>
      <name val="Times New Roman"/>
      <family val="1"/>
    </font>
    <font>
      <sz val="10"/>
      <name val="Courier"/>
      <family val="3"/>
    </font>
    <font>
      <sz val="10"/>
      <name val="MS Sans Serif"/>
      <family val="2"/>
    </font>
    <font>
      <i/>
      <sz val="8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15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18">
    <xf numFmtId="0" fontId="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4" fontId="4" fillId="0" borderId="0"/>
    <xf numFmtId="164" fontId="4" fillId="0" borderId="0"/>
    <xf numFmtId="0" fontId="3" fillId="0" borderId="0"/>
    <xf numFmtId="0" fontId="4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5" fillId="0" borderId="0" applyFont="0" applyFill="0" applyBorder="0" applyAlignment="0" applyProtection="0">
      <alignment horizontal="left"/>
    </xf>
    <xf numFmtId="173" fontId="11" fillId="0" borderId="0" applyFont="0" applyAlignment="0" applyProtection="0"/>
    <xf numFmtId="0" fontId="10" fillId="0" borderId="0">
      <alignment wrapText="1"/>
    </xf>
    <xf numFmtId="41" fontId="16" fillId="0" borderId="0" applyFont="0" applyFill="0" applyBorder="0" applyAlignment="0" applyProtection="0"/>
    <xf numFmtId="178" fontId="17" fillId="0" borderId="0"/>
    <xf numFmtId="0" fontId="18" fillId="0" borderId="0"/>
    <xf numFmtId="0" fontId="3" fillId="0" borderId="0"/>
    <xf numFmtId="0" fontId="4" fillId="0" borderId="0"/>
    <xf numFmtId="0" fontId="10" fillId="0" borderId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164" fontId="20" fillId="0" borderId="0">
      <alignment horizontal="left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79" fontId="21" fillId="0" borderId="0" applyFont="0" applyFill="0" applyBorder="0" applyProtection="0">
      <alignment horizontal="right"/>
    </xf>
    <xf numFmtId="5" fontId="10" fillId="0" borderId="0" applyFont="0" applyFill="0" applyBorder="0" applyAlignment="0" applyProtection="0"/>
    <xf numFmtId="14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175" fontId="22" fillId="0" borderId="0" applyNumberFormat="0" applyFill="0" applyBorder="0" applyAlignment="0" applyProtection="0"/>
    <xf numFmtId="0" fontId="23" fillId="0" borderId="17" applyNumberFormat="0" applyBorder="0" applyAlignment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3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2" fontId="26" fillId="2" borderId="18">
      <alignment horizontal="left"/>
    </xf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" fontId="27" fillId="3" borderId="19" applyNumberFormat="0" applyProtection="0">
      <alignment vertical="center"/>
    </xf>
    <xf numFmtId="4" fontId="28" fillId="4" borderId="19" applyNumberFormat="0" applyProtection="0">
      <alignment vertical="center"/>
    </xf>
    <xf numFmtId="4" fontId="27" fillId="4" borderId="19" applyNumberFormat="0" applyProtection="0">
      <alignment vertical="center"/>
    </xf>
    <xf numFmtId="0" fontId="27" fillId="4" borderId="19" applyNumberFormat="0" applyProtection="0">
      <alignment horizontal="left" vertical="top" indent="1"/>
    </xf>
    <xf numFmtId="4" fontId="27" fillId="5" borderId="0" applyNumberFormat="0" applyProtection="0">
      <alignment horizontal="left" vertical="center" indent="1"/>
    </xf>
    <xf numFmtId="4" fontId="29" fillId="6" borderId="19" applyNumberFormat="0" applyProtection="0">
      <alignment horizontal="right" vertical="center"/>
    </xf>
    <xf numFmtId="4" fontId="29" fillId="7" borderId="19" applyNumberFormat="0" applyProtection="0">
      <alignment horizontal="right" vertical="center"/>
    </xf>
    <xf numFmtId="4" fontId="29" fillId="8" borderId="19" applyNumberFormat="0" applyProtection="0">
      <alignment horizontal="right" vertical="center"/>
    </xf>
    <xf numFmtId="4" fontId="29" fillId="9" borderId="19" applyNumberFormat="0" applyProtection="0">
      <alignment horizontal="right" vertical="center"/>
    </xf>
    <xf numFmtId="4" fontId="29" fillId="10" borderId="19" applyNumberFormat="0" applyProtection="0">
      <alignment horizontal="right" vertical="center"/>
    </xf>
    <xf numFmtId="4" fontId="29" fillId="11" borderId="19" applyNumberFormat="0" applyProtection="0">
      <alignment horizontal="right" vertical="center"/>
    </xf>
    <xf numFmtId="4" fontId="29" fillId="12" borderId="19" applyNumberFormat="0" applyProtection="0">
      <alignment horizontal="right" vertical="center"/>
    </xf>
    <xf numFmtId="4" fontId="29" fillId="13" borderId="19" applyNumberFormat="0" applyProtection="0">
      <alignment horizontal="right" vertical="center"/>
    </xf>
    <xf numFmtId="4" fontId="29" fillId="14" borderId="19" applyNumberFormat="0" applyProtection="0">
      <alignment horizontal="right" vertical="center"/>
    </xf>
    <xf numFmtId="4" fontId="27" fillId="15" borderId="20" applyNumberFormat="0" applyProtection="0">
      <alignment horizontal="left" vertical="center" indent="1"/>
    </xf>
    <xf numFmtId="4" fontId="29" fillId="16" borderId="0" applyNumberFormat="0" applyProtection="0">
      <alignment horizontal="left" vertical="center" indent="1"/>
    </xf>
    <xf numFmtId="4" fontId="30" fillId="17" borderId="0" applyNumberFormat="0" applyProtection="0">
      <alignment horizontal="left" vertical="center" indent="1"/>
    </xf>
    <xf numFmtId="4" fontId="29" fillId="18" borderId="19" applyNumberFormat="0" applyProtection="0">
      <alignment horizontal="right" vertical="center"/>
    </xf>
    <xf numFmtId="4" fontId="31" fillId="0" borderId="0" applyNumberFormat="0" applyProtection="0">
      <alignment horizontal="left" vertical="center" indent="1"/>
    </xf>
    <xf numFmtId="4" fontId="32" fillId="0" borderId="0" applyNumberFormat="0" applyProtection="0">
      <alignment horizontal="left" vertical="center" indent="1"/>
    </xf>
    <xf numFmtId="0" fontId="10" fillId="17" borderId="19" applyNumberFormat="0" applyProtection="0">
      <alignment horizontal="left" vertical="center" indent="1"/>
    </xf>
    <xf numFmtId="0" fontId="10" fillId="17" borderId="19" applyNumberFormat="0" applyProtection="0">
      <alignment horizontal="left" vertical="top" indent="1"/>
    </xf>
    <xf numFmtId="0" fontId="10" fillId="5" borderId="19" applyNumberFormat="0" applyProtection="0">
      <alignment horizontal="left" vertical="center" indent="1"/>
    </xf>
    <xf numFmtId="0" fontId="10" fillId="5" borderId="19" applyNumberFormat="0" applyProtection="0">
      <alignment horizontal="left" vertical="top" indent="1"/>
    </xf>
    <xf numFmtId="0" fontId="10" fillId="19" borderId="19" applyNumberFormat="0" applyProtection="0">
      <alignment horizontal="left" vertical="center" indent="1"/>
    </xf>
    <xf numFmtId="0" fontId="10" fillId="19" borderId="19" applyNumberFormat="0" applyProtection="0">
      <alignment horizontal="left" vertical="top" indent="1"/>
    </xf>
    <xf numFmtId="0" fontId="10" fillId="20" borderId="19" applyNumberFormat="0" applyProtection="0">
      <alignment horizontal="left" vertical="center" indent="1"/>
    </xf>
    <xf numFmtId="0" fontId="10" fillId="20" borderId="19" applyNumberFormat="0" applyProtection="0">
      <alignment horizontal="left" vertical="top" indent="1"/>
    </xf>
    <xf numFmtId="4" fontId="29" fillId="21" borderId="19" applyNumberFormat="0" applyProtection="0">
      <alignment vertical="center"/>
    </xf>
    <xf numFmtId="4" fontId="33" fillId="21" borderId="19" applyNumberFormat="0" applyProtection="0">
      <alignment vertical="center"/>
    </xf>
    <xf numFmtId="4" fontId="29" fillId="21" borderId="19" applyNumberFormat="0" applyProtection="0">
      <alignment horizontal="left" vertical="center" indent="1"/>
    </xf>
    <xf numFmtId="0" fontId="29" fillId="21" borderId="19" applyNumberFormat="0" applyProtection="0">
      <alignment horizontal="left" vertical="top" indent="1"/>
    </xf>
    <xf numFmtId="4" fontId="29" fillId="22" borderId="21" applyNumberFormat="0" applyProtection="0">
      <alignment horizontal="right" vertical="center"/>
    </xf>
    <xf numFmtId="4" fontId="33" fillId="16" borderId="19" applyNumberFormat="0" applyProtection="0">
      <alignment horizontal="right" vertical="center"/>
    </xf>
    <xf numFmtId="4" fontId="29" fillId="18" borderId="19" applyNumberFormat="0" applyProtection="0">
      <alignment horizontal="left" vertical="center" indent="1"/>
    </xf>
    <xf numFmtId="0" fontId="29" fillId="5" borderId="19" applyNumberFormat="0" applyProtection="0">
      <alignment horizontal="center" vertical="top"/>
    </xf>
    <xf numFmtId="4" fontId="34" fillId="0" borderId="0" applyNumberFormat="0" applyProtection="0">
      <alignment horizontal="left" vertical="center"/>
    </xf>
    <xf numFmtId="4" fontId="35" fillId="16" borderId="19" applyNumberFormat="0" applyProtection="0">
      <alignment horizontal="right" vertical="center"/>
    </xf>
    <xf numFmtId="37" fontId="23" fillId="4" borderId="0" applyNumberFormat="0" applyBorder="0" applyAlignment="0" applyProtection="0"/>
    <xf numFmtId="37" fontId="23" fillId="0" borderId="0"/>
    <xf numFmtId="3" fontId="36" fillId="23" borderId="22" applyProtection="0"/>
    <xf numFmtId="0" fontId="4" fillId="0" borderId="0"/>
    <xf numFmtId="9" fontId="4" fillId="0" borderId="0" applyFont="0" applyFill="0" applyBorder="0" applyAlignment="0" applyProtection="0"/>
    <xf numFmtId="180" fontId="16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82" fontId="10" fillId="0" borderId="0"/>
    <xf numFmtId="182" fontId="10" fillId="0" borderId="0"/>
    <xf numFmtId="182" fontId="10" fillId="0" borderId="0"/>
    <xf numFmtId="182" fontId="10" fillId="0" borderId="0"/>
    <xf numFmtId="182" fontId="10" fillId="0" borderId="0"/>
    <xf numFmtId="182" fontId="10" fillId="0" borderId="0"/>
    <xf numFmtId="182" fontId="10" fillId="0" borderId="0"/>
    <xf numFmtId="182" fontId="10" fillId="0" borderId="0"/>
    <xf numFmtId="43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38" fontId="23" fillId="25" borderId="0" applyNumberFormat="0" applyBorder="0" applyAlignment="0" applyProtection="0"/>
    <xf numFmtId="0" fontId="48" fillId="0" borderId="0"/>
    <xf numFmtId="0" fontId="26" fillId="0" borderId="26" applyNumberFormat="0" applyAlignment="0" applyProtection="0">
      <alignment horizontal="left" vertical="center"/>
    </xf>
    <xf numFmtId="0" fontId="26" fillId="0" borderId="25">
      <alignment horizontal="left" vertical="center"/>
    </xf>
    <xf numFmtId="10" fontId="23" fillId="21" borderId="23" applyNumberFormat="0" applyBorder="0" applyAlignment="0" applyProtection="0"/>
    <xf numFmtId="183" fontId="10" fillId="0" borderId="0"/>
    <xf numFmtId="0" fontId="10" fillId="0" borderId="0"/>
    <xf numFmtId="0" fontId="1" fillId="0" borderId="0"/>
    <xf numFmtId="41" fontId="16" fillId="0" borderId="0" applyFont="0" applyFill="0" applyBorder="0" applyAlignment="0" applyProtection="0"/>
    <xf numFmtId="184" fontId="10" fillId="0" borderId="0"/>
    <xf numFmtId="10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" fontId="49" fillId="26" borderId="0" applyNumberFormat="0" applyProtection="0">
      <alignment horizontal="left"/>
    </xf>
    <xf numFmtId="0" fontId="42" fillId="0" borderId="23">
      <alignment horizontal="center" vertical="center" wrapText="1"/>
    </xf>
    <xf numFmtId="0" fontId="10" fillId="0" borderId="0"/>
    <xf numFmtId="164" fontId="60" fillId="0" borderId="0"/>
    <xf numFmtId="0" fontId="61" fillId="0" borderId="0"/>
    <xf numFmtId="9" fontId="60" fillId="0" borderId="0" applyFont="0" applyFill="0" applyBorder="0" applyAlignment="0" applyProtection="0"/>
  </cellStyleXfs>
  <cellXfs count="515">
    <xf numFmtId="0" fontId="0" fillId="0" borderId="0" xfId="0"/>
    <xf numFmtId="164" fontId="5" fillId="0" borderId="0" xfId="4" applyNumberFormat="1" applyFont="1" applyFill="1" applyBorder="1" applyAlignment="1">
      <alignment horizontal="centerContinuous"/>
    </xf>
    <xf numFmtId="164" fontId="4" fillId="0" borderId="0" xfId="4" applyNumberFormat="1"/>
    <xf numFmtId="164" fontId="4" fillId="0" borderId="0" xfId="4" applyNumberFormat="1" applyFill="1"/>
    <xf numFmtId="37" fontId="8" fillId="0" borderId="0" xfId="4" applyNumberFormat="1" applyFont="1" applyFill="1" applyProtection="1"/>
    <xf numFmtId="164" fontId="8" fillId="0" borderId="0" xfId="4" applyNumberFormat="1" applyFont="1" applyFill="1" applyBorder="1"/>
    <xf numFmtId="37" fontId="9" fillId="0" borderId="0" xfId="4" applyNumberFormat="1" applyFont="1" applyFill="1" applyProtection="1"/>
    <xf numFmtId="37" fontId="9" fillId="0" borderId="0" xfId="4" applyNumberFormat="1" applyFont="1" applyFill="1" applyAlignment="1" applyProtection="1">
      <alignment horizontal="center"/>
    </xf>
    <xf numFmtId="5" fontId="4" fillId="0" borderId="0" xfId="4" applyNumberFormat="1" applyFill="1" applyProtection="1"/>
    <xf numFmtId="37" fontId="9" fillId="0" borderId="0" xfId="4" applyNumberFormat="1" applyFont="1" applyFill="1" applyBorder="1" applyAlignment="1" applyProtection="1">
      <alignment horizontal="center"/>
    </xf>
    <xf numFmtId="37" fontId="9" fillId="0" borderId="1" xfId="4" quotePrefix="1" applyNumberFormat="1" applyFont="1" applyFill="1" applyBorder="1" applyAlignment="1" applyProtection="1">
      <alignment horizontal="center"/>
    </xf>
    <xf numFmtId="164" fontId="4" fillId="0" borderId="0" xfId="4" applyNumberFormat="1" applyFont="1" applyBorder="1"/>
    <xf numFmtId="164" fontId="4" fillId="0" borderId="0" xfId="4" applyNumberFormat="1" applyBorder="1"/>
    <xf numFmtId="37" fontId="8" fillId="0" borderId="0" xfId="4" applyNumberFormat="1" applyFont="1" applyFill="1" applyProtection="1">
      <protection locked="0"/>
    </xf>
    <xf numFmtId="7" fontId="8" fillId="0" borderId="0" xfId="4" applyNumberFormat="1" applyFont="1" applyFill="1" applyProtection="1">
      <protection locked="0"/>
    </xf>
    <xf numFmtId="5" fontId="8" fillId="0" borderId="0" xfId="4" applyNumberFormat="1" applyFont="1" applyFill="1" applyProtection="1"/>
    <xf numFmtId="37" fontId="8" fillId="0" borderId="0" xfId="4" applyNumberFormat="1" applyFont="1" applyFill="1" applyBorder="1" applyProtection="1"/>
    <xf numFmtId="5" fontId="4" fillId="0" borderId="6" xfId="4" applyNumberFormat="1" applyFill="1" applyBorder="1" applyProtection="1"/>
    <xf numFmtId="5" fontId="4" fillId="0" borderId="7" xfId="4" applyNumberFormat="1" applyFill="1" applyBorder="1" applyProtection="1"/>
    <xf numFmtId="5" fontId="4" fillId="0" borderId="10" xfId="4" applyNumberFormat="1" applyFill="1" applyBorder="1" applyProtection="1"/>
    <xf numFmtId="7" fontId="8" fillId="0" borderId="0" xfId="4" applyNumberFormat="1" applyFont="1" applyFill="1" applyBorder="1" applyProtection="1"/>
    <xf numFmtId="5" fontId="8" fillId="0" borderId="0" xfId="4" applyNumberFormat="1" applyFont="1" applyFill="1" applyBorder="1" applyProtection="1"/>
    <xf numFmtId="164" fontId="4" fillId="0" borderId="0" xfId="4" applyNumberFormat="1" applyFont="1"/>
    <xf numFmtId="37" fontId="8" fillId="0" borderId="2" xfId="4" applyNumberFormat="1" applyFont="1" applyFill="1" applyBorder="1" applyProtection="1"/>
    <xf numFmtId="5" fontId="8" fillId="0" borderId="2" xfId="4" applyNumberFormat="1" applyFont="1" applyFill="1" applyBorder="1" applyProtection="1"/>
    <xf numFmtId="37" fontId="8" fillId="0" borderId="11" xfId="4" applyNumberFormat="1" applyFont="1" applyFill="1" applyBorder="1" applyProtection="1"/>
    <xf numFmtId="5" fontId="8" fillId="0" borderId="11" xfId="4" applyNumberFormat="1" applyFont="1" applyFill="1" applyBorder="1" applyProtection="1"/>
    <xf numFmtId="170" fontId="8" fillId="0" borderId="0" xfId="4" applyNumberFormat="1" applyFont="1" applyFill="1" applyProtection="1"/>
    <xf numFmtId="5" fontId="8" fillId="0" borderId="12" xfId="4" applyNumberFormat="1" applyFont="1" applyFill="1" applyBorder="1" applyProtection="1"/>
    <xf numFmtId="37" fontId="8" fillId="0" borderId="12" xfId="4" applyNumberFormat="1" applyFont="1" applyFill="1" applyBorder="1" applyProtection="1"/>
    <xf numFmtId="168" fontId="8" fillId="0" borderId="0" xfId="4" applyNumberFormat="1" applyFont="1" applyFill="1" applyProtection="1"/>
    <xf numFmtId="10" fontId="8" fillId="0" borderId="0" xfId="4" applyNumberFormat="1" applyFont="1" applyFill="1" applyProtection="1">
      <protection locked="0"/>
    </xf>
    <xf numFmtId="164" fontId="4" fillId="0" borderId="0" xfId="4" applyNumberFormat="1" applyFont="1" applyAlignment="1">
      <alignment horizontal="right"/>
    </xf>
    <xf numFmtId="6" fontId="4" fillId="0" borderId="0" xfId="3" applyNumberFormat="1" applyFont="1" applyAlignment="1">
      <alignment horizontal="right"/>
    </xf>
    <xf numFmtId="168" fontId="11" fillId="0" borderId="0" xfId="4" applyNumberFormat="1" applyFont="1" applyFill="1" applyAlignment="1" applyProtection="1">
      <alignment horizontal="right"/>
    </xf>
    <xf numFmtId="10" fontId="11" fillId="0" borderId="0" xfId="4" applyNumberFormat="1" applyFont="1" applyFill="1" applyAlignment="1" applyProtection="1">
      <alignment horizontal="right"/>
    </xf>
    <xf numFmtId="37" fontId="8" fillId="0" borderId="1" xfId="4" applyNumberFormat="1" applyFont="1" applyFill="1" applyBorder="1" applyProtection="1">
      <protection locked="0"/>
    </xf>
    <xf numFmtId="5" fontId="8" fillId="0" borderId="1" xfId="4" applyNumberFormat="1" applyFont="1" applyFill="1" applyBorder="1" applyProtection="1"/>
    <xf numFmtId="37" fontId="8" fillId="0" borderId="11" xfId="4" applyNumberFormat="1" applyFont="1" applyFill="1" applyBorder="1" applyProtection="1">
      <protection locked="0"/>
    </xf>
    <xf numFmtId="174" fontId="11" fillId="0" borderId="0" xfId="4" applyNumberFormat="1" applyFont="1" applyFill="1" applyAlignment="1" applyProtection="1">
      <alignment horizontal="right"/>
    </xf>
    <xf numFmtId="37" fontId="8" fillId="0" borderId="13" xfId="4" applyNumberFormat="1" applyFont="1" applyFill="1" applyBorder="1" applyProtection="1"/>
    <xf numFmtId="164" fontId="7" fillId="0" borderId="0" xfId="4" applyNumberFormat="1" applyFont="1"/>
    <xf numFmtId="175" fontId="7" fillId="0" borderId="0" xfId="4" applyNumberFormat="1" applyFont="1"/>
    <xf numFmtId="37" fontId="8" fillId="0" borderId="12" xfId="4" applyNumberFormat="1" applyFont="1" applyFill="1" applyBorder="1" applyProtection="1">
      <protection locked="0"/>
    </xf>
    <xf numFmtId="0" fontId="7" fillId="0" borderId="0" xfId="0" applyFont="1"/>
    <xf numFmtId="37" fontId="8" fillId="0" borderId="2" xfId="4" applyNumberFormat="1" applyFont="1" applyFill="1" applyBorder="1" applyProtection="1">
      <protection locked="0"/>
    </xf>
    <xf numFmtId="165" fontId="8" fillId="0" borderId="12" xfId="1" applyNumberFormat="1" applyFont="1" applyFill="1" applyBorder="1"/>
    <xf numFmtId="37" fontId="8" fillId="0" borderId="0" xfId="4" applyNumberFormat="1" applyFont="1" applyFill="1" applyBorder="1" applyProtection="1">
      <protection locked="0"/>
    </xf>
    <xf numFmtId="37" fontId="8" fillId="0" borderId="1" xfId="4" applyNumberFormat="1" applyFont="1" applyFill="1" applyBorder="1" applyProtection="1"/>
    <xf numFmtId="9" fontId="4" fillId="0" borderId="0" xfId="3" applyNumberFormat="1" applyFont="1"/>
    <xf numFmtId="9" fontId="4" fillId="0" borderId="0" xfId="4" applyNumberFormat="1"/>
    <xf numFmtId="5" fontId="8" fillId="0" borderId="0" xfId="4" applyNumberFormat="1" applyFont="1" applyFill="1" applyProtection="1">
      <protection locked="0"/>
    </xf>
    <xf numFmtId="37" fontId="8" fillId="0" borderId="14" xfId="4" applyNumberFormat="1" applyFont="1" applyFill="1" applyBorder="1" applyProtection="1"/>
    <xf numFmtId="173" fontId="8" fillId="0" borderId="0" xfId="1" applyNumberFormat="1" applyFont="1" applyFill="1"/>
    <xf numFmtId="173" fontId="8" fillId="0" borderId="11" xfId="1" applyNumberFormat="1" applyFont="1" applyFill="1" applyBorder="1"/>
    <xf numFmtId="0" fontId="0" fillId="0" borderId="0" xfId="0" applyAlignment="1"/>
    <xf numFmtId="37" fontId="6" fillId="0" borderId="0" xfId="5" quotePrefix="1" applyNumberFormat="1" applyFont="1" applyAlignment="1">
      <alignment horizontal="center"/>
    </xf>
    <xf numFmtId="37" fontId="6" fillId="0" borderId="0" xfId="5" quotePrefix="1" applyNumberFormat="1" applyFont="1" applyFill="1" applyAlignment="1">
      <alignment horizontal="center"/>
    </xf>
    <xf numFmtId="173" fontId="4" fillId="0" borderId="0" xfId="1" applyNumberFormat="1" applyFont="1" applyFill="1"/>
    <xf numFmtId="5" fontId="4" fillId="0" borderId="0" xfId="2" applyNumberFormat="1" applyFont="1" applyFill="1"/>
    <xf numFmtId="5" fontId="4" fillId="0" borderId="0" xfId="5" applyNumberFormat="1" applyFill="1"/>
    <xf numFmtId="5" fontId="4" fillId="0" borderId="1" xfId="2" applyNumberFormat="1" applyFont="1" applyFill="1" applyBorder="1"/>
    <xf numFmtId="5" fontId="4" fillId="0" borderId="0" xfId="2" applyNumberFormat="1" applyFont="1" applyFill="1" applyBorder="1"/>
    <xf numFmtId="5" fontId="4" fillId="0" borderId="0" xfId="5" applyNumberFormat="1" applyFill="1" applyBorder="1"/>
    <xf numFmtId="177" fontId="4" fillId="0" borderId="0" xfId="2" applyNumberFormat="1" applyFont="1" applyFill="1"/>
    <xf numFmtId="177" fontId="4" fillId="0" borderId="0" xfId="5" applyNumberFormat="1" applyFill="1"/>
    <xf numFmtId="5" fontId="4" fillId="0" borderId="11" xfId="2" applyNumberFormat="1" applyFont="1" applyFill="1" applyBorder="1"/>
    <xf numFmtId="0" fontId="9" fillId="0" borderId="0" xfId="6" applyFont="1" applyAlignment="1" applyProtection="1">
      <alignment horizontal="centerContinuous"/>
      <protection locked="0"/>
    </xf>
    <xf numFmtId="0" fontId="8" fillId="0" borderId="0" xfId="6" applyFont="1" applyProtection="1">
      <protection locked="0"/>
    </xf>
    <xf numFmtId="0" fontId="8" fillId="0" borderId="0" xfId="6" applyFont="1" applyAlignment="1" applyProtection="1">
      <alignment horizontal="center"/>
      <protection locked="0"/>
    </xf>
    <xf numFmtId="0" fontId="9" fillId="0" borderId="0" xfId="6" applyFont="1" applyAlignment="1" applyProtection="1">
      <alignment horizontal="center"/>
      <protection locked="0"/>
    </xf>
    <xf numFmtId="0" fontId="9" fillId="0" borderId="1" xfId="6" applyFont="1" applyBorder="1" applyAlignment="1" applyProtection="1">
      <alignment horizontal="center"/>
      <protection locked="0"/>
    </xf>
    <xf numFmtId="0" fontId="8" fillId="0" borderId="1" xfId="6" applyFont="1" applyBorder="1" applyAlignment="1" applyProtection="1">
      <alignment horizontal="center"/>
      <protection locked="0"/>
    </xf>
    <xf numFmtId="6" fontId="8" fillId="0" borderId="0" xfId="6" applyNumberFormat="1" applyFont="1" applyProtection="1">
      <protection locked="0"/>
    </xf>
    <xf numFmtId="166" fontId="8" fillId="0" borderId="0" xfId="6" applyNumberFormat="1" applyFont="1" applyProtection="1">
      <protection locked="0"/>
    </xf>
    <xf numFmtId="0" fontId="8" fillId="0" borderId="0" xfId="6" applyFont="1" applyBorder="1" applyProtection="1">
      <protection locked="0"/>
    </xf>
    <xf numFmtId="0" fontId="8" fillId="0" borderId="1" xfId="6" applyFont="1" applyBorder="1" applyProtection="1">
      <protection locked="0"/>
    </xf>
    <xf numFmtId="6" fontId="8" fillId="0" borderId="1" xfId="6" applyNumberFormat="1" applyFont="1" applyBorder="1" applyProtection="1">
      <protection locked="0"/>
    </xf>
    <xf numFmtId="166" fontId="8" fillId="0" borderId="1" xfId="6" applyNumberFormat="1" applyFont="1" applyBorder="1" applyProtection="1">
      <protection locked="0"/>
    </xf>
    <xf numFmtId="0" fontId="9" fillId="0" borderId="15" xfId="6" applyFont="1" applyBorder="1" applyProtection="1">
      <protection locked="0"/>
    </xf>
    <xf numFmtId="0" fontId="8" fillId="0" borderId="15" xfId="6" applyFont="1" applyBorder="1" applyProtection="1">
      <protection locked="0"/>
    </xf>
    <xf numFmtId="6" fontId="8" fillId="0" borderId="15" xfId="6" applyNumberFormat="1" applyFont="1" applyBorder="1" applyProtection="1">
      <protection locked="0"/>
    </xf>
    <xf numFmtId="166" fontId="8" fillId="0" borderId="15" xfId="6" applyNumberFormat="1" applyFont="1" applyBorder="1" applyProtection="1">
      <protection locked="0"/>
    </xf>
    <xf numFmtId="0" fontId="9" fillId="0" borderId="16" xfId="6" applyFont="1" applyBorder="1" applyProtection="1">
      <protection locked="0"/>
    </xf>
    <xf numFmtId="0" fontId="8" fillId="0" borderId="16" xfId="6" applyFont="1" applyBorder="1" applyProtection="1">
      <protection locked="0"/>
    </xf>
    <xf numFmtId="6" fontId="8" fillId="0" borderId="16" xfId="6" applyNumberFormat="1" applyFont="1" applyBorder="1" applyProtection="1">
      <protection locked="0"/>
    </xf>
    <xf numFmtId="166" fontId="8" fillId="0" borderId="16" xfId="6" applyNumberFormat="1" applyFont="1" applyBorder="1" applyProtection="1">
      <protection locked="0"/>
    </xf>
    <xf numFmtId="0" fontId="4" fillId="0" borderId="0" xfId="7"/>
    <xf numFmtId="164" fontId="8" fillId="0" borderId="3" xfId="4" applyNumberFormat="1" applyFont="1" applyFill="1" applyBorder="1"/>
    <xf numFmtId="164" fontId="8" fillId="0" borderId="5" xfId="4" applyNumberFormat="1" applyFont="1" applyBorder="1"/>
    <xf numFmtId="164" fontId="8" fillId="0" borderId="8" xfId="4" applyNumberFormat="1" applyFont="1" applyBorder="1"/>
    <xf numFmtId="164" fontId="37" fillId="0" borderId="9" xfId="4" applyNumberFormat="1" applyFont="1" applyBorder="1"/>
    <xf numFmtId="164" fontId="8" fillId="0" borderId="5" xfId="4" applyNumberFormat="1" applyFont="1" applyFill="1" applyBorder="1"/>
    <xf numFmtId="164" fontId="8" fillId="0" borderId="8" xfId="4" applyNumberFormat="1" applyFont="1" applyFill="1" applyBorder="1"/>
    <xf numFmtId="164" fontId="4" fillId="0" borderId="7" xfId="4" applyNumberFormat="1" applyBorder="1"/>
    <xf numFmtId="164" fontId="8" fillId="0" borderId="9" xfId="4" applyNumberFormat="1" applyFont="1" applyFill="1" applyBorder="1"/>
    <xf numFmtId="10" fontId="4" fillId="0" borderId="10" xfId="3" applyNumberFormat="1" applyFont="1" applyBorder="1"/>
    <xf numFmtId="164" fontId="4" fillId="0" borderId="4" xfId="4" applyNumberFormat="1" applyFont="1" applyBorder="1"/>
    <xf numFmtId="164" fontId="8" fillId="0" borderId="0" xfId="4" applyNumberFormat="1" applyFont="1" applyBorder="1"/>
    <xf numFmtId="7" fontId="8" fillId="0" borderId="5" xfId="4" applyNumberFormat="1" applyFont="1" applyFill="1" applyBorder="1" applyProtection="1">
      <protection locked="0"/>
    </xf>
    <xf numFmtId="164" fontId="4" fillId="0" borderId="6" xfId="4" applyNumberFormat="1" applyFont="1" applyBorder="1"/>
    <xf numFmtId="5" fontId="4" fillId="0" borderId="3" xfId="4" applyNumberFormat="1" applyFill="1" applyBorder="1" applyProtection="1"/>
    <xf numFmtId="164" fontId="4" fillId="0" borderId="6" xfId="4" applyNumberFormat="1" applyBorder="1"/>
    <xf numFmtId="164" fontId="4" fillId="0" borderId="7" xfId="4" applyNumberFormat="1" applyFont="1" applyBorder="1" applyAlignment="1">
      <alignment horizontal="right"/>
    </xf>
    <xf numFmtId="10" fontId="4" fillId="0" borderId="10" xfId="3" applyNumberFormat="1" applyFont="1" applyBorder="1" applyAlignment="1">
      <alignment horizontal="right"/>
    </xf>
    <xf numFmtId="164" fontId="4" fillId="0" borderId="7" xfId="4" applyNumberFormat="1" applyFont="1" applyBorder="1"/>
    <xf numFmtId="164" fontId="6" fillId="0" borderId="0" xfId="5" applyFont="1" applyFill="1" applyBorder="1" applyAlignment="1">
      <alignment horizontal="center"/>
    </xf>
    <xf numFmtId="164" fontId="6" fillId="0" borderId="0" xfId="5" applyFont="1" applyFill="1" applyAlignment="1">
      <alignment horizontal="center"/>
    </xf>
    <xf numFmtId="164" fontId="6" fillId="0" borderId="0" xfId="5" applyFont="1" applyFill="1" applyBorder="1" applyAlignment="1">
      <alignment horizontal="centerContinuous"/>
    </xf>
    <xf numFmtId="164" fontId="6" fillId="0" borderId="1" xfId="5" quotePrefix="1" applyFont="1" applyFill="1" applyBorder="1" applyAlignment="1">
      <alignment horizontal="center"/>
    </xf>
    <xf numFmtId="164" fontId="6" fillId="0" borderId="0" xfId="5" applyFont="1"/>
    <xf numFmtId="164" fontId="6" fillId="0" borderId="0" xfId="5" applyFont="1" applyAlignment="1">
      <alignment horizontal="centerContinuous"/>
    </xf>
    <xf numFmtId="3" fontId="38" fillId="0" borderId="0" xfId="0" applyNumberFormat="1" applyFont="1" applyAlignment="1">
      <alignment horizontal="centerContinuous"/>
    </xf>
    <xf numFmtId="10" fontId="5" fillId="0" borderId="0" xfId="4" applyNumberFormat="1" applyFont="1" applyFill="1" applyAlignment="1">
      <alignment horizontal="centerContinuous"/>
    </xf>
    <xf numFmtId="5" fontId="8" fillId="0" borderId="0" xfId="4" applyNumberFormat="1" applyFont="1" applyFill="1" applyAlignment="1">
      <alignment horizontal="centerContinuous"/>
    </xf>
    <xf numFmtId="10" fontId="8" fillId="0" borderId="0" xfId="4" applyNumberFormat="1" applyFont="1" applyFill="1"/>
    <xf numFmtId="5" fontId="8" fillId="0" borderId="0" xfId="4" applyNumberFormat="1" applyFont="1" applyFill="1"/>
    <xf numFmtId="164" fontId="9" fillId="0" borderId="0" xfId="4" applyNumberFormat="1" applyFont="1" applyFill="1" applyBorder="1" applyAlignment="1">
      <alignment horizontal="center"/>
    </xf>
    <xf numFmtId="5" fontId="9" fillId="0" borderId="0" xfId="4" applyNumberFormat="1" applyFont="1" applyFill="1" applyAlignment="1">
      <alignment horizontal="center"/>
    </xf>
    <xf numFmtId="164" fontId="9" fillId="0" borderId="1" xfId="4" applyNumberFormat="1" applyFont="1" applyFill="1" applyBorder="1" applyAlignment="1">
      <alignment horizontal="centerContinuous"/>
    </xf>
    <xf numFmtId="10" fontId="9" fillId="0" borderId="1" xfId="4" applyNumberFormat="1" applyFont="1" applyFill="1" applyBorder="1" applyAlignment="1">
      <alignment horizontal="centerContinuous"/>
    </xf>
    <xf numFmtId="5" fontId="9" fillId="0" borderId="1" xfId="4" applyNumberFormat="1" applyFont="1" applyFill="1" applyBorder="1" applyAlignment="1">
      <alignment horizontal="centerContinuous"/>
    </xf>
    <xf numFmtId="10" fontId="9" fillId="0" borderId="0" xfId="4" applyNumberFormat="1" applyFont="1" applyFill="1" applyAlignment="1">
      <alignment horizontal="center"/>
    </xf>
    <xf numFmtId="10" fontId="9" fillId="0" borderId="2" xfId="4" applyNumberFormat="1" applyFont="1" applyFill="1" applyBorder="1" applyAlignment="1">
      <alignment horizontal="center"/>
    </xf>
    <xf numFmtId="7" fontId="8" fillId="0" borderId="0" xfId="4" applyNumberFormat="1" applyFont="1" applyFill="1" applyBorder="1" applyProtection="1">
      <protection locked="0"/>
    </xf>
    <xf numFmtId="167" fontId="8" fillId="0" borderId="0" xfId="4" applyNumberFormat="1" applyFont="1" applyFill="1" applyProtection="1">
      <protection locked="0"/>
    </xf>
    <xf numFmtId="0" fontId="8" fillId="0" borderId="0" xfId="0" applyFont="1" applyBorder="1"/>
    <xf numFmtId="10" fontId="8" fillId="0" borderId="0" xfId="3" applyNumberFormat="1" applyFont="1" applyBorder="1"/>
    <xf numFmtId="168" fontId="8" fillId="0" borderId="0" xfId="4" applyNumberFormat="1" applyFont="1" applyFill="1" applyProtection="1">
      <protection locked="0"/>
    </xf>
    <xf numFmtId="7" fontId="8" fillId="0" borderId="0" xfId="4" applyNumberFormat="1" applyFont="1" applyFill="1" applyProtection="1"/>
    <xf numFmtId="10" fontId="8" fillId="0" borderId="0" xfId="4" applyNumberFormat="1" applyFont="1" applyFill="1" applyProtection="1"/>
    <xf numFmtId="10" fontId="8" fillId="0" borderId="11" xfId="4" applyNumberFormat="1" applyFont="1" applyFill="1" applyBorder="1"/>
    <xf numFmtId="10" fontId="8" fillId="0" borderId="0" xfId="3" applyNumberFormat="1" applyFont="1" applyFill="1"/>
    <xf numFmtId="10" fontId="8" fillId="0" borderId="0" xfId="3" applyNumberFormat="1" applyFont="1" applyFill="1" applyBorder="1"/>
    <xf numFmtId="168" fontId="8" fillId="0" borderId="0" xfId="4" applyNumberFormat="1" applyFont="1" applyFill="1" applyBorder="1" applyProtection="1">
      <protection locked="0"/>
    </xf>
    <xf numFmtId="10" fontId="8" fillId="0" borderId="0" xfId="4" applyNumberFormat="1" applyFont="1" applyFill="1" applyBorder="1" applyProtection="1">
      <protection locked="0"/>
    </xf>
    <xf numFmtId="171" fontId="8" fillId="0" borderId="0" xfId="4" applyNumberFormat="1" applyFont="1" applyFill="1" applyProtection="1">
      <protection locked="0"/>
    </xf>
    <xf numFmtId="10" fontId="8" fillId="0" borderId="12" xfId="4" applyNumberFormat="1" applyFont="1" applyFill="1" applyBorder="1"/>
    <xf numFmtId="168" fontId="8" fillId="0" borderId="12" xfId="4" applyNumberFormat="1" applyFont="1" applyFill="1" applyBorder="1" applyProtection="1"/>
    <xf numFmtId="168" fontId="8" fillId="0" borderId="0" xfId="4" applyNumberFormat="1" applyFont="1" applyFill="1" applyBorder="1" applyProtection="1"/>
    <xf numFmtId="10" fontId="8" fillId="0" borderId="1" xfId="4" applyNumberFormat="1" applyFont="1" applyFill="1" applyBorder="1"/>
    <xf numFmtId="169" fontId="8" fillId="0" borderId="0" xfId="4" applyNumberFormat="1" applyFont="1" applyFill="1" applyProtection="1">
      <protection locked="0"/>
    </xf>
    <xf numFmtId="164" fontId="8" fillId="0" borderId="0" xfId="4" applyNumberFormat="1" applyFont="1" applyFill="1" applyProtection="1">
      <protection locked="0"/>
    </xf>
    <xf numFmtId="171" fontId="8" fillId="0" borderId="0" xfId="4" applyNumberFormat="1" applyFont="1" applyFill="1" applyProtection="1"/>
    <xf numFmtId="10" fontId="8" fillId="0" borderId="2" xfId="4" applyNumberFormat="1" applyFont="1" applyFill="1" applyBorder="1"/>
    <xf numFmtId="10" fontId="8" fillId="0" borderId="0" xfId="4" applyNumberFormat="1" applyFont="1" applyFill="1" applyBorder="1" applyProtection="1"/>
    <xf numFmtId="165" fontId="8" fillId="0" borderId="0" xfId="1" applyNumberFormat="1" applyFont="1" applyFill="1" applyBorder="1"/>
    <xf numFmtId="10" fontId="8" fillId="0" borderId="12" xfId="1" applyNumberFormat="1" applyFont="1" applyFill="1" applyBorder="1"/>
    <xf numFmtId="172" fontId="8" fillId="0" borderId="0" xfId="1" applyNumberFormat="1" applyFont="1" applyFill="1" applyBorder="1" applyProtection="1">
      <protection locked="0"/>
    </xf>
    <xf numFmtId="10" fontId="8" fillId="0" borderId="0" xfId="1" applyNumberFormat="1" applyFont="1" applyFill="1" applyBorder="1" applyProtection="1">
      <protection locked="0"/>
    </xf>
    <xf numFmtId="49" fontId="9" fillId="0" borderId="0" xfId="4" applyNumberFormat="1" applyFont="1" applyFill="1"/>
    <xf numFmtId="10" fontId="8" fillId="0" borderId="0" xfId="4" applyNumberFormat="1" applyFont="1" applyFill="1" applyBorder="1"/>
    <xf numFmtId="172" fontId="8" fillId="0" borderId="0" xfId="1" applyNumberFormat="1" applyFont="1" applyFill="1" applyProtection="1">
      <protection locked="0"/>
    </xf>
    <xf numFmtId="10" fontId="8" fillId="0" borderId="0" xfId="1" applyNumberFormat="1" applyFont="1" applyFill="1" applyProtection="1">
      <protection locked="0"/>
    </xf>
    <xf numFmtId="176" fontId="8" fillId="0" borderId="0" xfId="4" applyNumberFormat="1" applyFont="1" applyFill="1" applyProtection="1">
      <protection locked="0"/>
    </xf>
    <xf numFmtId="176" fontId="8" fillId="0" borderId="0" xfId="4" applyNumberFormat="1" applyFont="1" applyFill="1" applyBorder="1" applyProtection="1">
      <protection locked="0"/>
    </xf>
    <xf numFmtId="176" fontId="8" fillId="0" borderId="0" xfId="4" applyNumberFormat="1" applyFont="1" applyFill="1" applyProtection="1"/>
    <xf numFmtId="176" fontId="8" fillId="0" borderId="0" xfId="4" applyNumberFormat="1" applyFont="1" applyFill="1" applyBorder="1" applyProtection="1"/>
    <xf numFmtId="164" fontId="8" fillId="0" borderId="0" xfId="4" applyNumberFormat="1" applyFont="1" applyFill="1" applyProtection="1"/>
    <xf numFmtId="164" fontId="8" fillId="0" borderId="0" xfId="4" applyNumberFormat="1" applyFont="1" applyFill="1" applyBorder="1" applyProtection="1"/>
    <xf numFmtId="172" fontId="8" fillId="0" borderId="0" xfId="1" applyNumberFormat="1" applyFont="1" applyFill="1" applyProtection="1"/>
    <xf numFmtId="172" fontId="8" fillId="0" borderId="0" xfId="1" applyNumberFormat="1" applyFont="1" applyFill="1" applyBorder="1" applyProtection="1"/>
    <xf numFmtId="168" fontId="8" fillId="0" borderId="11" xfId="4" applyNumberFormat="1" applyFont="1" applyFill="1" applyBorder="1" applyProtection="1"/>
    <xf numFmtId="164" fontId="8" fillId="0" borderId="0" xfId="4" applyNumberFormat="1" applyFont="1" applyFill="1" applyBorder="1" applyProtection="1">
      <protection locked="0"/>
    </xf>
    <xf numFmtId="0" fontId="9" fillId="0" borderId="1" xfId="6" applyFont="1" applyBorder="1" applyAlignment="1" applyProtection="1">
      <alignment horizontal="centerContinuous"/>
      <protection locked="0"/>
    </xf>
    <xf numFmtId="0" fontId="8" fillId="0" borderId="1" xfId="6" applyFont="1" applyBorder="1" applyAlignment="1" applyProtection="1">
      <alignment horizontal="centerContinuous"/>
      <protection locked="0"/>
    </xf>
    <xf numFmtId="3" fontId="4" fillId="0" borderId="0" xfId="4" applyNumberFormat="1" applyBorder="1" applyAlignment="1">
      <alignment horizontal="centerContinuous"/>
    </xf>
    <xf numFmtId="3" fontId="4" fillId="0" borderId="0" xfId="4" applyNumberFormat="1" applyBorder="1" applyAlignment="1">
      <alignment horizontal="center"/>
    </xf>
    <xf numFmtId="10" fontId="8" fillId="0" borderId="3" xfId="4" applyNumberFormat="1" applyFont="1" applyFill="1" applyBorder="1" applyAlignment="1">
      <alignment horizontal="right"/>
    </xf>
    <xf numFmtId="164" fontId="12" fillId="0" borderId="4" xfId="4" applyNumberFormat="1" applyFont="1" applyFill="1" applyBorder="1"/>
    <xf numFmtId="6" fontId="12" fillId="0" borderId="15" xfId="6" applyNumberFormat="1" applyFont="1" applyBorder="1" applyProtection="1">
      <protection locked="0"/>
    </xf>
    <xf numFmtId="10" fontId="8" fillId="0" borderId="0" xfId="6" applyNumberFormat="1" applyFont="1" applyProtection="1">
      <protection locked="0"/>
    </xf>
    <xf numFmtId="164" fontId="6" fillId="0" borderId="0" xfId="5" applyFont="1" applyFill="1" applyAlignment="1">
      <alignment horizontal="centerContinuous"/>
    </xf>
    <xf numFmtId="164" fontId="4" fillId="0" borderId="0" xfId="5" applyFill="1" applyAlignment="1">
      <alignment horizontal="centerContinuous"/>
    </xf>
    <xf numFmtId="164" fontId="4" fillId="0" borderId="0" xfId="5"/>
    <xf numFmtId="164" fontId="4" fillId="0" borderId="0" xfId="5" applyAlignment="1">
      <alignment horizontal="centerContinuous"/>
    </xf>
    <xf numFmtId="164" fontId="4" fillId="0" borderId="0" xfId="5" applyFill="1"/>
    <xf numFmtId="164" fontId="6" fillId="0" borderId="0" xfId="5" applyFont="1" applyAlignment="1">
      <alignment horizontal="center"/>
    </xf>
    <xf numFmtId="164" fontId="6" fillId="0" borderId="1" xfId="5" applyFont="1" applyBorder="1" applyAlignment="1">
      <alignment horizontal="center"/>
    </xf>
    <xf numFmtId="164" fontId="6" fillId="0" borderId="0" xfId="5" applyFont="1" applyFill="1"/>
    <xf numFmtId="164" fontId="4" fillId="0" borderId="0" xfId="5" applyFont="1" applyAlignment="1">
      <alignment horizontal="right"/>
    </xf>
    <xf numFmtId="164" fontId="4" fillId="0" borderId="0" xfId="5" applyAlignment="1">
      <alignment horizontal="right"/>
    </xf>
    <xf numFmtId="164" fontId="4" fillId="0" borderId="0" xfId="5" applyFont="1"/>
    <xf numFmtId="164" fontId="4" fillId="0" borderId="0" xfId="5" applyBorder="1" applyAlignment="1">
      <alignment horizontal="right"/>
    </xf>
    <xf numFmtId="176" fontId="4" fillId="0" borderId="0" xfId="2" applyNumberFormat="1" applyFont="1" applyFill="1"/>
    <xf numFmtId="164" fontId="4" fillId="0" borderId="0" xfId="5" quotePrefix="1" applyAlignment="1">
      <alignment horizontal="right"/>
    </xf>
    <xf numFmtId="164" fontId="14" fillId="0" borderId="0" xfId="5" applyFont="1"/>
    <xf numFmtId="164" fontId="6" fillId="0" borderId="0" xfId="5" applyFont="1" applyAlignment="1">
      <alignment wrapText="1"/>
    </xf>
    <xf numFmtId="164" fontId="4" fillId="0" borderId="0" xfId="5" applyBorder="1"/>
    <xf numFmtId="164" fontId="4" fillId="0" borderId="0" xfId="5" applyFill="1" applyBorder="1"/>
    <xf numFmtId="164" fontId="0" fillId="0" borderId="0" xfId="5" applyFont="1"/>
    <xf numFmtId="164" fontId="6" fillId="0" borderId="0" xfId="5" applyFont="1" applyAlignment="1">
      <alignment horizontal="left" wrapText="1"/>
    </xf>
    <xf numFmtId="164" fontId="4" fillId="0" borderId="0" xfId="4"/>
    <xf numFmtId="164" fontId="7" fillId="0" borderId="0" xfId="4" applyFont="1" applyFill="1"/>
    <xf numFmtId="164" fontId="4" fillId="0" borderId="0" xfId="4" applyBorder="1"/>
    <xf numFmtId="37" fontId="39" fillId="0" borderId="0" xfId="4" applyNumberFormat="1" applyFont="1" applyFill="1" applyProtection="1">
      <protection locked="0"/>
    </xf>
    <xf numFmtId="164" fontId="14" fillId="0" borderId="0" xfId="4" applyFont="1"/>
    <xf numFmtId="164" fontId="4" fillId="0" borderId="0" xfId="4" applyFont="1"/>
    <xf numFmtId="164" fontId="7" fillId="0" borderId="0" xfId="4" applyFont="1"/>
    <xf numFmtId="164" fontId="5" fillId="0" borderId="0" xfId="4" applyFont="1" applyFill="1" applyAlignment="1">
      <alignment horizontal="centerContinuous"/>
    </xf>
    <xf numFmtId="164" fontId="5" fillId="0" borderId="0" xfId="4" applyFont="1" applyFill="1" applyBorder="1" applyAlignment="1">
      <alignment horizontal="centerContinuous"/>
    </xf>
    <xf numFmtId="164" fontId="8" fillId="0" borderId="0" xfId="4" applyFont="1" applyFill="1" applyBorder="1"/>
    <xf numFmtId="164" fontId="8" fillId="0" borderId="0" xfId="4" applyFont="1" applyFill="1"/>
    <xf numFmtId="164" fontId="9" fillId="0" borderId="1" xfId="4" applyFont="1" applyFill="1" applyBorder="1" applyAlignment="1">
      <alignment horizontal="centerContinuous"/>
    </xf>
    <xf numFmtId="164" fontId="9" fillId="0" borderId="0" xfId="4" applyFont="1" applyFill="1" applyAlignment="1">
      <alignment horizontal="center"/>
    </xf>
    <xf numFmtId="164" fontId="9" fillId="0" borderId="2" xfId="4" applyFont="1" applyFill="1" applyBorder="1" applyAlignment="1">
      <alignment horizontal="center"/>
    </xf>
    <xf numFmtId="164" fontId="39" fillId="0" borderId="0" xfId="4" applyFont="1" applyFill="1" applyBorder="1"/>
    <xf numFmtId="168" fontId="39" fillId="0" borderId="0" xfId="4" applyNumberFormat="1" applyFont="1" applyFill="1" applyProtection="1">
      <protection locked="0"/>
    </xf>
    <xf numFmtId="164" fontId="8" fillId="0" borderId="11" xfId="4" applyFont="1" applyFill="1" applyBorder="1"/>
    <xf numFmtId="164" fontId="8" fillId="0" borderId="12" xfId="4" applyFont="1" applyFill="1" applyBorder="1"/>
    <xf numFmtId="164" fontId="8" fillId="0" borderId="1" xfId="4" applyFont="1" applyFill="1" applyBorder="1"/>
    <xf numFmtId="164" fontId="8" fillId="0" borderId="2" xfId="4" applyFont="1" applyFill="1" applyBorder="1"/>
    <xf numFmtId="171" fontId="8" fillId="0" borderId="0" xfId="4" applyNumberFormat="1" applyFont="1" applyFill="1" applyBorder="1" applyProtection="1"/>
    <xf numFmtId="176" fontId="8" fillId="0" borderId="1" xfId="4" applyNumberFormat="1" applyFont="1" applyFill="1" applyBorder="1" applyProtection="1"/>
    <xf numFmtId="10" fontId="8" fillId="0" borderId="0" xfId="1" applyNumberFormat="1" applyFont="1" applyFill="1" applyBorder="1"/>
    <xf numFmtId="164" fontId="6" fillId="0" borderId="0" xfId="5" applyFont="1" applyFill="1" applyAlignment="1">
      <alignment horizontal="left"/>
    </xf>
    <xf numFmtId="164" fontId="4" fillId="0" borderId="0" xfId="5" applyFill="1" applyBorder="1" applyAlignment="1">
      <alignment horizontal="centerContinuous"/>
    </xf>
    <xf numFmtId="5" fontId="8" fillId="0" borderId="11" xfId="2" applyNumberFormat="1" applyFont="1" applyFill="1" applyBorder="1"/>
    <xf numFmtId="164" fontId="6" fillId="0" borderId="1" xfId="5" applyFont="1" applyBorder="1" applyAlignment="1">
      <alignment horizontal="centerContinuous"/>
    </xf>
    <xf numFmtId="164" fontId="8" fillId="0" borderId="0" xfId="5" applyFont="1"/>
    <xf numFmtId="164" fontId="8" fillId="0" borderId="0" xfId="5" applyFont="1" applyFill="1" applyAlignment="1">
      <alignment horizontal="centerContinuous"/>
    </xf>
    <xf numFmtId="164" fontId="8" fillId="0" borderId="0" xfId="5" applyFont="1" applyFill="1" applyBorder="1" applyAlignment="1">
      <alignment horizontal="centerContinuous"/>
    </xf>
    <xf numFmtId="164" fontId="9" fillId="0" borderId="0" xfId="5" applyFont="1" applyFill="1" applyBorder="1" applyAlignment="1">
      <alignment horizontal="centerContinuous"/>
    </xf>
    <xf numFmtId="164" fontId="9" fillId="0" borderId="0" xfId="5" applyFont="1" applyFill="1" applyBorder="1" applyAlignment="1">
      <alignment horizontal="center"/>
    </xf>
    <xf numFmtId="164" fontId="9" fillId="0" borderId="1" xfId="5" quotePrefix="1" applyFont="1" applyFill="1" applyBorder="1" applyAlignment="1">
      <alignment horizontal="center"/>
    </xf>
    <xf numFmtId="37" fontId="9" fillId="0" borderId="0" xfId="5" quotePrefix="1" applyNumberFormat="1" applyFont="1" applyAlignment="1">
      <alignment horizontal="center"/>
    </xf>
    <xf numFmtId="164" fontId="9" fillId="0" borderId="0" xfId="5" applyFont="1" applyFill="1" applyAlignment="1">
      <alignment horizontal="center"/>
    </xf>
    <xf numFmtId="164" fontId="8" fillId="0" borderId="0" xfId="5" applyFont="1" applyFill="1"/>
    <xf numFmtId="5" fontId="8" fillId="0" borderId="0" xfId="2" applyNumberFormat="1" applyFont="1" applyFill="1"/>
    <xf numFmtId="5" fontId="8" fillId="0" borderId="1" xfId="2" applyNumberFormat="1" applyFont="1" applyFill="1" applyBorder="1"/>
    <xf numFmtId="0" fontId="9" fillId="0" borderId="0" xfId="6" applyFont="1" applyBorder="1" applyAlignment="1" applyProtection="1">
      <alignment horizontal="centerContinuous"/>
      <protection locked="0"/>
    </xf>
    <xf numFmtId="164" fontId="6" fillId="0" borderId="0" xfId="5" applyFont="1" applyBorder="1"/>
    <xf numFmtId="166" fontId="8" fillId="0" borderId="0" xfId="2" applyNumberFormat="1" applyFont="1" applyFill="1"/>
    <xf numFmtId="166" fontId="8" fillId="0" borderId="1" xfId="2" applyNumberFormat="1" applyFont="1" applyFill="1" applyBorder="1"/>
    <xf numFmtId="166" fontId="8" fillId="0" borderId="0" xfId="2" applyNumberFormat="1" applyFont="1" applyFill="1" applyBorder="1"/>
    <xf numFmtId="166" fontId="8" fillId="0" borderId="11" xfId="2" applyNumberFormat="1" applyFont="1" applyFill="1" applyBorder="1"/>
    <xf numFmtId="164" fontId="8" fillId="0" borderId="0" xfId="4" applyFont="1" applyFill="1" applyAlignment="1">
      <alignment horizontal="centerContinuous"/>
    </xf>
    <xf numFmtId="164" fontId="9" fillId="0" borderId="0" xfId="4" applyFont="1" applyFill="1" applyBorder="1" applyAlignment="1">
      <alignment horizontal="center"/>
    </xf>
    <xf numFmtId="164" fontId="9" fillId="0" borderId="0" xfId="4" applyFont="1" applyFill="1" applyAlignment="1">
      <alignment horizontal="left"/>
    </xf>
    <xf numFmtId="164" fontId="8" fillId="0" borderId="0" xfId="4" applyFont="1" applyFill="1" applyAlignment="1">
      <alignment horizontal="left"/>
    </xf>
    <xf numFmtId="164" fontId="39" fillId="0" borderId="0" xfId="4" applyFont="1" applyFill="1" applyAlignment="1">
      <alignment horizontal="left"/>
    </xf>
    <xf numFmtId="164" fontId="39" fillId="0" borderId="0" xfId="4" applyFont="1" applyFill="1"/>
    <xf numFmtId="0" fontId="39" fillId="0" borderId="0" xfId="0" applyFont="1" applyBorder="1"/>
    <xf numFmtId="5" fontId="39" fillId="0" borderId="0" xfId="4" applyNumberFormat="1" applyFont="1" applyFill="1" applyProtection="1"/>
    <xf numFmtId="164" fontId="8" fillId="0" borderId="0" xfId="4" applyFont="1" applyFill="1" applyBorder="1" applyAlignment="1">
      <alignment horizontal="left"/>
    </xf>
    <xf numFmtId="164" fontId="8" fillId="0" borderId="0" xfId="4" applyFont="1"/>
    <xf numFmtId="164" fontId="40" fillId="0" borderId="0" xfId="4" applyFont="1" applyFill="1" applyAlignment="1">
      <alignment horizontal="left"/>
    </xf>
    <xf numFmtId="164" fontId="8" fillId="0" borderId="0" xfId="4" applyFont="1" applyBorder="1"/>
    <xf numFmtId="164" fontId="41" fillId="0" borderId="0" xfId="4" applyFont="1" applyFill="1" applyAlignment="1">
      <alignment horizontal="left"/>
    </xf>
    <xf numFmtId="164" fontId="9" fillId="0" borderId="0" xfId="4" applyFont="1" applyFill="1" applyBorder="1" applyAlignment="1">
      <alignment horizontal="left"/>
    </xf>
    <xf numFmtId="180" fontId="10" fillId="0" borderId="0" xfId="186" applyFont="1" applyFill="1"/>
    <xf numFmtId="180" fontId="42" fillId="0" borderId="0" xfId="186" applyFont="1" applyFill="1" applyAlignment="1">
      <alignment horizontal="center"/>
    </xf>
    <xf numFmtId="43" fontId="0" fillId="0" borderId="0" xfId="187" applyFont="1" applyAlignment="1">
      <alignment horizontal="right"/>
    </xf>
    <xf numFmtId="180" fontId="10" fillId="0" borderId="0" xfId="186" applyFont="1" applyFill="1" applyAlignment="1">
      <alignment horizontal="centerContinuous"/>
    </xf>
    <xf numFmtId="37" fontId="42" fillId="0" borderId="0" xfId="188" applyNumberFormat="1" applyFont="1" applyFill="1" applyAlignment="1" applyProtection="1">
      <alignment horizontal="centerContinuous"/>
    </xf>
    <xf numFmtId="41" fontId="10" fillId="0" borderId="0" xfId="188" applyNumberFormat="1" applyFont="1" applyFill="1" applyAlignment="1">
      <alignment horizontal="centerContinuous"/>
    </xf>
    <xf numFmtId="37" fontId="10" fillId="0" borderId="0" xfId="188" applyNumberFormat="1" applyFont="1" applyFill="1" applyAlignment="1" applyProtection="1">
      <alignment horizontal="centerContinuous"/>
    </xf>
    <xf numFmtId="173" fontId="10" fillId="0" borderId="0" xfId="186" applyNumberFormat="1" applyFont="1" applyFill="1"/>
    <xf numFmtId="41" fontId="42" fillId="0" borderId="0" xfId="188" applyNumberFormat="1" applyFont="1" applyFill="1"/>
    <xf numFmtId="41" fontId="42" fillId="0" borderId="0" xfId="188" applyNumberFormat="1" applyFont="1" applyFill="1" applyAlignment="1">
      <alignment horizontal="center"/>
    </xf>
    <xf numFmtId="41" fontId="10" fillId="0" borderId="0" xfId="188" applyNumberFormat="1" applyFont="1" applyFill="1"/>
    <xf numFmtId="37" fontId="42" fillId="0" borderId="0" xfId="188" applyNumberFormat="1" applyFont="1" applyFill="1" applyProtection="1"/>
    <xf numFmtId="173" fontId="10" fillId="0" borderId="0" xfId="188" applyNumberFormat="1" applyFont="1" applyFill="1" applyBorder="1" applyProtection="1"/>
    <xf numFmtId="41" fontId="42" fillId="0" borderId="0" xfId="188" applyNumberFormat="1" applyFont="1" applyFill="1" applyBorder="1" applyAlignment="1">
      <alignment horizontal="center"/>
    </xf>
    <xf numFmtId="41" fontId="43" fillId="0" borderId="0" xfId="188" applyNumberFormat="1" applyFont="1" applyFill="1" applyAlignment="1">
      <alignment horizontal="center"/>
    </xf>
    <xf numFmtId="41" fontId="43" fillId="0" borderId="0" xfId="188" applyNumberFormat="1" applyFont="1" applyFill="1"/>
    <xf numFmtId="41" fontId="43" fillId="0" borderId="0" xfId="188" applyNumberFormat="1" applyFont="1" applyFill="1" applyBorder="1" applyAlignment="1">
      <alignment horizontal="center"/>
    </xf>
    <xf numFmtId="41" fontId="10" fillId="0" borderId="0" xfId="188" applyNumberFormat="1" applyFont="1" applyFill="1" applyAlignment="1">
      <alignment horizontal="center"/>
    </xf>
    <xf numFmtId="41" fontId="10" fillId="0" borderId="0" xfId="188" applyNumberFormat="1" applyFont="1" applyFill="1" applyBorder="1" applyAlignment="1">
      <alignment horizontal="center"/>
    </xf>
    <xf numFmtId="41" fontId="42" fillId="0" borderId="0" xfId="188" applyNumberFormat="1" applyFont="1" applyFill="1" applyProtection="1"/>
    <xf numFmtId="37" fontId="10" fillId="0" borderId="0" xfId="188" applyNumberFormat="1" applyFont="1" applyFill="1" applyProtection="1"/>
    <xf numFmtId="2" fontId="42" fillId="0" borderId="0" xfId="188" applyNumberFormat="1" applyFont="1" applyFill="1" applyBorder="1" applyAlignment="1">
      <alignment horizontal="center"/>
    </xf>
    <xf numFmtId="173" fontId="42" fillId="0" borderId="0" xfId="188" applyNumberFormat="1" applyFont="1" applyFill="1" applyProtection="1"/>
    <xf numFmtId="173" fontId="44" fillId="0" borderId="0" xfId="188" applyNumberFormat="1" applyFont="1" applyFill="1" applyProtection="1"/>
    <xf numFmtId="41" fontId="44" fillId="0" borderId="0" xfId="188" applyNumberFormat="1" applyFont="1" applyFill="1"/>
    <xf numFmtId="3" fontId="42" fillId="0" borderId="0" xfId="188" applyNumberFormat="1" applyFont="1" applyFill="1"/>
    <xf numFmtId="37" fontId="44" fillId="0" borderId="0" xfId="188" applyNumberFormat="1" applyFont="1" applyFill="1" applyProtection="1"/>
    <xf numFmtId="173" fontId="44" fillId="0" borderId="1" xfId="188" applyNumberFormat="1" applyFont="1" applyFill="1" applyBorder="1" applyProtection="1"/>
    <xf numFmtId="173" fontId="42" fillId="0" borderId="1" xfId="188" applyNumberFormat="1" applyFont="1" applyFill="1" applyBorder="1" applyProtection="1"/>
    <xf numFmtId="41" fontId="42" fillId="0" borderId="0" xfId="188" applyNumberFormat="1" applyFont="1" applyFill="1" applyBorder="1"/>
    <xf numFmtId="37" fontId="42" fillId="0" borderId="0" xfId="188" applyNumberFormat="1" applyFont="1" applyFill="1" applyBorder="1" applyProtection="1"/>
    <xf numFmtId="180" fontId="42" fillId="0" borderId="0" xfId="186" applyFont="1" applyFill="1"/>
    <xf numFmtId="173" fontId="42" fillId="0" borderId="0" xfId="187" applyNumberFormat="1" applyFont="1" applyFill="1"/>
    <xf numFmtId="173" fontId="10" fillId="0" borderId="0" xfId="187" applyNumberFormat="1" applyFont="1" applyFill="1"/>
    <xf numFmtId="180" fontId="10" fillId="0" borderId="0" xfId="186" applyFont="1" applyFill="1" applyAlignment="1">
      <alignment horizontal="center"/>
    </xf>
    <xf numFmtId="10" fontId="42" fillId="0" borderId="0" xfId="189" applyNumberFormat="1" applyFont="1" applyFill="1"/>
    <xf numFmtId="9" fontId="45" fillId="0" borderId="0" xfId="189" applyFont="1" applyFill="1" applyAlignment="1">
      <alignment horizontal="center"/>
    </xf>
    <xf numFmtId="173" fontId="10" fillId="0" borderId="0" xfId="189" applyNumberFormat="1" applyFont="1" applyFill="1"/>
    <xf numFmtId="10" fontId="42" fillId="24" borderId="0" xfId="189" applyNumberFormat="1" applyFont="1" applyFill="1"/>
    <xf numFmtId="173" fontId="10" fillId="0" borderId="0" xfId="189" applyNumberFormat="1" applyFont="1" applyFill="1" applyBorder="1"/>
    <xf numFmtId="10" fontId="42" fillId="24" borderId="1" xfId="189" applyNumberFormat="1" applyFont="1" applyFill="1" applyBorder="1"/>
    <xf numFmtId="0" fontId="2" fillId="0" borderId="0" xfId="188"/>
    <xf numFmtId="0" fontId="2" fillId="0" borderId="0" xfId="188" applyBorder="1"/>
    <xf numFmtId="37" fontId="42" fillId="0" borderId="0" xfId="188" applyNumberFormat="1" applyFont="1" applyFill="1" applyBorder="1" applyAlignment="1" applyProtection="1">
      <alignment horizontal="center"/>
    </xf>
    <xf numFmtId="41" fontId="42" fillId="0" borderId="23" xfId="188" applyNumberFormat="1" applyFont="1" applyFill="1" applyBorder="1" applyAlignment="1">
      <alignment horizontal="center"/>
    </xf>
    <xf numFmtId="181" fontId="44" fillId="0" borderId="23" xfId="187" applyNumberFormat="1" applyFont="1" applyFill="1" applyBorder="1" applyProtection="1"/>
    <xf numFmtId="181" fontId="46" fillId="0" borderId="23" xfId="187" applyNumberFormat="1" applyFont="1" applyFill="1" applyBorder="1" applyAlignment="1" applyProtection="1">
      <alignment horizontal="right"/>
    </xf>
    <xf numFmtId="0" fontId="2" fillId="0" borderId="0" xfId="188" applyAlignment="1">
      <alignment horizontal="center"/>
    </xf>
    <xf numFmtId="181" fontId="0" fillId="0" borderId="0" xfId="187" applyNumberFormat="1" applyFont="1"/>
    <xf numFmtId="0" fontId="42" fillId="0" borderId="23" xfId="188" applyNumberFormat="1" applyFont="1" applyFill="1" applyBorder="1" applyAlignment="1">
      <alignment horizontal="center"/>
    </xf>
    <xf numFmtId="181" fontId="47" fillId="0" borderId="23" xfId="187" applyNumberFormat="1" applyFont="1" applyFill="1" applyBorder="1" applyProtection="1"/>
    <xf numFmtId="181" fontId="42" fillId="0" borderId="23" xfId="187" applyNumberFormat="1" applyFont="1" applyFill="1" applyBorder="1" applyAlignment="1" applyProtection="1">
      <alignment horizontal="right"/>
    </xf>
    <xf numFmtId="10" fontId="12" fillId="0" borderId="0" xfId="4" applyNumberFormat="1" applyFont="1" applyFill="1"/>
    <xf numFmtId="164" fontId="12" fillId="0" borderId="0" xfId="5" applyFont="1" applyFill="1" applyBorder="1"/>
    <xf numFmtId="164" fontId="4" fillId="0" borderId="1" xfId="5" applyFill="1" applyBorder="1" applyAlignment="1">
      <alignment horizontal="centerContinuous"/>
    </xf>
    <xf numFmtId="164" fontId="4" fillId="0" borderId="25" xfId="5" applyBorder="1" applyAlignment="1">
      <alignment horizontal="center"/>
    </xf>
    <xf numFmtId="164" fontId="4" fillId="0" borderId="25" xfId="5" applyFill="1" applyBorder="1" applyAlignment="1">
      <alignment horizontal="center"/>
    </xf>
    <xf numFmtId="9" fontId="4" fillId="0" borderId="25" xfId="5" applyNumberFormat="1" applyFill="1" applyBorder="1" applyAlignment="1">
      <alignment horizontal="center"/>
    </xf>
    <xf numFmtId="164" fontId="12" fillId="0" borderId="5" xfId="5" applyFont="1" applyFill="1" applyBorder="1" applyAlignment="1">
      <alignment horizontal="right"/>
    </xf>
    <xf numFmtId="164" fontId="12" fillId="0" borderId="24" xfId="5" applyFont="1" applyFill="1" applyBorder="1"/>
    <xf numFmtId="5" fontId="12" fillId="0" borderId="6" xfId="2" applyNumberFormat="1" applyFont="1" applyFill="1" applyBorder="1"/>
    <xf numFmtId="164" fontId="12" fillId="0" borderId="8" xfId="5" applyFont="1" applyFill="1" applyBorder="1" applyAlignment="1">
      <alignment horizontal="right"/>
    </xf>
    <xf numFmtId="10" fontId="12" fillId="0" borderId="7" xfId="2" applyNumberFormat="1" applyFont="1" applyFill="1" applyBorder="1"/>
    <xf numFmtId="164" fontId="12" fillId="0" borderId="9" xfId="5" applyFont="1" applyFill="1" applyBorder="1" applyAlignment="1">
      <alignment horizontal="right"/>
    </xf>
    <xf numFmtId="164" fontId="12" fillId="0" borderId="1" xfId="5" applyFont="1" applyFill="1" applyBorder="1"/>
    <xf numFmtId="164" fontId="6" fillId="0" borderId="0" xfId="5" quotePrefix="1" applyFont="1" applyAlignment="1">
      <alignment horizontal="center"/>
    </xf>
    <xf numFmtId="9" fontId="8" fillId="0" borderId="0" xfId="6" applyNumberFormat="1" applyFont="1" applyProtection="1">
      <protection locked="0"/>
    </xf>
    <xf numFmtId="0" fontId="8" fillId="0" borderId="0" xfId="6" applyFont="1" applyAlignment="1" applyProtection="1">
      <alignment horizontal="right"/>
      <protection locked="0"/>
    </xf>
    <xf numFmtId="5" fontId="50" fillId="27" borderId="10" xfId="2" applyNumberFormat="1" applyFont="1" applyFill="1" applyBorder="1"/>
    <xf numFmtId="3" fontId="51" fillId="0" borderId="0" xfId="214" applyNumberFormat="1" applyFont="1" applyAlignment="1">
      <alignment horizontal="centerContinuous"/>
    </xf>
    <xf numFmtId="0" fontId="52" fillId="0" borderId="0" xfId="214" applyFont="1" applyAlignment="1">
      <alignment horizontal="centerContinuous"/>
    </xf>
    <xf numFmtId="178" fontId="52" fillId="0" borderId="0" xfId="214" applyNumberFormat="1" applyFont="1" applyAlignment="1">
      <alignment horizontal="centerContinuous"/>
    </xf>
    <xf numFmtId="7" fontId="52" fillId="0" borderId="0" xfId="214" applyNumberFormat="1" applyFont="1" applyAlignment="1">
      <alignment horizontal="centerContinuous"/>
    </xf>
    <xf numFmtId="0" fontId="52" fillId="0" borderId="0" xfId="214" applyFont="1" applyBorder="1" applyAlignment="1">
      <alignment horizontal="centerContinuous"/>
    </xf>
    <xf numFmtId="0" fontId="52" fillId="0" borderId="0" xfId="214" applyFont="1" applyBorder="1"/>
    <xf numFmtId="164" fontId="6" fillId="0" borderId="0" xfId="4" applyFont="1" applyFill="1" applyBorder="1" applyAlignment="1">
      <alignment horizontal="right"/>
    </xf>
    <xf numFmtId="9" fontId="6" fillId="0" borderId="0" xfId="4" applyNumberFormat="1" applyFont="1" applyBorder="1" applyAlignment="1">
      <alignment horizontal="right"/>
    </xf>
    <xf numFmtId="0" fontId="52" fillId="0" borderId="0" xfId="214" applyFont="1"/>
    <xf numFmtId="10" fontId="6" fillId="0" borderId="0" xfId="4" applyNumberFormat="1" applyFont="1" applyBorder="1" applyAlignment="1">
      <alignment horizontal="right"/>
    </xf>
    <xf numFmtId="164" fontId="6" fillId="0" borderId="0" xfId="4" applyFont="1" applyFill="1" applyBorder="1"/>
    <xf numFmtId="165" fontId="6" fillId="0" borderId="0" xfId="4" applyNumberFormat="1" applyFont="1" applyBorder="1"/>
    <xf numFmtId="3" fontId="53" fillId="0" borderId="0" xfId="214" applyNumberFormat="1" applyFont="1" applyBorder="1" applyAlignment="1">
      <alignment horizontal="left"/>
    </xf>
    <xf numFmtId="178" fontId="52" fillId="0" borderId="0" xfId="214" applyNumberFormat="1" applyFont="1" applyBorder="1"/>
    <xf numFmtId="0" fontId="54" fillId="0" borderId="0" xfId="214" applyFont="1" applyBorder="1" applyAlignment="1">
      <alignment horizontal="centerContinuous"/>
    </xf>
    <xf numFmtId="178" fontId="54" fillId="0" borderId="0" xfId="214" applyNumberFormat="1" applyFont="1" applyBorder="1" applyAlignment="1">
      <alignment horizontal="centerContinuous"/>
    </xf>
    <xf numFmtId="0" fontId="54" fillId="0" borderId="0" xfId="214" applyFont="1" applyAlignment="1">
      <alignment horizontal="centerContinuous"/>
    </xf>
    <xf numFmtId="178" fontId="54" fillId="0" borderId="0" xfId="214" applyNumberFormat="1" applyFont="1" applyAlignment="1">
      <alignment horizontal="centerContinuous"/>
    </xf>
    <xf numFmtId="3" fontId="52" fillId="0" borderId="0" xfId="214" applyNumberFormat="1" applyFont="1"/>
    <xf numFmtId="178" fontId="52" fillId="0" borderId="0" xfId="214" applyNumberFormat="1" applyFont="1"/>
    <xf numFmtId="178" fontId="52" fillId="0" borderId="0" xfId="214" applyNumberFormat="1" applyFont="1" applyBorder="1" applyAlignment="1">
      <alignment horizontal="centerContinuous"/>
    </xf>
    <xf numFmtId="178" fontId="54" fillId="0" borderId="1" xfId="214" applyNumberFormat="1" applyFont="1" applyBorder="1" applyAlignment="1">
      <alignment horizontal="centerContinuous"/>
    </xf>
    <xf numFmtId="0" fontId="10" fillId="0" borderId="1" xfId="214" applyBorder="1" applyAlignment="1">
      <alignment horizontal="centerContinuous"/>
    </xf>
    <xf numFmtId="178" fontId="52" fillId="0" borderId="1" xfId="214" applyNumberFormat="1" applyFont="1" applyBorder="1" applyAlignment="1">
      <alignment horizontal="centerContinuous"/>
    </xf>
    <xf numFmtId="0" fontId="52" fillId="0" borderId="1" xfId="214" applyFont="1" applyBorder="1" applyAlignment="1">
      <alignment horizontal="centerContinuous"/>
    </xf>
    <xf numFmtId="7" fontId="52" fillId="0" borderId="1" xfId="214" applyNumberFormat="1" applyFont="1" applyBorder="1" applyAlignment="1">
      <alignment horizontal="centerContinuous"/>
    </xf>
    <xf numFmtId="7" fontId="52" fillId="0" borderId="0" xfId="214" applyNumberFormat="1" applyFont="1"/>
    <xf numFmtId="3" fontId="56" fillId="0" borderId="0" xfId="214" applyNumberFormat="1" applyFont="1" applyAlignment="1">
      <alignment horizontal="center"/>
    </xf>
    <xf numFmtId="178" fontId="52" fillId="0" borderId="25" xfId="214" applyNumberFormat="1" applyFont="1" applyBorder="1" applyAlignment="1">
      <alignment horizontal="centerContinuous"/>
    </xf>
    <xf numFmtId="178" fontId="52" fillId="0" borderId="25" xfId="214" applyNumberFormat="1" applyFont="1" applyBorder="1" applyAlignment="1">
      <alignment horizontal="centerContinuous" wrapText="1"/>
    </xf>
    <xf numFmtId="7" fontId="52" fillId="0" borderId="1" xfId="214" applyNumberFormat="1" applyFont="1" applyBorder="1" applyAlignment="1">
      <alignment horizontal="center"/>
    </xf>
    <xf numFmtId="0" fontId="52" fillId="0" borderId="1" xfId="214" applyFont="1" applyBorder="1" applyAlignment="1">
      <alignment horizontal="center"/>
    </xf>
    <xf numFmtId="0" fontId="52" fillId="0" borderId="0" xfId="214" applyFont="1" applyAlignment="1">
      <alignment horizontal="center"/>
    </xf>
    <xf numFmtId="7" fontId="52" fillId="0" borderId="0" xfId="3" applyNumberFormat="1" applyFont="1"/>
    <xf numFmtId="166" fontId="52" fillId="0" borderId="0" xfId="3" applyNumberFormat="1" applyFont="1"/>
    <xf numFmtId="0" fontId="54" fillId="0" borderId="3" xfId="214" applyFont="1" applyBorder="1"/>
    <xf numFmtId="0" fontId="54" fillId="0" borderId="25" xfId="214" applyFont="1" applyBorder="1" applyAlignment="1">
      <alignment horizontal="center"/>
    </xf>
    <xf numFmtId="0" fontId="54" fillId="0" borderId="4" xfId="214" applyFont="1" applyBorder="1" applyAlignment="1">
      <alignment horizontal="center"/>
    </xf>
    <xf numFmtId="39" fontId="52" fillId="0" borderId="0" xfId="214" applyNumberFormat="1" applyFont="1"/>
    <xf numFmtId="0" fontId="57" fillId="0" borderId="8" xfId="214" applyFont="1" applyBorder="1"/>
    <xf numFmtId="0" fontId="52" fillId="0" borderId="7" xfId="214" applyFont="1" applyBorder="1"/>
    <xf numFmtId="0" fontId="52" fillId="0" borderId="8" xfId="214" applyFont="1" applyBorder="1"/>
    <xf numFmtId="7" fontId="58" fillId="0" borderId="0" xfId="214" applyNumberFormat="1" applyFont="1" applyBorder="1"/>
    <xf numFmtId="7" fontId="58" fillId="0" borderId="7" xfId="214" applyNumberFormat="1" applyFont="1" applyBorder="1"/>
    <xf numFmtId="166" fontId="52" fillId="0" borderId="0" xfId="214" applyNumberFormat="1" applyFont="1"/>
    <xf numFmtId="169" fontId="58" fillId="0" borderId="0" xfId="214" applyNumberFormat="1" applyFont="1" applyBorder="1"/>
    <xf numFmtId="169" fontId="58" fillId="0" borderId="7" xfId="214" applyNumberFormat="1" applyFont="1" applyBorder="1"/>
    <xf numFmtId="10" fontId="58" fillId="0" borderId="0" xfId="3" applyNumberFormat="1" applyFont="1" applyBorder="1"/>
    <xf numFmtId="10" fontId="58" fillId="0" borderId="7" xfId="3" applyNumberFormat="1" applyFont="1" applyBorder="1"/>
    <xf numFmtId="7" fontId="52" fillId="0" borderId="0" xfId="214" applyNumberFormat="1" applyFont="1" applyBorder="1"/>
    <xf numFmtId="7" fontId="52" fillId="0" borderId="7" xfId="214" applyNumberFormat="1" applyFont="1" applyBorder="1"/>
    <xf numFmtId="185" fontId="59" fillId="0" borderId="0" xfId="214" applyNumberFormat="1" applyFont="1" applyBorder="1"/>
    <xf numFmtId="185" fontId="59" fillId="0" borderId="7" xfId="214" applyNumberFormat="1" applyFont="1" applyBorder="1"/>
    <xf numFmtId="0" fontId="52" fillId="0" borderId="9" xfId="214" applyFont="1" applyBorder="1"/>
    <xf numFmtId="10" fontId="52" fillId="0" borderId="1" xfId="3" applyNumberFormat="1" applyFont="1" applyBorder="1"/>
    <xf numFmtId="10" fontId="52" fillId="0" borderId="10" xfId="3" applyNumberFormat="1" applyFont="1" applyBorder="1"/>
    <xf numFmtId="10" fontId="59" fillId="0" borderId="0" xfId="214" applyNumberFormat="1" applyFont="1" applyBorder="1"/>
    <xf numFmtId="10" fontId="59" fillId="0" borderId="0" xfId="214" applyNumberFormat="1" applyFont="1"/>
    <xf numFmtId="10" fontId="52" fillId="0" borderId="0" xfId="214" applyNumberFormat="1" applyFont="1" applyBorder="1"/>
    <xf numFmtId="10" fontId="52" fillId="0" borderId="0" xfId="214" applyNumberFormat="1" applyFont="1"/>
    <xf numFmtId="9" fontId="52" fillId="0" borderId="0" xfId="214" applyNumberFormat="1" applyFont="1"/>
    <xf numFmtId="3" fontId="55" fillId="0" borderId="0" xfId="214" applyNumberFormat="1" applyFont="1"/>
    <xf numFmtId="0" fontId="52" fillId="0" borderId="5" xfId="214" applyFont="1" applyBorder="1" applyAlignment="1">
      <alignment horizontal="centerContinuous"/>
    </xf>
    <xf numFmtId="0" fontId="52" fillId="0" borderId="24" xfId="214" applyFont="1" applyBorder="1" applyAlignment="1">
      <alignment horizontal="centerContinuous"/>
    </xf>
    <xf numFmtId="0" fontId="52" fillId="0" borderId="3" xfId="214" applyFont="1" applyBorder="1" applyAlignment="1">
      <alignment horizontal="centerContinuous"/>
    </xf>
    <xf numFmtId="0" fontId="52" fillId="0" borderId="4" xfId="214" applyFont="1" applyBorder="1" applyAlignment="1">
      <alignment horizontal="centerContinuous"/>
    </xf>
    <xf numFmtId="0" fontId="52" fillId="0" borderId="23" xfId="214" applyFont="1" applyBorder="1" applyAlignment="1">
      <alignment horizontal="centerContinuous"/>
    </xf>
    <xf numFmtId="0" fontId="52" fillId="0" borderId="3" xfId="214" applyFont="1" applyBorder="1" applyAlignment="1">
      <alignment horizontal="center"/>
    </xf>
    <xf numFmtId="0" fontId="52" fillId="0" borderId="9" xfId="214" applyFont="1" applyBorder="1" applyAlignment="1">
      <alignment horizontal="center"/>
    </xf>
    <xf numFmtId="0" fontId="52" fillId="0" borderId="27" xfId="214" applyFont="1" applyBorder="1" applyAlignment="1">
      <alignment horizontal="center"/>
    </xf>
    <xf numFmtId="0" fontId="52" fillId="0" borderId="23" xfId="214" applyFont="1" applyBorder="1" applyAlignment="1">
      <alignment horizontal="center"/>
    </xf>
    <xf numFmtId="0" fontId="52" fillId="0" borderId="28" xfId="214" applyFont="1" applyBorder="1"/>
    <xf numFmtId="1" fontId="52" fillId="0" borderId="0" xfId="214" applyNumberFormat="1" applyFont="1" applyBorder="1"/>
    <xf numFmtId="178" fontId="52" fillId="0" borderId="8" xfId="214" applyNumberFormat="1" applyFont="1" applyBorder="1"/>
    <xf numFmtId="166" fontId="52" fillId="0" borderId="28" xfId="3" applyNumberFormat="1" applyFont="1" applyBorder="1"/>
    <xf numFmtId="0" fontId="52" fillId="0" borderId="29" xfId="214" applyFont="1" applyBorder="1"/>
    <xf numFmtId="166" fontId="52" fillId="0" borderId="29" xfId="3" applyNumberFormat="1" applyFont="1" applyBorder="1"/>
    <xf numFmtId="2" fontId="52" fillId="0" borderId="29" xfId="214" applyNumberFormat="1" applyFont="1" applyBorder="1"/>
    <xf numFmtId="3" fontId="52" fillId="0" borderId="0" xfId="214" applyNumberFormat="1" applyFont="1" applyBorder="1"/>
    <xf numFmtId="0" fontId="10" fillId="0" borderId="0" xfId="214" applyBorder="1" applyAlignment="1">
      <alignment horizontal="centerContinuous"/>
    </xf>
    <xf numFmtId="7" fontId="52" fillId="0" borderId="0" xfId="214" applyNumberFormat="1" applyFont="1" applyBorder="1" applyAlignment="1">
      <alignment horizontal="centerContinuous"/>
    </xf>
    <xf numFmtId="3" fontId="56" fillId="0" borderId="0" xfId="214" applyNumberFormat="1" applyFont="1" applyBorder="1" applyAlignment="1">
      <alignment horizontal="center"/>
    </xf>
    <xf numFmtId="178" fontId="52" fillId="0" borderId="0" xfId="214" applyNumberFormat="1" applyFont="1" applyBorder="1" applyAlignment="1">
      <alignment horizontal="centerContinuous" wrapText="1"/>
    </xf>
    <xf numFmtId="7" fontId="52" fillId="0" borderId="0" xfId="214" applyNumberFormat="1" applyFont="1" applyBorder="1" applyAlignment="1">
      <alignment horizontal="center"/>
    </xf>
    <xf numFmtId="0" fontId="52" fillId="0" borderId="0" xfId="214" applyFont="1" applyBorder="1" applyAlignment="1">
      <alignment horizontal="center"/>
    </xf>
    <xf numFmtId="166" fontId="52" fillId="0" borderId="0" xfId="3" applyNumberFormat="1" applyFont="1" applyBorder="1"/>
    <xf numFmtId="7" fontId="52" fillId="0" borderId="0" xfId="3" applyNumberFormat="1" applyFont="1" applyBorder="1"/>
    <xf numFmtId="0" fontId="52" fillId="28" borderId="27" xfId="214" applyFont="1" applyFill="1" applyBorder="1"/>
    <xf numFmtId="3" fontId="52" fillId="28" borderId="1" xfId="214" applyNumberFormat="1" applyFont="1" applyFill="1" applyBorder="1"/>
    <xf numFmtId="178" fontId="52" fillId="28" borderId="9" xfId="214" applyNumberFormat="1" applyFont="1" applyFill="1" applyBorder="1"/>
    <xf numFmtId="166" fontId="52" fillId="28" borderId="27" xfId="3" applyNumberFormat="1" applyFont="1" applyFill="1" applyBorder="1"/>
    <xf numFmtId="164" fontId="6" fillId="0" borderId="0" xfId="5" applyNumberFormat="1" applyFont="1" applyAlignment="1">
      <alignment horizontal="centerContinuous"/>
    </xf>
    <xf numFmtId="164" fontId="6" fillId="0" borderId="0" xfId="5" applyNumberFormat="1" applyFont="1" applyFill="1" applyAlignment="1">
      <alignment horizontal="centerContinuous"/>
    </xf>
    <xf numFmtId="164" fontId="4" fillId="0" borderId="0" xfId="5" applyNumberFormat="1" applyFill="1" applyAlignment="1">
      <alignment horizontal="centerContinuous"/>
    </xf>
    <xf numFmtId="166" fontId="4" fillId="0" borderId="0" xfId="5" applyNumberFormat="1" applyFill="1" applyAlignment="1">
      <alignment horizontal="centerContinuous"/>
    </xf>
    <xf numFmtId="164" fontId="4" fillId="0" borderId="0" xfId="5" applyNumberFormat="1"/>
    <xf numFmtId="0" fontId="0" fillId="0" borderId="0" xfId="0" applyAlignment="1">
      <alignment horizontal="centerContinuous"/>
    </xf>
    <xf numFmtId="166" fontId="0" fillId="0" borderId="0" xfId="0" applyNumberFormat="1" applyAlignment="1">
      <alignment horizontal="centerContinuous"/>
    </xf>
    <xf numFmtId="164" fontId="4" fillId="0" borderId="0" xfId="5" applyNumberFormat="1" applyAlignment="1">
      <alignment horizontal="centerContinuous"/>
    </xf>
    <xf numFmtId="166" fontId="4" fillId="0" borderId="0" xfId="5" applyNumberFormat="1" applyAlignment="1">
      <alignment horizontal="centerContinuous"/>
    </xf>
    <xf numFmtId="164" fontId="6" fillId="0" borderId="0" xfId="5" applyNumberFormat="1" applyFont="1" applyFill="1" applyBorder="1" applyAlignment="1">
      <alignment horizontal="left"/>
    </xf>
    <xf numFmtId="164" fontId="6" fillId="0" borderId="0" xfId="5" applyNumberFormat="1" applyFont="1" applyFill="1" applyAlignment="1">
      <alignment horizontal="center"/>
    </xf>
    <xf numFmtId="164" fontId="4" fillId="0" borderId="0" xfId="5" applyNumberFormat="1" applyFill="1"/>
    <xf numFmtId="166" fontId="4" fillId="0" borderId="0" xfId="5" applyNumberFormat="1" applyFill="1"/>
    <xf numFmtId="164" fontId="6" fillId="0" borderId="0" xfId="5" applyNumberFormat="1" applyFont="1" applyAlignment="1">
      <alignment horizontal="center"/>
    </xf>
    <xf numFmtId="164" fontId="6" fillId="0" borderId="1" xfId="5" applyFont="1" applyFill="1" applyBorder="1" applyAlignment="1">
      <alignment horizontal="centerContinuous"/>
    </xf>
    <xf numFmtId="166" fontId="6" fillId="0" borderId="1" xfId="5" applyNumberFormat="1" applyFont="1" applyFill="1" applyBorder="1" applyAlignment="1">
      <alignment horizontal="centerContinuous"/>
    </xf>
    <xf numFmtId="164" fontId="6" fillId="0" borderId="0" xfId="5" applyNumberFormat="1" applyFont="1"/>
    <xf numFmtId="164" fontId="6" fillId="0" borderId="0" xfId="5" applyNumberFormat="1" applyFont="1" applyFill="1" applyBorder="1" applyAlignment="1">
      <alignment horizontal="center"/>
    </xf>
    <xf numFmtId="164" fontId="6" fillId="0" borderId="1" xfId="5" applyNumberFormat="1" applyFont="1" applyBorder="1" applyAlignment="1">
      <alignment horizontal="center"/>
    </xf>
    <xf numFmtId="164" fontId="6" fillId="0" borderId="1" xfId="5" applyNumberFormat="1" applyFont="1" applyFill="1" applyBorder="1" applyAlignment="1">
      <alignment horizontal="center"/>
    </xf>
    <xf numFmtId="166" fontId="6" fillId="0" borderId="1" xfId="5" applyNumberFormat="1" applyFont="1" applyFill="1" applyBorder="1" applyAlignment="1">
      <alignment horizontal="center"/>
    </xf>
    <xf numFmtId="164" fontId="6" fillId="0" borderId="0" xfId="5" applyNumberFormat="1" applyFont="1" applyFill="1"/>
    <xf numFmtId="166" fontId="6" fillId="0" borderId="0" xfId="5" applyNumberFormat="1" applyFont="1" applyFill="1" applyAlignment="1">
      <alignment horizontal="center"/>
    </xf>
    <xf numFmtId="164" fontId="4" fillId="0" borderId="0" xfId="5" applyNumberFormat="1" applyFont="1" applyAlignment="1">
      <alignment horizontal="right"/>
    </xf>
    <xf numFmtId="166" fontId="4" fillId="0" borderId="0" xfId="2" applyNumberFormat="1" applyFont="1" applyFill="1"/>
    <xf numFmtId="164" fontId="4" fillId="0" borderId="0" xfId="5" applyNumberFormat="1" applyFont="1"/>
    <xf numFmtId="164" fontId="4" fillId="0" borderId="0" xfId="5" applyNumberFormat="1" applyBorder="1" applyAlignment="1">
      <alignment horizontal="right"/>
    </xf>
    <xf numFmtId="164" fontId="4" fillId="0" borderId="1" xfId="5" applyNumberFormat="1" applyFill="1" applyBorder="1" applyAlignment="1">
      <alignment horizontal="right"/>
    </xf>
    <xf numFmtId="166" fontId="4" fillId="0" borderId="1" xfId="2" applyNumberFormat="1" applyFont="1" applyFill="1" applyBorder="1"/>
    <xf numFmtId="164" fontId="4" fillId="0" borderId="0" xfId="5" quotePrefix="1" applyNumberFormat="1" applyAlignment="1">
      <alignment horizontal="right"/>
    </xf>
    <xf numFmtId="164" fontId="4" fillId="0" borderId="0" xfId="5" applyNumberFormat="1" applyAlignment="1">
      <alignment horizontal="right"/>
    </xf>
    <xf numFmtId="173" fontId="4" fillId="0" borderId="1" xfId="1" applyNumberFormat="1" applyFont="1" applyFill="1" applyBorder="1"/>
    <xf numFmtId="164" fontId="14" fillId="0" borderId="0" xfId="5" applyNumberFormat="1" applyFont="1"/>
    <xf numFmtId="164" fontId="6" fillId="0" borderId="0" xfId="5" applyNumberFormat="1" applyFont="1" applyAlignment="1">
      <alignment wrapText="1"/>
    </xf>
    <xf numFmtId="164" fontId="4" fillId="0" borderId="0" xfId="5" quotePrefix="1" applyNumberFormat="1" applyFont="1" applyAlignment="1">
      <alignment horizontal="right"/>
    </xf>
    <xf numFmtId="3" fontId="4" fillId="0" borderId="0" xfId="5" applyNumberFormat="1" applyFill="1"/>
    <xf numFmtId="164" fontId="4" fillId="0" borderId="0" xfId="5" applyNumberFormat="1" applyBorder="1"/>
    <xf numFmtId="164" fontId="4" fillId="0" borderId="0" xfId="5" applyNumberFormat="1" applyFill="1" applyBorder="1"/>
    <xf numFmtId="173" fontId="4" fillId="0" borderId="0" xfId="1" applyNumberFormat="1" applyFont="1" applyFill="1" applyBorder="1"/>
    <xf numFmtId="166" fontId="4" fillId="0" borderId="0" xfId="2" applyNumberFormat="1" applyFont="1" applyFill="1" applyBorder="1"/>
    <xf numFmtId="164" fontId="0" fillId="0" borderId="0" xfId="5" applyNumberFormat="1" applyFont="1"/>
    <xf numFmtId="173" fontId="4" fillId="0" borderId="1" xfId="1" applyNumberFormat="1" applyFont="1" applyFill="1" applyBorder="1" applyAlignment="1">
      <alignment horizontal="right"/>
    </xf>
    <xf numFmtId="173" fontId="4" fillId="0" borderId="11" xfId="1" applyNumberFormat="1" applyFont="1" applyFill="1" applyBorder="1"/>
    <xf numFmtId="166" fontId="4" fillId="0" borderId="11" xfId="2" applyNumberFormat="1" applyFont="1" applyFill="1" applyBorder="1"/>
    <xf numFmtId="164" fontId="6" fillId="0" borderId="0" xfId="5" applyNumberFormat="1" applyFont="1" applyAlignment="1">
      <alignment horizontal="left" wrapText="1"/>
    </xf>
    <xf numFmtId="164" fontId="4" fillId="0" borderId="1" xfId="5" applyFill="1" applyBorder="1" applyAlignment="1">
      <alignment horizontal="right"/>
    </xf>
    <xf numFmtId="166" fontId="6" fillId="0" borderId="0" xfId="5" applyNumberFormat="1" applyFont="1" applyFill="1" applyAlignment="1">
      <alignment horizontal="centerContinuous"/>
    </xf>
    <xf numFmtId="166" fontId="6" fillId="0" borderId="0" xfId="0" quotePrefix="1" applyNumberFormat="1" applyFont="1" applyAlignment="1">
      <alignment horizontal="centerContinuous"/>
    </xf>
    <xf numFmtId="7" fontId="4" fillId="0" borderId="0" xfId="2" applyNumberFormat="1" applyFont="1" applyFill="1"/>
    <xf numFmtId="7" fontId="4" fillId="0" borderId="0" xfId="2" applyNumberFormat="1" applyFont="1" applyFill="1" applyBorder="1"/>
    <xf numFmtId="7" fontId="4" fillId="0" borderId="1" xfId="2" applyNumberFormat="1" applyFont="1" applyFill="1" applyBorder="1"/>
    <xf numFmtId="186" fontId="4" fillId="0" borderId="11" xfId="2" applyNumberFormat="1" applyFont="1" applyFill="1" applyBorder="1"/>
    <xf numFmtId="164" fontId="8" fillId="0" borderId="0" xfId="4" applyFont="1" applyFill="1" applyBorder="1" applyAlignment="1">
      <alignment vertical="center"/>
    </xf>
    <xf numFmtId="9" fontId="4" fillId="0" borderId="0" xfId="3" applyFont="1"/>
    <xf numFmtId="187" fontId="0" fillId="0" borderId="0" xfId="0" applyNumberFormat="1"/>
    <xf numFmtId="0" fontId="4" fillId="0" borderId="0" xfId="0" applyFont="1"/>
    <xf numFmtId="0" fontId="6" fillId="0" borderId="0" xfId="0" applyFont="1"/>
    <xf numFmtId="0" fontId="6" fillId="0" borderId="1" xfId="0" applyFont="1" applyBorder="1"/>
    <xf numFmtId="188" fontId="0" fillId="0" borderId="0" xfId="0" quotePrefix="1" applyNumberFormat="1"/>
    <xf numFmtId="0" fontId="6" fillId="0" borderId="1" xfId="0" applyFont="1" applyFill="1" applyBorder="1"/>
    <xf numFmtId="164" fontId="12" fillId="0" borderId="0" xfId="4" applyFont="1"/>
    <xf numFmtId="5" fontId="12" fillId="0" borderId="0" xfId="4" applyNumberFormat="1" applyFont="1" applyFill="1" applyProtection="1">
      <protection locked="0"/>
    </xf>
    <xf numFmtId="5" fontId="12" fillId="0" borderId="2" xfId="4" applyNumberFormat="1" applyFont="1" applyFill="1" applyBorder="1" applyProtection="1"/>
    <xf numFmtId="5" fontId="12" fillId="0" borderId="12" xfId="4" applyNumberFormat="1" applyFont="1" applyFill="1" applyBorder="1" applyProtection="1"/>
    <xf numFmtId="0" fontId="10" fillId="29" borderId="5" xfId="206" applyFill="1" applyBorder="1"/>
    <xf numFmtId="0" fontId="10" fillId="29" borderId="24" xfId="206" applyFill="1" applyBorder="1"/>
    <xf numFmtId="0" fontId="10" fillId="29" borderId="6" xfId="206" applyFill="1" applyBorder="1"/>
    <xf numFmtId="0" fontId="10" fillId="0" borderId="0" xfId="206"/>
    <xf numFmtId="0" fontId="10" fillId="29" borderId="8" xfId="206" applyFill="1" applyBorder="1"/>
    <xf numFmtId="0" fontId="43" fillId="29" borderId="0" xfId="206" applyFont="1" applyFill="1" applyBorder="1"/>
    <xf numFmtId="0" fontId="10" fillId="29" borderId="0" xfId="206" applyFill="1" applyBorder="1"/>
    <xf numFmtId="0" fontId="10" fillId="29" borderId="7" xfId="206" applyFill="1" applyBorder="1"/>
    <xf numFmtId="0" fontId="42" fillId="29" borderId="0" xfId="206" applyFont="1" applyFill="1" applyBorder="1"/>
    <xf numFmtId="0" fontId="10" fillId="29" borderId="0" xfId="206" applyFont="1" applyFill="1" applyBorder="1"/>
    <xf numFmtId="189" fontId="10" fillId="29" borderId="0" xfId="2" applyNumberFormat="1" applyFont="1" applyFill="1" applyAlignment="1">
      <alignment horizontal="right" vertical="center"/>
    </xf>
    <xf numFmtId="189" fontId="10" fillId="29" borderId="1" xfId="2" applyNumberFormat="1" applyFont="1" applyFill="1" applyBorder="1" applyAlignment="1">
      <alignment horizontal="right" vertical="center"/>
    </xf>
    <xf numFmtId="189" fontId="42" fillId="29" borderId="0" xfId="2" applyNumberFormat="1" applyFont="1" applyFill="1" applyAlignment="1">
      <alignment horizontal="right" vertical="center"/>
    </xf>
    <xf numFmtId="43" fontId="10" fillId="29" borderId="0" xfId="206" applyNumberFormat="1" applyFill="1" applyBorder="1"/>
    <xf numFmtId="41" fontId="10" fillId="29" borderId="0" xfId="206" applyNumberFormat="1" applyFont="1" applyFill="1" applyBorder="1"/>
    <xf numFmtId="190" fontId="10" fillId="29" borderId="0" xfId="206" applyNumberFormat="1" applyFont="1" applyFill="1" applyBorder="1"/>
    <xf numFmtId="43" fontId="10" fillId="0" borderId="0" xfId="206" applyNumberFormat="1"/>
    <xf numFmtId="42" fontId="42" fillId="29" borderId="0" xfId="206" applyNumberFormat="1" applyFont="1" applyFill="1" applyBorder="1"/>
    <xf numFmtId="190" fontId="42" fillId="29" borderId="11" xfId="206" applyNumberFormat="1" applyFont="1" applyFill="1" applyBorder="1"/>
    <xf numFmtId="0" fontId="62" fillId="29" borderId="0" xfId="206" applyFont="1" applyFill="1" applyBorder="1"/>
    <xf numFmtId="0" fontId="10" fillId="29" borderId="9" xfId="206" applyFill="1" applyBorder="1"/>
    <xf numFmtId="0" fontId="10" fillId="29" borderId="1" xfId="206" applyFill="1" applyBorder="1"/>
    <xf numFmtId="0" fontId="10" fillId="29" borderId="10" xfId="206" applyFill="1" applyBorder="1"/>
    <xf numFmtId="14" fontId="10" fillId="0" borderId="0" xfId="206" applyNumberFormat="1"/>
    <xf numFmtId="41" fontId="10" fillId="29" borderId="0" xfId="206" applyNumberFormat="1" applyFill="1" applyBorder="1"/>
    <xf numFmtId="10" fontId="0" fillId="0" borderId="0" xfId="3" applyNumberFormat="1" applyFont="1"/>
    <xf numFmtId="41" fontId="10" fillId="29" borderId="1" xfId="206" applyNumberFormat="1" applyFill="1" applyBorder="1"/>
    <xf numFmtId="177" fontId="42" fillId="29" borderId="0" xfId="2" applyNumberFormat="1" applyFont="1" applyFill="1" applyBorder="1"/>
    <xf numFmtId="177" fontId="10" fillId="0" borderId="0" xfId="206" applyNumberFormat="1"/>
    <xf numFmtId="41" fontId="10" fillId="0" borderId="0" xfId="206" applyNumberFormat="1"/>
    <xf numFmtId="41" fontId="10" fillId="29" borderId="1" xfId="206" applyNumberFormat="1" applyFont="1" applyFill="1" applyBorder="1"/>
    <xf numFmtId="173" fontId="10" fillId="0" borderId="0" xfId="206" applyNumberFormat="1"/>
    <xf numFmtId="41" fontId="10" fillId="29" borderId="25" xfId="206" applyNumberFormat="1" applyFont="1" applyFill="1" applyBorder="1"/>
    <xf numFmtId="177" fontId="42" fillId="29" borderId="11" xfId="2" applyNumberFormat="1" applyFont="1" applyFill="1" applyBorder="1"/>
    <xf numFmtId="0" fontId="10" fillId="29" borderId="0" xfId="206" applyFill="1" applyBorder="1" applyAlignment="1">
      <alignment horizontal="left"/>
    </xf>
    <xf numFmtId="177" fontId="0" fillId="29" borderId="0" xfId="2" applyNumberFormat="1" applyFont="1" applyFill="1" applyBorder="1"/>
    <xf numFmtId="173" fontId="0" fillId="29" borderId="1" xfId="1" applyNumberFormat="1" applyFont="1" applyFill="1" applyBorder="1"/>
    <xf numFmtId="44" fontId="0" fillId="29" borderId="0" xfId="2" applyFont="1" applyFill="1" applyBorder="1"/>
    <xf numFmtId="173" fontId="0" fillId="29" borderId="0" xfId="1" applyNumberFormat="1" applyFont="1" applyFill="1" applyBorder="1"/>
    <xf numFmtId="177" fontId="42" fillId="29" borderId="25" xfId="2" applyNumberFormat="1" applyFont="1" applyFill="1" applyBorder="1"/>
    <xf numFmtId="7" fontId="54" fillId="0" borderId="0" xfId="214" applyNumberFormat="1" applyFont="1" applyAlignment="1">
      <alignment horizontal="center"/>
    </xf>
  </cellXfs>
  <cellStyles count="218">
    <cellStyle name="Comma" xfId="1" builtinId="3"/>
    <cellStyle name="Comma  - Style1" xfId="190"/>
    <cellStyle name="Comma  - Style2" xfId="191"/>
    <cellStyle name="Comma  - Style3" xfId="192"/>
    <cellStyle name="Comma  - Style4" xfId="193"/>
    <cellStyle name="Comma  - Style5" xfId="194"/>
    <cellStyle name="Comma  - Style6" xfId="195"/>
    <cellStyle name="Comma  - Style7" xfId="196"/>
    <cellStyle name="Comma  - Style8" xfId="197"/>
    <cellStyle name="Comma 11" xfId="26"/>
    <cellStyle name="Comma 19" xfId="27"/>
    <cellStyle name="Comma 2" xfId="8"/>
    <cellStyle name="Comma 2 10" xfId="28"/>
    <cellStyle name="Comma 2 11" xfId="29"/>
    <cellStyle name="Comma 2 12" xfId="30"/>
    <cellStyle name="Comma 2 13" xfId="31"/>
    <cellStyle name="Comma 2 14" xfId="32"/>
    <cellStyle name="Comma 2 15" xfId="33"/>
    <cellStyle name="Comma 2 16" xfId="34"/>
    <cellStyle name="Comma 2 17" xfId="35"/>
    <cellStyle name="Comma 2 18" xfId="36"/>
    <cellStyle name="Comma 2 19" xfId="37"/>
    <cellStyle name="Comma 2 2" xfId="38"/>
    <cellStyle name="Comma 2 2 2" xfId="39"/>
    <cellStyle name="Comma 2 20" xfId="40"/>
    <cellStyle name="Comma 2 21" xfId="41"/>
    <cellStyle name="Comma 2 3" xfId="42"/>
    <cellStyle name="Comma 2 4" xfId="43"/>
    <cellStyle name="Comma 2 5" xfId="44"/>
    <cellStyle name="Comma 2 6" xfId="45"/>
    <cellStyle name="Comma 2 7" xfId="46"/>
    <cellStyle name="Comma 2 8" xfId="47"/>
    <cellStyle name="Comma 2 9" xfId="48"/>
    <cellStyle name="Comma 21" xfId="49"/>
    <cellStyle name="Comma 22" xfId="50"/>
    <cellStyle name="Comma 3" xfId="51"/>
    <cellStyle name="Comma 3 2" xfId="198"/>
    <cellStyle name="Comma 4" xfId="52"/>
    <cellStyle name="Comma 5" xfId="53"/>
    <cellStyle name="Comma 6" xfId="187"/>
    <cellStyle name="Comma0" xfId="54"/>
    <cellStyle name="Currency" xfId="2" builtinId="4"/>
    <cellStyle name="Currency 2" xfId="9"/>
    <cellStyle name="Currency 2 10" xfId="55"/>
    <cellStyle name="Currency 2 11" xfId="56"/>
    <cellStyle name="Currency 2 12" xfId="57"/>
    <cellStyle name="Currency 2 13" xfId="58"/>
    <cellStyle name="Currency 2 14" xfId="59"/>
    <cellStyle name="Currency 2 15" xfId="60"/>
    <cellStyle name="Currency 2 16" xfId="61"/>
    <cellStyle name="Currency 2 17" xfId="62"/>
    <cellStyle name="Currency 2 18" xfId="63"/>
    <cellStyle name="Currency 2 19" xfId="64"/>
    <cellStyle name="Currency 2 2" xfId="65"/>
    <cellStyle name="Currency 2 2 2" xfId="66"/>
    <cellStyle name="Currency 2 20" xfId="67"/>
    <cellStyle name="Currency 2 21" xfId="68"/>
    <cellStyle name="Currency 2 3" xfId="69"/>
    <cellStyle name="Currency 2 4" xfId="70"/>
    <cellStyle name="Currency 2 5" xfId="71"/>
    <cellStyle name="Currency 2 6" xfId="72"/>
    <cellStyle name="Currency 2 7" xfId="73"/>
    <cellStyle name="Currency 2 8" xfId="74"/>
    <cellStyle name="Currency 2 9" xfId="75"/>
    <cellStyle name="Currency 3" xfId="199"/>
    <cellStyle name="Currency No Comma" xfId="76"/>
    <cellStyle name="Currency0" xfId="77"/>
    <cellStyle name="Date" xfId="78"/>
    <cellStyle name="Fixed" xfId="79"/>
    <cellStyle name="General" xfId="10"/>
    <cellStyle name="Grey" xfId="200"/>
    <cellStyle name="header" xfId="201"/>
    <cellStyle name="Header1" xfId="202"/>
    <cellStyle name="Header2" xfId="203"/>
    <cellStyle name="Input [yellow]" xfId="204"/>
    <cellStyle name="MCP" xfId="80"/>
    <cellStyle name="nONE" xfId="11"/>
    <cellStyle name="noninput" xfId="81"/>
    <cellStyle name="Normal" xfId="0" builtinId="0"/>
    <cellStyle name="Normal - Style1" xfId="205"/>
    <cellStyle name="Normal 10" xfId="82"/>
    <cellStyle name="Normal 11" xfId="83"/>
    <cellStyle name="Normal 12" xfId="84"/>
    <cellStyle name="Normal 13" xfId="85"/>
    <cellStyle name="Normal 14" xfId="86"/>
    <cellStyle name="Normal 15" xfId="184"/>
    <cellStyle name="Normal 16" xfId="87"/>
    <cellStyle name="Normal 17" xfId="88"/>
    <cellStyle name="Normal 18" xfId="89"/>
    <cellStyle name="Normal 19" xfId="90"/>
    <cellStyle name="Normal 2" xfId="12"/>
    <cellStyle name="Normal 2 10" xfId="91"/>
    <cellStyle name="Normal 2 11" xfId="92"/>
    <cellStyle name="Normal 2 12" xfId="93"/>
    <cellStyle name="Normal 2 13" xfId="94"/>
    <cellStyle name="Normal 2 14" xfId="95"/>
    <cellStyle name="Normal 2 15" xfId="96"/>
    <cellStyle name="Normal 2 16" xfId="97"/>
    <cellStyle name="Normal 2 17" xfId="98"/>
    <cellStyle name="Normal 2 18" xfId="99"/>
    <cellStyle name="Normal 2 19" xfId="100"/>
    <cellStyle name="Normal 2 2" xfId="6"/>
    <cellStyle name="Normal 2 20" xfId="101"/>
    <cellStyle name="Normal 2 21" xfId="102"/>
    <cellStyle name="Normal 2 22" xfId="103"/>
    <cellStyle name="Normal 2 3" xfId="104"/>
    <cellStyle name="Normal 2 3 2" xfId="105"/>
    <cellStyle name="Normal 2 4" xfId="106"/>
    <cellStyle name="Normal 2 5" xfId="107"/>
    <cellStyle name="Normal 2 6" xfId="108"/>
    <cellStyle name="Normal 2 7" xfId="109"/>
    <cellStyle name="Normal 2 8" xfId="110"/>
    <cellStyle name="Normal 2 9" xfId="111"/>
    <cellStyle name="Normal 2_Book1" xfId="112"/>
    <cellStyle name="Normal 20" xfId="113"/>
    <cellStyle name="Normal 21" xfId="114"/>
    <cellStyle name="Normal 22" xfId="115"/>
    <cellStyle name="Normal 23" xfId="116"/>
    <cellStyle name="Normal 24" xfId="117"/>
    <cellStyle name="Normal 25" xfId="188"/>
    <cellStyle name="Normal 26" xfId="215"/>
    <cellStyle name="Normal 27" xfId="216"/>
    <cellStyle name="Normal 3" xfId="7"/>
    <cellStyle name="Normal 3 2" xfId="13"/>
    <cellStyle name="Normal 3 2 2" xfId="206"/>
    <cellStyle name="Normal 3 3" xfId="207"/>
    <cellStyle name="Normal 4" xfId="14"/>
    <cellStyle name="Normal 4 2" xfId="208"/>
    <cellStyle name="Normal 5" xfId="15"/>
    <cellStyle name="Normal 6" xfId="16"/>
    <cellStyle name="Normal 6 2" xfId="209"/>
    <cellStyle name="Normal 7" xfId="17"/>
    <cellStyle name="Normal 8" xfId="18"/>
    <cellStyle name="Normal 9" xfId="118"/>
    <cellStyle name="Normal_Bill Comp Settlement with New DSM" xfId="214"/>
    <cellStyle name="Normal_Blocking 03-01" xfId="5"/>
    <cellStyle name="Normal_Blocking 09-00" xfId="4"/>
    <cellStyle name="Normal_Distribution" xfId="186"/>
    <cellStyle name="Password" xfId="119"/>
    <cellStyle name="Percent" xfId="3" builtinId="5"/>
    <cellStyle name="Percent [2]" xfId="210"/>
    <cellStyle name="Percent 13" xfId="120"/>
    <cellStyle name="Percent 19" xfId="121"/>
    <cellStyle name="Percent 2" xfId="19"/>
    <cellStyle name="Percent 2 10" xfId="122"/>
    <cellStyle name="Percent 2 11" xfId="123"/>
    <cellStyle name="Percent 2 12" xfId="124"/>
    <cellStyle name="Percent 2 13" xfId="125"/>
    <cellStyle name="Percent 2 14" xfId="126"/>
    <cellStyle name="Percent 2 15" xfId="127"/>
    <cellStyle name="Percent 2 16" xfId="128"/>
    <cellStyle name="Percent 2 17" xfId="129"/>
    <cellStyle name="Percent 2 18" xfId="130"/>
    <cellStyle name="Percent 2 19" xfId="131"/>
    <cellStyle name="Percent 2 2" xfId="20"/>
    <cellStyle name="Percent 2 2 2" xfId="132"/>
    <cellStyle name="Percent 2 20" xfId="133"/>
    <cellStyle name="Percent 2 21" xfId="134"/>
    <cellStyle name="Percent 2 3" xfId="135"/>
    <cellStyle name="Percent 2 4" xfId="136"/>
    <cellStyle name="Percent 2 5" xfId="137"/>
    <cellStyle name="Percent 2 6" xfId="138"/>
    <cellStyle name="Percent 2 7" xfId="139"/>
    <cellStyle name="Percent 2 8" xfId="140"/>
    <cellStyle name="Percent 2 9" xfId="141"/>
    <cellStyle name="Percent 22" xfId="142"/>
    <cellStyle name="Percent 3" xfId="21"/>
    <cellStyle name="Percent 3 2" xfId="211"/>
    <cellStyle name="Percent 4" xfId="22"/>
    <cellStyle name="Percent 5" xfId="23"/>
    <cellStyle name="Percent 6" xfId="24"/>
    <cellStyle name="Percent 7" xfId="185"/>
    <cellStyle name="Percent 8" xfId="189"/>
    <cellStyle name="Percent 9" xfId="217"/>
    <cellStyle name="SAPBEXaggData" xfId="143"/>
    <cellStyle name="SAPBEXaggDataEmph" xfId="144"/>
    <cellStyle name="SAPBEXaggItem" xfId="145"/>
    <cellStyle name="SAPBEXaggItemX" xfId="146"/>
    <cellStyle name="SAPBEXchaText" xfId="147"/>
    <cellStyle name="SAPBEXexcBad7" xfId="148"/>
    <cellStyle name="SAPBEXexcBad8" xfId="149"/>
    <cellStyle name="SAPBEXexcBad9" xfId="150"/>
    <cellStyle name="SAPBEXexcCritical4" xfId="151"/>
    <cellStyle name="SAPBEXexcCritical5" xfId="152"/>
    <cellStyle name="SAPBEXexcCritical6" xfId="153"/>
    <cellStyle name="SAPBEXexcGood1" xfId="154"/>
    <cellStyle name="SAPBEXexcGood2" xfId="155"/>
    <cellStyle name="SAPBEXexcGood3" xfId="156"/>
    <cellStyle name="SAPBEXfilterDrill" xfId="157"/>
    <cellStyle name="SAPBEXfilterItem" xfId="158"/>
    <cellStyle name="SAPBEXfilterText" xfId="159"/>
    <cellStyle name="SAPBEXformats" xfId="160"/>
    <cellStyle name="SAPBEXheaderItem" xfId="161"/>
    <cellStyle name="SAPBEXheaderText" xfId="162"/>
    <cellStyle name="SAPBEXHLevel0" xfId="163"/>
    <cellStyle name="SAPBEXHLevel0X" xfId="164"/>
    <cellStyle name="SAPBEXHLevel1" xfId="165"/>
    <cellStyle name="SAPBEXHLevel1X" xfId="166"/>
    <cellStyle name="SAPBEXHLevel2" xfId="167"/>
    <cellStyle name="SAPBEXHLevel2X" xfId="168"/>
    <cellStyle name="SAPBEXHLevel3" xfId="169"/>
    <cellStyle name="SAPBEXHLevel3X" xfId="170"/>
    <cellStyle name="SAPBEXresData" xfId="171"/>
    <cellStyle name="SAPBEXresDataEmph" xfId="172"/>
    <cellStyle name="SAPBEXresItem" xfId="173"/>
    <cellStyle name="SAPBEXresItemX" xfId="174"/>
    <cellStyle name="SAPBEXstdData" xfId="175"/>
    <cellStyle name="SAPBEXstdDataEmph" xfId="176"/>
    <cellStyle name="SAPBEXstdItem" xfId="177"/>
    <cellStyle name="SAPBEXstdItemX" xfId="178"/>
    <cellStyle name="SAPBEXtitle" xfId="179"/>
    <cellStyle name="SAPBEXtitle 2" xfId="212"/>
    <cellStyle name="SAPBEXundefined" xfId="180"/>
    <cellStyle name="Titles" xfId="213"/>
    <cellStyle name="TRANSMISSION RELIABILITY PORTION OF PROJECT" xfId="25"/>
    <cellStyle name="Unprot" xfId="181"/>
    <cellStyle name="Unprot$" xfId="182"/>
    <cellStyle name="Unprotect" xfId="18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34" Type="http://schemas.openxmlformats.org/officeDocument/2006/relationships/externalLink" Target="externalLinks/externalLink25.xml"/><Relationship Id="rId42" Type="http://schemas.openxmlformats.org/officeDocument/2006/relationships/externalLink" Target="externalLinks/externalLink33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33" Type="http://schemas.openxmlformats.org/officeDocument/2006/relationships/externalLink" Target="externalLinks/externalLink24.xml"/><Relationship Id="rId38" Type="http://schemas.openxmlformats.org/officeDocument/2006/relationships/externalLink" Target="externalLinks/externalLink29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0.xml"/><Relationship Id="rId41" Type="http://schemas.openxmlformats.org/officeDocument/2006/relationships/externalLink" Target="externalLinks/externalLink3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externalLink" Target="externalLinks/externalLink23.xml"/><Relationship Id="rId37" Type="http://schemas.openxmlformats.org/officeDocument/2006/relationships/externalLink" Target="externalLinks/externalLink28.xml"/><Relationship Id="rId40" Type="http://schemas.openxmlformats.org/officeDocument/2006/relationships/externalLink" Target="externalLinks/externalLink31.xml"/><Relationship Id="rId45" Type="http://schemas.openxmlformats.org/officeDocument/2006/relationships/externalLink" Target="externalLinks/externalLink3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36" Type="http://schemas.openxmlformats.org/officeDocument/2006/relationships/externalLink" Target="externalLinks/externalLink27.xml"/><Relationship Id="rId49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31" Type="http://schemas.openxmlformats.org/officeDocument/2006/relationships/externalLink" Target="externalLinks/externalLink22.xml"/><Relationship Id="rId44" Type="http://schemas.openxmlformats.org/officeDocument/2006/relationships/externalLink" Target="externalLinks/externalLink3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externalLink" Target="externalLinks/externalLink21.xml"/><Relationship Id="rId35" Type="http://schemas.openxmlformats.org/officeDocument/2006/relationships/externalLink" Target="externalLinks/externalLink26.xml"/><Relationship Id="rId43" Type="http://schemas.openxmlformats.org/officeDocument/2006/relationships/externalLink" Target="externalLinks/externalLink34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22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rate%20case\Combined\WYCombined%2098%20COS%20OCT2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Utah%20Docket%2010-035-124%20(GRC%202011)\Filed%20(direct)\Testimony%20and%20Exhibits\Confidential%20Exhibit%20RMP__(CCP-5)\UT%20GRC%20MC%20Study%20Jun%202012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B%201149\JAM%20OR%20Dec%202001%20-%20SB114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Utah%20GRC%202011\2.%20Marginal%20COS\OR%20GRC%20MC%20Study%20Dec%202011%20-%20NS.xlsm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ACA\PwrStat\Penny\LARGEQUALIFIED\Qf99\Hdiv99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tah%20GRC%202011\1.%20Embedded%20COS\COS%20UT%20Jun%202012_NS.xlsm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T%2011-035-200%20(GRC%20May2013)\Sent%20out\Sent%20out%202012%2008%2020%20(Monthly%20Allocation)\UTGRC12_Utah%20Base%20NPC%20Report%20(Settlement)%20CONF_Sent%20Out%202012%2008%2020.xlsm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T%2011-035-200%20(GRC%20May2013)\Sent%20out\Sent%20out%202012%2008%2020%20(Monthly%20Allocation)\UTGRC12_Utah%20Base%20NPC%20Report%20(Settlement)%20CONF_Sent%20Out%202012%2008%2020.xlsm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Idaho%2003\305FRevenue%20by%20Rate%20Schedule_ID200303_v4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189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ES\Wyoming98\EAST97%20B.xlw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tah%20Docket%2011-035-200%20(GRC%202012)\Filed\Rebuttal\Testimony%20and%20Exhibits\Paice\Workpapers\COS%20UT%20May%202013%20-%20Rebuttal.xlsm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tah%20Docket%2011-035-200%20(GRC%202012)\Filed\Rebuttal\Testimony%20and%20Exhibits\Paice\Workpapers\COS%20UT%20May%202013%20-%20Rebuttal.xlsm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ES\Wyoming98\East%20West%20Rate%20Migration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arge%20Qf's\Qf03\FALLS\Falls200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9-2001%20Test%20Period\Embedded%20Study\COS_WyoComb%20Sep-2001-%20(facilities)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WA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4618\Local%20Settings\Temporary%20Internet%20Files\Content.Outlook\0APVEUJB\_UT%20EBA%20(DEC13)%20CONF_2014%2002%2025%20(2)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4618\Local%20Settings\Temporary%20Internet%20Files\Content.Outlook\0APVEUJB\_UT%20EBA%20Draft%20(DEC12)%20CONF_2013%2002%2026%20(3)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11382\Local%20Settings\Temporary%20Internet%20Files\OLK1DE\JAM%20CY06%20OR%20PARTIAL%20SETTLEMENT-Updated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ystemSegCosts\03\Washington\MC_Washington_20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y0901\Integration%20plans\Rate%20design%20options\Wyo%202001%20COS%20Summary%20-%201st%20Draft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EGULATN\PA&amp;D\CASES\Utah%202012\Settlement\COS%20UT%20May%202013_NS%20-%20Rebuttal.xlsm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ASES\Utah%202012\Settlement\COS%20UT%20May%202013_NS%20-%20Rebuttal.xlsm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9653\My%20Documents\Oregon%20Rate%20Case\SB%201149\Rebuttal\MC%20OR%202001%20Rebuttal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Oregon%2099\Portfolio\TOU%20Tariff%20Rates%209-10-01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05A\Book4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ACCTNG\GENERAL\JAN%20LEWIS\DSM\DSM%20-%20OR\SBC2001%20updated%20July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BCC.BRUBAKER\Local%20Settings\Temporary%20Internet%20Files\Content.Outlook\7DP69NLO\Copy%20of%20219981_1_Settlement%20NPC_BCC_12CP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CC.BRUBAKER\Local%20Settings\Temporary%20Internet%20Files\Content.Outlook\7DP69NLO\Copy%20of%20219981_1_Settlement%20NPC_BCC_12CP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Utah%20Docket%2010-035-124%20(GRC%202011)\Filed%20(rebuttal)\Testimony%20and%20Exhibits\Exhibit%20RMP%20(CCP-3R)\Tabs%204%20&amp;%205\COS%20UT%20Jun%202012_Rebuttal%20COS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A%203-2006%20GRC\COS\Wash%20Mar%202006-09-7-200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Utah%20Docket%2012-035-xx%20(GRC%202012)\COS%20(embedded)\COS%20UT%20May%202013_NS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Summary"/>
      <sheetName val="Unit Costs"/>
      <sheetName val="Class Summary"/>
      <sheetName val="Function Summary"/>
      <sheetName val="Generation Summary"/>
      <sheetName val="Transmission Summary"/>
      <sheetName val="Distribution Summary"/>
      <sheetName val="Distribution Substations"/>
      <sheetName val="Distribution Poles &amp; Wires"/>
      <sheetName val="Distribution Transformers"/>
      <sheetName val="Distribution Meters"/>
      <sheetName val="Distribution Services"/>
      <sheetName val="Distribution Customer"/>
      <sheetName val="Distribution Misc"/>
      <sheetName val="G+T+D"/>
      <sheetName val="Generation"/>
      <sheetName val="Transmission"/>
      <sheetName val="Distribution"/>
      <sheetName val="Dist Misc"/>
      <sheetName val="Factor Summary"/>
      <sheetName val="FuncFac"/>
      <sheetName val="DisFac"/>
      <sheetName val="Variables"/>
      <sheetName val="IJA Factors"/>
      <sheetName val="IJA Link"/>
      <sheetName val="IJA Inputs"/>
      <sheetName val="Option Inputs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Rev_Recon"/>
      <sheetName val="TransInvest"/>
      <sheetName val="DistInvest"/>
      <sheetName val="WorkArea"/>
      <sheetName val="Diagram"/>
      <sheetName val="Message"/>
      <sheetName val="Progres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>
        <row r="120">
          <cell r="F120" t="str">
            <v>BaseCase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>
        <row r="86">
          <cell r="F86">
            <v>5.9243639404432336E-2</v>
          </cell>
        </row>
      </sheetData>
      <sheetData sheetId="42"/>
      <sheetData sheetId="43"/>
      <sheetData sheetId="4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bles"/>
      <sheetName val="Table of Contents"/>
      <sheetName val="Table 1"/>
      <sheetName val="Table 2"/>
      <sheetName val="Table 3"/>
      <sheetName val="Table 4"/>
      <sheetName val="Table 5"/>
      <sheetName val="Table 6"/>
      <sheetName val="Table 7"/>
      <sheetName val="Table 8"/>
      <sheetName val="Table 9"/>
      <sheetName val="Table 10"/>
      <sheetName val="Billing Costs"/>
      <sheetName val="Full MC %"/>
      <sheetName val="10 Year UC"/>
      <sheetName val="10 Year FC"/>
      <sheetName val="5 Year MC"/>
      <sheetName val="1 Year MC"/>
      <sheetName val="Capacity"/>
      <sheetName val="Energy"/>
      <sheetName val="Avoided Costs"/>
      <sheetName val="Transm1"/>
      <sheetName val="Transm2"/>
      <sheetName val="Trans_OM"/>
      <sheetName val="TransLF"/>
      <sheetName val="Dist Sub 1"/>
      <sheetName val="Dist Sub 2"/>
      <sheetName val="Circuit Model Intro"/>
      <sheetName val="PC1"/>
      <sheetName val="PC2"/>
      <sheetName val="PC3"/>
      <sheetName val="PC4"/>
      <sheetName val="PC5"/>
      <sheetName val="PC6"/>
      <sheetName val="PC7"/>
      <sheetName val="PC8"/>
      <sheetName val="PC9"/>
      <sheetName val="PC10"/>
      <sheetName val="PC11"/>
      <sheetName val="PC12"/>
      <sheetName val="PC13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Services 1"/>
      <sheetName val="Services 2"/>
      <sheetName val="Streetlights"/>
      <sheetName val="Cust Exp Sum"/>
      <sheetName val="Cust Exp Year"/>
      <sheetName val="AG Expenses"/>
      <sheetName val="Charge 1"/>
      <sheetName val="Charge 2"/>
      <sheetName val="Charge 3"/>
      <sheetName val="Charge 4"/>
      <sheetName val="Charge 5"/>
      <sheetName val="Charge 6"/>
      <sheetName val="Losses"/>
      <sheetName val="Cust Data 1"/>
      <sheetName val="Cust Data 2"/>
      <sheetName val="Cust Data 3"/>
      <sheetName val="Cust Data 4"/>
      <sheetName val="Escalation Factors"/>
      <sheetName val="Index"/>
      <sheetName val="SumTable"/>
      <sheetName val="Dialog"/>
    </sheetNames>
    <sheetDataSet>
      <sheetData sheetId="0">
        <row r="10">
          <cell r="C10" t="str">
            <v>Utah</v>
          </cell>
        </row>
        <row r="12">
          <cell r="C12" t="str">
            <v>Plateau</v>
          </cell>
        </row>
        <row r="13">
          <cell r="C13">
            <v>2012</v>
          </cell>
        </row>
        <row r="18">
          <cell r="C18">
            <v>2010</v>
          </cell>
          <cell r="D18">
            <v>2012</v>
          </cell>
        </row>
        <row r="19">
          <cell r="C19">
            <v>2010</v>
          </cell>
          <cell r="D19">
            <v>2012</v>
          </cell>
        </row>
        <row r="20">
          <cell r="C20">
            <v>2010</v>
          </cell>
          <cell r="D20">
            <v>2012</v>
          </cell>
        </row>
        <row r="21">
          <cell r="C21">
            <v>2010</v>
          </cell>
          <cell r="D21">
            <v>2012</v>
          </cell>
        </row>
        <row r="22">
          <cell r="C22">
            <v>2011</v>
          </cell>
          <cell r="D22">
            <v>2012</v>
          </cell>
        </row>
        <row r="23">
          <cell r="C23">
            <v>2010</v>
          </cell>
          <cell r="D23">
            <v>2012</v>
          </cell>
        </row>
        <row r="24">
          <cell r="C24">
            <v>2010</v>
          </cell>
          <cell r="D24">
            <v>2012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3">
          <cell r="A3" t="str">
            <v>PacifiCorp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</row>
        <row r="4">
          <cell r="A4" t="str">
            <v>Marginal Generation Costs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</row>
        <row r="5">
          <cell r="A5" t="str">
            <v>Filed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</row>
        <row r="6">
          <cell r="A6">
            <v>0</v>
          </cell>
          <cell r="B6" t="str">
            <v xml:space="preserve">                  12 Months Ended December</v>
          </cell>
          <cell r="C6">
            <v>0</v>
          </cell>
          <cell r="D6">
            <v>0</v>
          </cell>
          <cell r="E6" t="str">
            <v>12 Months Ended December</v>
          </cell>
          <cell r="F6">
            <v>0</v>
          </cell>
          <cell r="G6">
            <v>0</v>
          </cell>
        </row>
        <row r="7">
          <cell r="A7">
            <v>0</v>
          </cell>
          <cell r="B7" t="str">
            <v xml:space="preserve">Avoided Simple Cycle </v>
          </cell>
          <cell r="C7" t="str">
            <v xml:space="preserve">Avoided Combined Cycle </v>
          </cell>
          <cell r="D7" t="str">
            <v>Gas</v>
          </cell>
          <cell r="E7" t="str">
            <v>Avoided Firm</v>
          </cell>
          <cell r="F7" t="str">
            <v>Combined</v>
          </cell>
          <cell r="G7" t="str">
            <v>Gas</v>
          </cell>
        </row>
        <row r="8">
          <cell r="A8" t="str">
            <v>Calendar</v>
          </cell>
          <cell r="B8" t="str">
            <v xml:space="preserve">CT Fixed </v>
          </cell>
          <cell r="C8" t="str">
            <v xml:space="preserve">CT Fixed </v>
          </cell>
          <cell r="D8" t="str">
            <v>Price</v>
          </cell>
          <cell r="E8" t="str">
            <v>Capacity</v>
          </cell>
          <cell r="F8" t="str">
            <v>Cycle CT</v>
          </cell>
          <cell r="G8" t="str">
            <v>Price</v>
          </cell>
        </row>
        <row r="9">
          <cell r="A9" t="str">
            <v>Year</v>
          </cell>
          <cell r="B9" t="str">
            <v>Costs</v>
          </cell>
          <cell r="C9" t="str">
            <v>Costs</v>
          </cell>
          <cell r="D9">
            <v>0</v>
          </cell>
          <cell r="E9" t="str">
            <v>Costs</v>
          </cell>
          <cell r="F9" t="str">
            <v>Fixed Cost</v>
          </cell>
          <cell r="G9">
            <v>0</v>
          </cell>
        </row>
        <row r="10">
          <cell r="A10">
            <v>0</v>
          </cell>
          <cell r="B10" t="str">
            <v>($/kW-yr)</v>
          </cell>
          <cell r="C10" t="str">
            <v>($/kW-yr)</v>
          </cell>
          <cell r="D10" t="str">
            <v>($/MMBtu)</v>
          </cell>
          <cell r="E10" t="str">
            <v>($/kW-yr)</v>
          </cell>
          <cell r="F10" t="str">
            <v>($/kW-yr)</v>
          </cell>
          <cell r="G10" t="str">
            <v>($/MMBtu)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2">
          <cell r="A12">
            <v>2012</v>
          </cell>
          <cell r="B12">
            <v>99.31</v>
          </cell>
          <cell r="C12">
            <v>150.33000000000001</v>
          </cell>
          <cell r="D12">
            <v>5.53</v>
          </cell>
          <cell r="E12">
            <v>99.31</v>
          </cell>
          <cell r="F12">
            <v>150.33000000000001</v>
          </cell>
          <cell r="G12">
            <v>5.53</v>
          </cell>
        </row>
        <row r="13">
          <cell r="A13">
            <v>2013</v>
          </cell>
          <cell r="B13">
            <v>101.29</v>
          </cell>
          <cell r="C13">
            <v>153.36000000000001</v>
          </cell>
          <cell r="D13">
            <v>5.75</v>
          </cell>
          <cell r="E13">
            <v>101.29</v>
          </cell>
          <cell r="F13">
            <v>153.36000000000001</v>
          </cell>
          <cell r="G13">
            <v>5.75</v>
          </cell>
        </row>
        <row r="14">
          <cell r="A14">
            <v>2014</v>
          </cell>
          <cell r="B14">
            <v>103.22</v>
          </cell>
          <cell r="C14">
            <v>156.26</v>
          </cell>
          <cell r="D14">
            <v>6.04</v>
          </cell>
          <cell r="E14">
            <v>103.22</v>
          </cell>
          <cell r="F14">
            <v>156.26</v>
          </cell>
          <cell r="G14">
            <v>6.04</v>
          </cell>
        </row>
        <row r="15">
          <cell r="A15">
            <v>2015</v>
          </cell>
          <cell r="B15">
            <v>105.02</v>
          </cell>
          <cell r="C15">
            <v>159</v>
          </cell>
          <cell r="D15">
            <v>6.35</v>
          </cell>
          <cell r="E15">
            <v>105.02</v>
          </cell>
          <cell r="F15">
            <v>159</v>
          </cell>
          <cell r="G15">
            <v>6.35</v>
          </cell>
        </row>
        <row r="16">
          <cell r="A16">
            <v>2016</v>
          </cell>
          <cell r="B16">
            <v>106.87</v>
          </cell>
          <cell r="C16">
            <v>161.79</v>
          </cell>
          <cell r="D16">
            <v>6.82</v>
          </cell>
          <cell r="E16">
            <v>106.87</v>
          </cell>
          <cell r="F16">
            <v>161.79</v>
          </cell>
          <cell r="G16">
            <v>6.82</v>
          </cell>
        </row>
        <row r="17">
          <cell r="A17">
            <v>2017</v>
          </cell>
          <cell r="B17">
            <v>108.74</v>
          </cell>
          <cell r="C17">
            <v>164.63</v>
          </cell>
          <cell r="D17">
            <v>7.27</v>
          </cell>
          <cell r="E17">
            <v>108.74</v>
          </cell>
          <cell r="F17">
            <v>164.63</v>
          </cell>
          <cell r="G17">
            <v>7.27</v>
          </cell>
        </row>
        <row r="18">
          <cell r="A18">
            <v>2018</v>
          </cell>
          <cell r="B18">
            <v>110.65</v>
          </cell>
          <cell r="C18">
            <v>167.52</v>
          </cell>
          <cell r="D18">
            <v>7.56</v>
          </cell>
          <cell r="E18">
            <v>110.65</v>
          </cell>
          <cell r="F18">
            <v>167.52</v>
          </cell>
          <cell r="G18">
            <v>7.56</v>
          </cell>
        </row>
        <row r="19">
          <cell r="A19">
            <v>2019</v>
          </cell>
          <cell r="B19">
            <v>112.59</v>
          </cell>
          <cell r="C19">
            <v>170.46</v>
          </cell>
          <cell r="D19">
            <v>7.38</v>
          </cell>
          <cell r="E19">
            <v>112.59</v>
          </cell>
          <cell r="F19">
            <v>170.46</v>
          </cell>
          <cell r="G19">
            <v>7.38</v>
          </cell>
        </row>
        <row r="20">
          <cell r="A20">
            <v>2020</v>
          </cell>
          <cell r="B20">
            <v>114.57</v>
          </cell>
          <cell r="C20">
            <v>173.45</v>
          </cell>
          <cell r="D20">
            <v>7.44</v>
          </cell>
          <cell r="E20">
            <v>114.57</v>
          </cell>
          <cell r="F20">
            <v>173.45</v>
          </cell>
          <cell r="G20">
            <v>7.44</v>
          </cell>
        </row>
        <row r="21">
          <cell r="A21">
            <v>2021</v>
          </cell>
          <cell r="B21">
            <v>116.58</v>
          </cell>
          <cell r="C21">
            <v>176.5</v>
          </cell>
          <cell r="D21">
            <v>7.88</v>
          </cell>
          <cell r="E21">
            <v>116.58</v>
          </cell>
          <cell r="F21">
            <v>176.5</v>
          </cell>
          <cell r="G21">
            <v>7.88</v>
          </cell>
        </row>
        <row r="22">
          <cell r="A22">
            <v>2022</v>
          </cell>
          <cell r="B22">
            <v>118.62</v>
          </cell>
          <cell r="C22">
            <v>179.6</v>
          </cell>
          <cell r="D22">
            <v>8.42</v>
          </cell>
          <cell r="E22">
            <v>118.62</v>
          </cell>
          <cell r="F22">
            <v>179.6</v>
          </cell>
          <cell r="G22">
            <v>8.42</v>
          </cell>
        </row>
        <row r="23">
          <cell r="A23">
            <v>2023</v>
          </cell>
          <cell r="B23">
            <v>120.7</v>
          </cell>
          <cell r="C23">
            <v>182.74</v>
          </cell>
          <cell r="D23">
            <v>7.96</v>
          </cell>
          <cell r="E23">
            <v>120.7</v>
          </cell>
          <cell r="F23">
            <v>182.74</v>
          </cell>
          <cell r="G23">
            <v>7.96</v>
          </cell>
        </row>
        <row r="24">
          <cell r="A24">
            <v>2024</v>
          </cell>
          <cell r="B24">
            <v>122.82</v>
          </cell>
          <cell r="C24">
            <v>185.95</v>
          </cell>
          <cell r="D24">
            <v>7.75</v>
          </cell>
          <cell r="E24">
            <v>122.82</v>
          </cell>
          <cell r="F24">
            <v>185.95</v>
          </cell>
          <cell r="G24">
            <v>7.75</v>
          </cell>
        </row>
        <row r="25">
          <cell r="A25">
            <v>2025</v>
          </cell>
          <cell r="B25">
            <v>124.98</v>
          </cell>
          <cell r="C25">
            <v>189.21</v>
          </cell>
          <cell r="D25">
            <v>8.18</v>
          </cell>
          <cell r="E25">
            <v>124.98</v>
          </cell>
          <cell r="F25">
            <v>189.21</v>
          </cell>
          <cell r="G25">
            <v>8.18</v>
          </cell>
        </row>
        <row r="26">
          <cell r="A26">
            <v>2026</v>
          </cell>
          <cell r="B26">
            <v>127.17</v>
          </cell>
          <cell r="C26">
            <v>192.53</v>
          </cell>
          <cell r="D26">
            <v>8.43</v>
          </cell>
          <cell r="E26">
            <v>127.17</v>
          </cell>
          <cell r="F26">
            <v>192.53</v>
          </cell>
          <cell r="G26">
            <v>8.43</v>
          </cell>
        </row>
        <row r="27">
          <cell r="A27">
            <v>2027</v>
          </cell>
          <cell r="B27">
            <v>129.4</v>
          </cell>
          <cell r="C27">
            <v>195.91</v>
          </cell>
          <cell r="D27">
            <v>8.2799999999999994</v>
          </cell>
          <cell r="E27">
            <v>129.4</v>
          </cell>
          <cell r="F27">
            <v>195.91</v>
          </cell>
          <cell r="G27">
            <v>8.2799999999999994</v>
          </cell>
        </row>
        <row r="28">
          <cell r="A28">
            <v>2028</v>
          </cell>
          <cell r="B28">
            <v>131.66999999999999</v>
          </cell>
          <cell r="C28">
            <v>199.35</v>
          </cell>
          <cell r="D28">
            <v>8.5399999999999991</v>
          </cell>
          <cell r="E28">
            <v>131.66999999999999</v>
          </cell>
          <cell r="F28">
            <v>199.35</v>
          </cell>
          <cell r="G28">
            <v>8.5399999999999991</v>
          </cell>
        </row>
        <row r="29">
          <cell r="A29">
            <v>2029</v>
          </cell>
          <cell r="B29">
            <v>133.97999999999999</v>
          </cell>
          <cell r="C29">
            <v>202.85</v>
          </cell>
          <cell r="D29">
            <v>8.86</v>
          </cell>
          <cell r="E29">
            <v>133.97999999999999</v>
          </cell>
          <cell r="F29">
            <v>202.85</v>
          </cell>
          <cell r="G29">
            <v>8.86</v>
          </cell>
        </row>
        <row r="30">
          <cell r="A30">
            <v>2030</v>
          </cell>
          <cell r="B30">
            <v>136.33000000000001</v>
          </cell>
          <cell r="C30">
            <v>206.41</v>
          </cell>
          <cell r="D30">
            <v>9.09</v>
          </cell>
          <cell r="E30">
            <v>136.33000000000001</v>
          </cell>
          <cell r="F30">
            <v>206.41</v>
          </cell>
          <cell r="G30">
            <v>9.09</v>
          </cell>
        </row>
        <row r="31">
          <cell r="A31">
            <v>2031</v>
          </cell>
          <cell r="B31">
            <v>138.72</v>
          </cell>
          <cell r="C31">
            <v>210.03</v>
          </cell>
          <cell r="D31">
            <v>9.25</v>
          </cell>
          <cell r="E31">
            <v>138.72</v>
          </cell>
          <cell r="F31">
            <v>210.03</v>
          </cell>
          <cell r="G31">
            <v>9.25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</row>
        <row r="33">
          <cell r="A33" t="str">
            <v>CCCT Capacity Factor</v>
          </cell>
          <cell r="B33">
            <v>0.505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</row>
        <row r="34">
          <cell r="A34" t="str">
            <v>CCCT Heat Rate (Btu/kWh)</v>
          </cell>
          <cell r="B34">
            <v>7160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</row>
        <row r="35">
          <cell r="A35">
            <v>0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35">
          <cell r="E35">
            <v>1.0468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>
        <row r="46">
          <cell r="G46">
            <v>0.10950000000000001</v>
          </cell>
        </row>
      </sheetData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Variables"/>
      <sheetName val="Function"/>
      <sheetName val="Report"/>
      <sheetName val="Results"/>
      <sheetName val="NRO"/>
      <sheetName val="ADJ"/>
      <sheetName val="URO"/>
      <sheetName val="UTCR"/>
      <sheetName val="Unadj Data for RAM"/>
      <sheetName val="CWC"/>
      <sheetName val="Factors"/>
      <sheetName val="Check"/>
      <sheetName val="WelcomeDialog"/>
      <sheetName val="Macro"/>
    </sheetNames>
    <sheetDataSet>
      <sheetData sheetId="0" refreshError="1"/>
      <sheetData sheetId="1" refreshError="1">
        <row r="23">
          <cell r="D23">
            <v>0.59916000000000003</v>
          </cell>
        </row>
        <row r="25">
          <cell r="D25">
            <v>6.79E-3</v>
          </cell>
        </row>
        <row r="26">
          <cell r="D26">
            <v>2.1319999999999999E-2</v>
          </cell>
        </row>
        <row r="27">
          <cell r="D27">
            <v>3.2599999999999999E-3</v>
          </cell>
        </row>
        <row r="28">
          <cell r="D28">
            <v>5.1999999999999995E-4</v>
          </cell>
        </row>
        <row r="29">
          <cell r="D29">
            <v>1.09E-3</v>
          </cell>
        </row>
      </sheetData>
      <sheetData sheetId="2" refreshError="1"/>
      <sheetData sheetId="3" refreshError="1"/>
      <sheetData sheetId="4"/>
      <sheetData sheetId="5"/>
      <sheetData sheetId="6"/>
      <sheetData sheetId="7"/>
      <sheetData sheetId="8">
        <row r="23">
          <cell r="D23">
            <v>0.59916000000000003</v>
          </cell>
        </row>
      </sheetData>
      <sheetData sheetId="9"/>
      <sheetData sheetId="10">
        <row r="23">
          <cell r="D23">
            <v>0.59916000000000003</v>
          </cell>
        </row>
      </sheetData>
      <sheetData sheetId="11"/>
      <sheetData sheetId="12"/>
      <sheetData sheetId="13"/>
      <sheetData sheetId="1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PPL_901_Pg 1 (Func RR)"/>
      <sheetName val="PPL_901_ Pg 2 (Func RR)"/>
      <sheetName val="PPL_902 (Func Results)"/>
      <sheetName val="PPL_903 (Ancillary)"/>
      <sheetName val="PPL_904 (Marginal Costs)"/>
      <sheetName val="PPL_905_Pg1 (RR by Class)"/>
      <sheetName val="PPL_905_Pg2 (RR Earned)"/>
      <sheetName val="PPL_905_Pg3 (RR Target)"/>
      <sheetName val="PPL_905_Pg4 (FERC Trans)"/>
      <sheetName val="Dist Split"/>
      <sheetName val="Results - Not Exhibit"/>
      <sheetName val="&lt;&lt;&lt; Exhibits File"/>
      <sheetName val="Variables"/>
      <sheetName val="Table of Contents"/>
      <sheetName val="Table 1"/>
      <sheetName val="Table 2"/>
      <sheetName val="Table 3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5 Year MC"/>
      <sheetName val="1 Year MC"/>
      <sheetName val="Streetlight 1"/>
      <sheetName val="Streetlight 2"/>
      <sheetName val="Streetlight 3"/>
      <sheetName val="Streetlight 4"/>
      <sheetName val="Capacity"/>
      <sheetName val="Energy"/>
      <sheetName val="Avoided Costs"/>
      <sheetName val="Transm1"/>
      <sheetName val="Transm2"/>
      <sheetName val="Tran_OM"/>
      <sheetName val="TransLF"/>
      <sheetName val="Dist Sub 1"/>
      <sheetName val="Dist Sub 2"/>
      <sheetName val="PC 1"/>
      <sheetName val="PC 2"/>
      <sheetName val="PC 3"/>
      <sheetName val="Circuit Model &gt;&gt;&gt;"/>
      <sheetName val="Circuit Model Intro"/>
      <sheetName val="PC 4"/>
      <sheetName val="PC 5"/>
      <sheetName val="PC 6"/>
      <sheetName val="PC 7"/>
      <sheetName val="PC 8"/>
      <sheetName val="PC 9"/>
      <sheetName val="PC 10"/>
      <sheetName val="PC 11"/>
      <sheetName val="PC 12"/>
      <sheetName val="PC 13"/>
      <sheetName val="PC 14"/>
      <sheetName val="&lt;&lt;&lt; Circuit Model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Meters 5"/>
      <sheetName val="Services 1"/>
      <sheetName val="Services 2"/>
      <sheetName val="Services 3"/>
      <sheetName val="Cust Exp Sum"/>
      <sheetName val="Cust Exp Year"/>
      <sheetName val="AG Expenses"/>
      <sheetName val="Charge 1"/>
      <sheetName val="Charge 2"/>
      <sheetName val="Charge 3"/>
      <sheetName val="Charge 4"/>
      <sheetName val="Charge 5"/>
      <sheetName val="Charge 6"/>
      <sheetName val="Losses"/>
      <sheetName val="Cust Data 1"/>
      <sheetName val="Cust Data 2"/>
      <sheetName val="Cust Data 3"/>
      <sheetName val="Cust Data 4"/>
      <sheetName val="Cust Data 5"/>
      <sheetName val="Escalation Factors"/>
      <sheetName val="Index"/>
      <sheetName val="SumTable"/>
      <sheetName val="Dialog"/>
    </sheetNames>
    <sheetDataSet>
      <sheetData sheetId="0" refreshError="1"/>
      <sheetData sheetId="1"/>
      <sheetData sheetId="2"/>
      <sheetData sheetId="3" refreshError="1"/>
      <sheetData sheetId="4" refreshError="1"/>
      <sheetData sheetId="5"/>
      <sheetData sheetId="6">
        <row r="37">
          <cell r="C37">
            <v>681451.07185323874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0">
          <cell r="C10" t="str">
            <v>Oregon</v>
          </cell>
        </row>
        <row r="11">
          <cell r="C11" t="str">
            <v>December 2011</v>
          </cell>
        </row>
        <row r="18">
          <cell r="C18">
            <v>2009</v>
          </cell>
          <cell r="D18">
            <v>2011</v>
          </cell>
        </row>
        <row r="19">
          <cell r="C19">
            <v>2009</v>
          </cell>
          <cell r="D19">
            <v>2011</v>
          </cell>
        </row>
        <row r="20">
          <cell r="C20">
            <v>2009</v>
          </cell>
          <cell r="D20">
            <v>2011</v>
          </cell>
        </row>
        <row r="21">
          <cell r="C21">
            <v>2009</v>
          </cell>
          <cell r="D21">
            <v>2011</v>
          </cell>
        </row>
        <row r="22">
          <cell r="C22">
            <v>2010</v>
          </cell>
          <cell r="D22">
            <v>2011</v>
          </cell>
        </row>
        <row r="23">
          <cell r="C23">
            <v>2009</v>
          </cell>
          <cell r="D23">
            <v>2011</v>
          </cell>
        </row>
        <row r="24">
          <cell r="C24">
            <v>2009</v>
          </cell>
          <cell r="D24">
            <v>2011</v>
          </cell>
        </row>
      </sheetData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>
        <row r="3">
          <cell r="A3" t="str">
            <v>PacifiCorp</v>
          </cell>
        </row>
        <row r="4">
          <cell r="A4" t="str">
            <v>Marginal Generation Costs</v>
          </cell>
        </row>
        <row r="5">
          <cell r="A5" t="str">
            <v>Filed</v>
          </cell>
        </row>
        <row r="6">
          <cell r="B6" t="str">
            <v xml:space="preserve">                  12 Months Ended December</v>
          </cell>
          <cell r="E6" t="str">
            <v>12 Months Ended December</v>
          </cell>
        </row>
        <row r="7">
          <cell r="B7" t="str">
            <v xml:space="preserve">Avoided Simple Cycle </v>
          </cell>
          <cell r="C7" t="str">
            <v xml:space="preserve">Avoided Combined Cycle </v>
          </cell>
          <cell r="D7" t="str">
            <v>Gas</v>
          </cell>
          <cell r="E7" t="str">
            <v>Avoided Firm</v>
          </cell>
          <cell r="F7" t="str">
            <v>Combined</v>
          </cell>
          <cell r="G7" t="str">
            <v>Gas</v>
          </cell>
        </row>
        <row r="8">
          <cell r="A8" t="str">
            <v>Calendar</v>
          </cell>
          <cell r="B8" t="str">
            <v xml:space="preserve">CT Fixed </v>
          </cell>
          <cell r="C8" t="str">
            <v xml:space="preserve">CT Fixed </v>
          </cell>
          <cell r="D8" t="str">
            <v>Price</v>
          </cell>
          <cell r="E8" t="str">
            <v>Capacity</v>
          </cell>
          <cell r="F8" t="str">
            <v>Cycle CT</v>
          </cell>
          <cell r="G8" t="str">
            <v>Price</v>
          </cell>
        </row>
        <row r="9">
          <cell r="A9" t="str">
            <v>Year</v>
          </cell>
          <cell r="B9" t="str">
            <v>Costs</v>
          </cell>
          <cell r="C9" t="str">
            <v>Costs</v>
          </cell>
          <cell r="E9" t="str">
            <v>Costs</v>
          </cell>
          <cell r="F9" t="str">
            <v>Fixed Cost</v>
          </cell>
        </row>
        <row r="10">
          <cell r="B10" t="str">
            <v>($/kW-yr)</v>
          </cell>
          <cell r="C10" t="str">
            <v>($/kW-yr)</v>
          </cell>
          <cell r="D10" t="str">
            <v>($/MMBtu)</v>
          </cell>
          <cell r="E10" t="str">
            <v>($/kW-yr)</v>
          </cell>
          <cell r="F10" t="str">
            <v>($/kW-yr)</v>
          </cell>
          <cell r="G10" t="str">
            <v>($/MMBtu)</v>
          </cell>
        </row>
        <row r="14">
          <cell r="A14">
            <v>2011</v>
          </cell>
          <cell r="B14">
            <v>79.2</v>
          </cell>
          <cell r="C14">
            <v>124.47</v>
          </cell>
          <cell r="D14">
            <v>6.74</v>
          </cell>
          <cell r="E14">
            <v>79.2</v>
          </cell>
          <cell r="F14">
            <v>124.47</v>
          </cell>
          <cell r="G14">
            <v>6.74</v>
          </cell>
        </row>
        <row r="15">
          <cell r="A15">
            <v>2012</v>
          </cell>
          <cell r="B15">
            <v>80.62</v>
          </cell>
          <cell r="C15">
            <v>126.71</v>
          </cell>
          <cell r="D15">
            <v>7.08</v>
          </cell>
          <cell r="E15">
            <v>80.62</v>
          </cell>
          <cell r="F15">
            <v>126.71</v>
          </cell>
          <cell r="G15">
            <v>7.08</v>
          </cell>
        </row>
        <row r="16">
          <cell r="A16">
            <v>2013</v>
          </cell>
          <cell r="B16">
            <v>82.17</v>
          </cell>
          <cell r="C16">
            <v>129.13</v>
          </cell>
          <cell r="D16">
            <v>7.23</v>
          </cell>
          <cell r="E16">
            <v>82.17</v>
          </cell>
          <cell r="F16">
            <v>129.13</v>
          </cell>
          <cell r="G16">
            <v>7.23</v>
          </cell>
        </row>
        <row r="17">
          <cell r="A17">
            <v>2014</v>
          </cell>
          <cell r="B17">
            <v>83.73</v>
          </cell>
          <cell r="C17">
            <v>131.59</v>
          </cell>
          <cell r="D17">
            <v>7.38</v>
          </cell>
          <cell r="E17">
            <v>83.73</v>
          </cell>
          <cell r="F17">
            <v>131.59</v>
          </cell>
          <cell r="G17">
            <v>7.38</v>
          </cell>
        </row>
        <row r="18">
          <cell r="A18">
            <v>2015</v>
          </cell>
          <cell r="B18">
            <v>85.32</v>
          </cell>
          <cell r="C18">
            <v>134.09</v>
          </cell>
          <cell r="D18">
            <v>7.38</v>
          </cell>
          <cell r="E18">
            <v>85.32</v>
          </cell>
          <cell r="F18">
            <v>134.09</v>
          </cell>
          <cell r="G18">
            <v>7.38</v>
          </cell>
        </row>
        <row r="19">
          <cell r="A19">
            <v>2016</v>
          </cell>
          <cell r="B19">
            <v>86.95</v>
          </cell>
          <cell r="C19">
            <v>136.65</v>
          </cell>
          <cell r="D19">
            <v>7.14</v>
          </cell>
          <cell r="E19">
            <v>86.95</v>
          </cell>
          <cell r="F19">
            <v>136.65</v>
          </cell>
          <cell r="G19">
            <v>7.14</v>
          </cell>
        </row>
        <row r="20">
          <cell r="A20">
            <v>2017</v>
          </cell>
          <cell r="B20">
            <v>88.61</v>
          </cell>
          <cell r="C20">
            <v>139.26</v>
          </cell>
          <cell r="D20">
            <v>7.07</v>
          </cell>
          <cell r="E20">
            <v>88.61</v>
          </cell>
          <cell r="F20">
            <v>139.26</v>
          </cell>
          <cell r="G20">
            <v>7.07</v>
          </cell>
        </row>
        <row r="21">
          <cell r="A21">
            <v>2018</v>
          </cell>
          <cell r="B21">
            <v>90.3</v>
          </cell>
          <cell r="C21">
            <v>141.91</v>
          </cell>
          <cell r="D21">
            <v>7.15</v>
          </cell>
          <cell r="E21">
            <v>90.3</v>
          </cell>
          <cell r="F21">
            <v>141.91</v>
          </cell>
          <cell r="G21">
            <v>7.15</v>
          </cell>
        </row>
        <row r="22">
          <cell r="A22">
            <v>2019</v>
          </cell>
          <cell r="B22">
            <v>92.03</v>
          </cell>
          <cell r="C22">
            <v>144.63</v>
          </cell>
          <cell r="D22">
            <v>7.5</v>
          </cell>
          <cell r="E22">
            <v>92.03</v>
          </cell>
          <cell r="F22">
            <v>144.63</v>
          </cell>
          <cell r="G22">
            <v>7.5</v>
          </cell>
        </row>
        <row r="23">
          <cell r="A23">
            <v>2020</v>
          </cell>
          <cell r="B23">
            <v>93.79</v>
          </cell>
          <cell r="C23">
            <v>147.38999999999999</v>
          </cell>
          <cell r="D23">
            <v>7.93</v>
          </cell>
          <cell r="E23">
            <v>93.79</v>
          </cell>
          <cell r="F23">
            <v>147.38999999999999</v>
          </cell>
          <cell r="G23">
            <v>7.93</v>
          </cell>
        </row>
        <row r="24">
          <cell r="A24">
            <v>2021</v>
          </cell>
          <cell r="B24">
            <v>95.57</v>
          </cell>
          <cell r="C24">
            <v>150.21</v>
          </cell>
          <cell r="D24">
            <v>8.44</v>
          </cell>
          <cell r="E24">
            <v>95.57</v>
          </cell>
          <cell r="F24">
            <v>150.21</v>
          </cell>
          <cell r="G24">
            <v>8.44</v>
          </cell>
        </row>
        <row r="25">
          <cell r="A25">
            <v>2022</v>
          </cell>
          <cell r="B25">
            <v>97.4</v>
          </cell>
          <cell r="C25">
            <v>153.07</v>
          </cell>
          <cell r="D25">
            <v>8.42</v>
          </cell>
          <cell r="E25">
            <v>97.4</v>
          </cell>
          <cell r="F25">
            <v>153.07</v>
          </cell>
          <cell r="G25">
            <v>8.42</v>
          </cell>
        </row>
        <row r="26">
          <cell r="A26">
            <v>2023</v>
          </cell>
          <cell r="B26">
            <v>99.26</v>
          </cell>
          <cell r="C26">
            <v>155.99</v>
          </cell>
          <cell r="D26">
            <v>8.5</v>
          </cell>
          <cell r="E26">
            <v>99.26</v>
          </cell>
          <cell r="F26">
            <v>155.99</v>
          </cell>
          <cell r="G26">
            <v>8.5</v>
          </cell>
        </row>
        <row r="27">
          <cell r="A27">
            <v>2024</v>
          </cell>
          <cell r="B27">
            <v>101.16</v>
          </cell>
          <cell r="C27">
            <v>158.97</v>
          </cell>
          <cell r="D27">
            <v>7.3</v>
          </cell>
          <cell r="E27">
            <v>101.16</v>
          </cell>
          <cell r="F27">
            <v>158.97</v>
          </cell>
          <cell r="G27">
            <v>7.3</v>
          </cell>
        </row>
        <row r="28">
          <cell r="A28">
            <v>2025</v>
          </cell>
          <cell r="B28">
            <v>103.08</v>
          </cell>
          <cell r="C28">
            <v>162.01</v>
          </cell>
          <cell r="D28">
            <v>7.66</v>
          </cell>
          <cell r="E28">
            <v>103.08</v>
          </cell>
          <cell r="F28">
            <v>162.01</v>
          </cell>
          <cell r="G28">
            <v>7.66</v>
          </cell>
        </row>
        <row r="29">
          <cell r="A29">
            <v>2026</v>
          </cell>
          <cell r="B29">
            <v>105.05</v>
          </cell>
          <cell r="C29">
            <v>165.1</v>
          </cell>
          <cell r="D29">
            <v>8.2200000000000006</v>
          </cell>
          <cell r="E29">
            <v>105.05</v>
          </cell>
          <cell r="F29">
            <v>165.1</v>
          </cell>
          <cell r="G29">
            <v>8.2200000000000006</v>
          </cell>
        </row>
        <row r="30">
          <cell r="A30">
            <v>2027</v>
          </cell>
          <cell r="B30">
            <v>107.06</v>
          </cell>
          <cell r="C30">
            <v>168.25</v>
          </cell>
          <cell r="D30">
            <v>8.33</v>
          </cell>
          <cell r="E30">
            <v>107.06</v>
          </cell>
          <cell r="F30">
            <v>168.25</v>
          </cell>
          <cell r="G30">
            <v>8.33</v>
          </cell>
        </row>
        <row r="31">
          <cell r="A31">
            <v>2028</v>
          </cell>
          <cell r="B31">
            <v>109.1</v>
          </cell>
          <cell r="C31">
            <v>171.46</v>
          </cell>
          <cell r="D31">
            <v>8.7200000000000006</v>
          </cell>
          <cell r="E31">
            <v>109.1</v>
          </cell>
          <cell r="F31">
            <v>171.46</v>
          </cell>
          <cell r="G31">
            <v>8.7200000000000006</v>
          </cell>
        </row>
        <row r="32">
          <cell r="A32">
            <v>2029</v>
          </cell>
          <cell r="B32">
            <v>111.18</v>
          </cell>
          <cell r="C32">
            <v>174.74</v>
          </cell>
          <cell r="D32">
            <v>9.02</v>
          </cell>
          <cell r="E32">
            <v>111.18</v>
          </cell>
          <cell r="F32">
            <v>174.74</v>
          </cell>
          <cell r="G32">
            <v>9.02</v>
          </cell>
        </row>
        <row r="33">
          <cell r="A33">
            <v>2030</v>
          </cell>
          <cell r="B33">
            <v>113.31</v>
          </cell>
          <cell r="C33">
            <v>178.07</v>
          </cell>
          <cell r="D33">
            <v>9.52</v>
          </cell>
          <cell r="E33">
            <v>113.31</v>
          </cell>
          <cell r="F33">
            <v>178.07</v>
          </cell>
          <cell r="G33">
            <v>9.52</v>
          </cell>
        </row>
        <row r="35">
          <cell r="A35" t="str">
            <v>CCCT Capacity Factor</v>
          </cell>
          <cell r="B35">
            <v>0.51500000000000001</v>
          </cell>
        </row>
        <row r="36">
          <cell r="A36" t="str">
            <v>CCCT Heat Rate (Btu/kWh)</v>
          </cell>
          <cell r="B36">
            <v>7150</v>
          </cell>
        </row>
        <row r="38">
          <cell r="A38" t="str">
            <v xml:space="preserve">Source:  </v>
          </cell>
          <cell r="E38" t="str">
            <v>(Fiscal Year):</v>
          </cell>
        </row>
      </sheetData>
      <sheetData sheetId="35" refreshError="1"/>
      <sheetData sheetId="36" refreshError="1"/>
      <sheetData sheetId="37" refreshError="1"/>
      <sheetData sheetId="38">
        <row r="23">
          <cell r="E23">
            <v>0.79351793004909776</v>
          </cell>
        </row>
      </sheetData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>
        <row r="14">
          <cell r="B14" t="str">
            <v>3 Phase - 447 AAC &amp; 4\0 AAC</v>
          </cell>
        </row>
      </sheetData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>
        <row r="46">
          <cell r="G46">
            <v>0.1081</v>
          </cell>
        </row>
      </sheetData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/>
      <sheetData sheetId="81" refreshError="1"/>
      <sheetData sheetId="82" refreshError="1"/>
      <sheetData sheetId="83">
        <row r="32">
          <cell r="G32">
            <v>137.13321646485971</v>
          </cell>
        </row>
      </sheetData>
      <sheetData sheetId="84" refreshError="1"/>
      <sheetData sheetId="85" refreshError="1"/>
      <sheetData sheetId="86" refreshError="1"/>
      <sheetData sheetId="87" refreshError="1"/>
      <sheetData sheetId="8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Check"/>
      <sheetName val="SAPCHKREQ"/>
      <sheetName val="E072"/>
      <sheetName val="MACROS"/>
    </sheetNames>
    <sheetDataSet>
      <sheetData sheetId="0" refreshError="1">
        <row r="2">
          <cell r="B2">
            <v>8.92</v>
          </cell>
        </row>
        <row r="3">
          <cell r="B3">
            <v>8.5900000000000004E-2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NPC Factors"/>
      <sheetName val="Revenues"/>
      <sheetName val="TransInvest"/>
      <sheetName val="DistInvest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>
        <row r="9">
          <cell r="L9">
            <v>8.2837271695077097E-2</v>
          </cell>
        </row>
        <row r="11">
          <cell r="Y11">
            <v>1</v>
          </cell>
        </row>
        <row r="19">
          <cell r="K19">
            <v>0.47799999999999998</v>
          </cell>
        </row>
        <row r="20">
          <cell r="K20">
            <v>3.0000000000000001E-3</v>
          </cell>
        </row>
        <row r="21">
          <cell r="K21">
            <v>0.51900000000000002</v>
          </cell>
        </row>
      </sheetData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>
        <row r="61">
          <cell r="H61">
            <v>5.6674747264269187E-2</v>
          </cell>
        </row>
      </sheetData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(4.4) Allctd Base NPC (GRC12)"/>
      <sheetName val="(4.5) Base NPC by Cat (GRC12)"/>
      <sheetName val="(4.6) Base UTGRC12 MAY NPC"/>
      <sheetName val="Allocation"/>
      <sheetName val="Check MWh"/>
      <sheetName val="Check Dollars"/>
      <sheetName val="Check Other"/>
      <sheetName val="FuelAllocation"/>
      <sheetName val="West Valley"/>
      <sheetName val="Hermiston"/>
      <sheetName val="Ramp Loss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Fuel Used (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Wind Integration"/>
      <sheetName val="MacroBuilder"/>
    </sheetNames>
    <sheetDataSet>
      <sheetData sheetId="0"/>
      <sheetData sheetId="1"/>
      <sheetData sheetId="2"/>
      <sheetData sheetId="3"/>
      <sheetData sheetId="4"/>
      <sheetData sheetId="5">
        <row r="258">
          <cell r="R258" t="str">
            <v>AMP Resources (Cove Fort)</v>
          </cell>
          <cell r="S258">
            <v>2</v>
          </cell>
        </row>
        <row r="259">
          <cell r="R259" t="str">
            <v>APGI 7X24 return</v>
          </cell>
          <cell r="S259">
            <v>6</v>
          </cell>
        </row>
        <row r="260">
          <cell r="R260" t="str">
            <v>APGI LLH return</v>
          </cell>
          <cell r="S260">
            <v>6</v>
          </cell>
        </row>
        <row r="261">
          <cell r="R261" t="str">
            <v>APS 6X16 at 4C</v>
          </cell>
          <cell r="S261">
            <v>3</v>
          </cell>
        </row>
        <row r="262">
          <cell r="R262" t="str">
            <v>APS 7X16 at 4C</v>
          </cell>
          <cell r="S262">
            <v>3</v>
          </cell>
        </row>
        <row r="263">
          <cell r="R263" t="str">
            <v>APS 7X16 at Mona</v>
          </cell>
          <cell r="S263">
            <v>3</v>
          </cell>
        </row>
        <row r="264">
          <cell r="R264" t="str">
            <v>APS Exchange</v>
          </cell>
          <cell r="S264">
            <v>6</v>
          </cell>
        </row>
        <row r="265">
          <cell r="R265" t="str">
            <v>APS Exchange deliver</v>
          </cell>
          <cell r="S265">
            <v>6</v>
          </cell>
        </row>
        <row r="266">
          <cell r="R266" t="str">
            <v>APS p207861</v>
          </cell>
          <cell r="S266">
            <v>6</v>
          </cell>
        </row>
        <row r="267">
          <cell r="R267" t="str">
            <v>APS s207860</v>
          </cell>
          <cell r="S267">
            <v>6</v>
          </cell>
        </row>
        <row r="268">
          <cell r="R268" t="str">
            <v>APS Supplemental Purchase coal</v>
          </cell>
          <cell r="S268">
            <v>2</v>
          </cell>
        </row>
        <row r="269">
          <cell r="R269" t="str">
            <v>APS Supplemental Purchase other</v>
          </cell>
          <cell r="S269">
            <v>2</v>
          </cell>
        </row>
        <row r="270">
          <cell r="R270" t="str">
            <v>Aquila hydro hedge</v>
          </cell>
          <cell r="S270">
            <v>2</v>
          </cell>
        </row>
        <row r="271">
          <cell r="R271" t="str">
            <v>Biomass (QF)</v>
          </cell>
          <cell r="S271">
            <v>4</v>
          </cell>
        </row>
        <row r="272">
          <cell r="R272" t="str">
            <v>Biomass Non-Generation</v>
          </cell>
          <cell r="S272">
            <v>4</v>
          </cell>
        </row>
        <row r="273">
          <cell r="R273" t="str">
            <v>Biomass One QF</v>
          </cell>
          <cell r="S273">
            <v>4</v>
          </cell>
        </row>
        <row r="274">
          <cell r="R274" t="str">
            <v>Black Hills</v>
          </cell>
          <cell r="S274">
            <v>1</v>
          </cell>
        </row>
        <row r="275">
          <cell r="R275" t="str">
            <v>Black Hills Losses</v>
          </cell>
          <cell r="S275">
            <v>1</v>
          </cell>
        </row>
        <row r="276">
          <cell r="R276" t="str">
            <v>Black Hills Reserve (CTs)</v>
          </cell>
          <cell r="S276">
            <v>6</v>
          </cell>
        </row>
        <row r="277">
          <cell r="R277" t="str">
            <v>Blanding</v>
          </cell>
          <cell r="S277">
            <v>1</v>
          </cell>
        </row>
        <row r="278">
          <cell r="R278" t="str">
            <v>Blanding Purchase</v>
          </cell>
          <cell r="S278">
            <v>2</v>
          </cell>
        </row>
        <row r="279">
          <cell r="R279" t="str">
            <v>Blue Mountain Wind QF</v>
          </cell>
          <cell r="S279">
            <v>4</v>
          </cell>
        </row>
        <row r="280">
          <cell r="R280" t="str">
            <v>BPA FC II delivery</v>
          </cell>
          <cell r="S280">
            <v>6</v>
          </cell>
        </row>
        <row r="281">
          <cell r="R281" t="str">
            <v>BPA FC II Generation</v>
          </cell>
          <cell r="S281">
            <v>6</v>
          </cell>
        </row>
        <row r="282">
          <cell r="R282" t="str">
            <v>BPA FC IV delivery</v>
          </cell>
          <cell r="S282">
            <v>6</v>
          </cell>
        </row>
        <row r="283">
          <cell r="R283" t="str">
            <v>BPA FC IV Generation</v>
          </cell>
          <cell r="S283">
            <v>6</v>
          </cell>
        </row>
        <row r="284">
          <cell r="R284" t="str">
            <v>BPA Flathead Sale</v>
          </cell>
          <cell r="S284">
            <v>1</v>
          </cell>
        </row>
        <row r="285">
          <cell r="R285" t="str">
            <v>BPA Hermiston Losses</v>
          </cell>
          <cell r="S285">
            <v>8</v>
          </cell>
        </row>
        <row r="286">
          <cell r="R286" t="str">
            <v>BPA Palisades return</v>
          </cell>
          <cell r="S286">
            <v>6</v>
          </cell>
        </row>
        <row r="287">
          <cell r="R287" t="str">
            <v>BPA Palisades storage</v>
          </cell>
          <cell r="S287">
            <v>6</v>
          </cell>
        </row>
        <row r="288">
          <cell r="R288" t="str">
            <v>BPA Peaking</v>
          </cell>
          <cell r="S288">
            <v>6</v>
          </cell>
        </row>
        <row r="289">
          <cell r="R289" t="str">
            <v>BPA Peaking Replacement</v>
          </cell>
          <cell r="S289">
            <v>6</v>
          </cell>
        </row>
        <row r="290">
          <cell r="R290" t="str">
            <v>BPA So. Idaho Exchange In</v>
          </cell>
          <cell r="S290">
            <v>6</v>
          </cell>
        </row>
        <row r="291">
          <cell r="R291" t="str">
            <v>BPA So. Idaho Exchange Out</v>
          </cell>
          <cell r="S291">
            <v>6</v>
          </cell>
        </row>
        <row r="292">
          <cell r="R292" t="str">
            <v>BPA Spring Energy</v>
          </cell>
          <cell r="S292">
            <v>6</v>
          </cell>
        </row>
        <row r="293">
          <cell r="R293" t="str">
            <v>BPA Spring Energy deliver</v>
          </cell>
          <cell r="S293">
            <v>6</v>
          </cell>
        </row>
        <row r="294">
          <cell r="R294" t="str">
            <v>BPA Summer Storage</v>
          </cell>
          <cell r="S294">
            <v>6</v>
          </cell>
        </row>
        <row r="295">
          <cell r="R295" t="str">
            <v>BPA Summer Storage return</v>
          </cell>
          <cell r="S295">
            <v>6</v>
          </cell>
        </row>
        <row r="296">
          <cell r="R296" t="str">
            <v>BPA Wind Sale</v>
          </cell>
          <cell r="S296">
            <v>1</v>
          </cell>
        </row>
        <row r="297">
          <cell r="R297" t="str">
            <v>Bridger Losses In</v>
          </cell>
          <cell r="S297">
            <v>8</v>
          </cell>
        </row>
        <row r="298">
          <cell r="R298" t="str">
            <v>Bridger Losses Out</v>
          </cell>
          <cell r="S298">
            <v>8</v>
          </cell>
        </row>
        <row r="299">
          <cell r="R299" t="str">
            <v>Bridger Losses Out</v>
          </cell>
          <cell r="S299">
            <v>8</v>
          </cell>
        </row>
        <row r="300">
          <cell r="R300" t="str">
            <v>Cal ISO East - Four Corners Purchase</v>
          </cell>
          <cell r="S300">
            <v>13</v>
          </cell>
        </row>
        <row r="301">
          <cell r="R301" t="str">
            <v>Cal ISO East - Four Corners Sale</v>
          </cell>
          <cell r="S301">
            <v>12</v>
          </cell>
        </row>
        <row r="302">
          <cell r="R302" t="str">
            <v>Cal ISO East - Mona Purchase</v>
          </cell>
          <cell r="S302">
            <v>13</v>
          </cell>
        </row>
        <row r="303">
          <cell r="R303" t="str">
            <v>Cal ISO East - Mona Sale</v>
          </cell>
          <cell r="S303">
            <v>12</v>
          </cell>
        </row>
        <row r="304">
          <cell r="R304" t="str">
            <v>Cal ISO West - COB Purchase</v>
          </cell>
          <cell r="S304">
            <v>13</v>
          </cell>
        </row>
        <row r="305">
          <cell r="R305" t="str">
            <v>Cal ISO West - COB Sale</v>
          </cell>
          <cell r="S305">
            <v>12</v>
          </cell>
        </row>
        <row r="306">
          <cell r="R306" t="str">
            <v>California QF</v>
          </cell>
          <cell r="S306">
            <v>4</v>
          </cell>
        </row>
        <row r="307">
          <cell r="R307" t="str">
            <v>California Pre-MSP QF</v>
          </cell>
          <cell r="S307">
            <v>4</v>
          </cell>
        </row>
        <row r="308">
          <cell r="R308" t="str">
            <v>California Post-Merger Pre-MSP QF</v>
          </cell>
          <cell r="S308">
            <v>4</v>
          </cell>
        </row>
        <row r="309">
          <cell r="R309" t="str">
            <v>California Post-MSP QF</v>
          </cell>
          <cell r="S309">
            <v>4</v>
          </cell>
        </row>
        <row r="310">
          <cell r="R310" t="str">
            <v>California Pre-Merger QF</v>
          </cell>
          <cell r="S310">
            <v>4</v>
          </cell>
        </row>
        <row r="311">
          <cell r="R311" t="str">
            <v>Canadian Entitlement CEAEA</v>
          </cell>
          <cell r="S311">
            <v>5</v>
          </cell>
        </row>
        <row r="312">
          <cell r="R312" t="str">
            <v>Cargill p483225</v>
          </cell>
          <cell r="S312">
            <v>6</v>
          </cell>
        </row>
        <row r="313">
          <cell r="R313" t="str">
            <v>Cargill p485290</v>
          </cell>
          <cell r="S313">
            <v>6</v>
          </cell>
        </row>
        <row r="314">
          <cell r="R314" t="str">
            <v>Cargill s483226</v>
          </cell>
          <cell r="S314">
            <v>6</v>
          </cell>
        </row>
        <row r="315">
          <cell r="R315" t="str">
            <v>Cargill s485289</v>
          </cell>
          <cell r="S315">
            <v>6</v>
          </cell>
        </row>
        <row r="316">
          <cell r="R316" t="str">
            <v>Chehalis Station Service</v>
          </cell>
          <cell r="S316">
            <v>2</v>
          </cell>
        </row>
        <row r="317">
          <cell r="R317" t="str">
            <v>Chelan - Rocky Reach</v>
          </cell>
          <cell r="S317">
            <v>5</v>
          </cell>
        </row>
        <row r="318">
          <cell r="R318" t="str">
            <v>Chevron Wind QF</v>
          </cell>
          <cell r="S318">
            <v>4</v>
          </cell>
        </row>
        <row r="319">
          <cell r="R319" t="str">
            <v>Clark Displacement</v>
          </cell>
          <cell r="S319">
            <v>2</v>
          </cell>
        </row>
        <row r="320">
          <cell r="R320" t="str">
            <v>Clark Displacement Buy Back</v>
          </cell>
          <cell r="S320">
            <v>2</v>
          </cell>
        </row>
        <row r="321">
          <cell r="R321" t="str">
            <v>Clark River Road reserve</v>
          </cell>
          <cell r="S321">
            <v>2</v>
          </cell>
        </row>
        <row r="322">
          <cell r="R322" t="str">
            <v>CLARK S&amp;I</v>
          </cell>
          <cell r="S322">
            <v>2</v>
          </cell>
        </row>
        <row r="323">
          <cell r="R323" t="str">
            <v>Clark S&amp;I Base Capacity</v>
          </cell>
          <cell r="S323">
            <v>2</v>
          </cell>
        </row>
        <row r="324">
          <cell r="R324" t="str">
            <v>CLARK Storage &amp; Integration</v>
          </cell>
          <cell r="S324">
            <v>2</v>
          </cell>
        </row>
        <row r="325">
          <cell r="R325" t="str">
            <v>Clay Basin Gas Storage</v>
          </cell>
          <cell r="S325">
            <v>11</v>
          </cell>
        </row>
        <row r="326">
          <cell r="R326" t="str">
            <v>Co-Gen II QF</v>
          </cell>
          <cell r="S326">
            <v>4</v>
          </cell>
        </row>
        <row r="327">
          <cell r="R327" t="str">
            <v>Combine Hills</v>
          </cell>
          <cell r="S327">
            <v>2</v>
          </cell>
        </row>
        <row r="328">
          <cell r="R328" t="str">
            <v>Constellation p257677</v>
          </cell>
          <cell r="S328">
            <v>2</v>
          </cell>
        </row>
        <row r="329">
          <cell r="R329" t="str">
            <v>Constellation p257678</v>
          </cell>
          <cell r="S329">
            <v>2</v>
          </cell>
        </row>
        <row r="330">
          <cell r="R330" t="str">
            <v>Constellation p268849</v>
          </cell>
          <cell r="S330">
            <v>2</v>
          </cell>
        </row>
        <row r="331">
          <cell r="R331" t="str">
            <v>Cowlitz Swift deliver</v>
          </cell>
          <cell r="S331">
            <v>6</v>
          </cell>
        </row>
        <row r="332">
          <cell r="R332" t="str">
            <v>D.R. Johnson (QF)</v>
          </cell>
          <cell r="S332">
            <v>4</v>
          </cell>
        </row>
        <row r="333">
          <cell r="R333" t="str">
            <v>Deseret G&amp;T Expansion</v>
          </cell>
          <cell r="S333">
            <v>2</v>
          </cell>
        </row>
        <row r="334">
          <cell r="R334" t="str">
            <v>Deseret Purchase</v>
          </cell>
          <cell r="S334">
            <v>2</v>
          </cell>
        </row>
        <row r="335">
          <cell r="R335" t="str">
            <v>Douglas - Wells</v>
          </cell>
          <cell r="S335">
            <v>5</v>
          </cell>
        </row>
        <row r="336">
          <cell r="R336" t="str">
            <v>Douglas County Forest Products QF</v>
          </cell>
          <cell r="S336">
            <v>4</v>
          </cell>
        </row>
        <row r="337">
          <cell r="R337" t="str">
            <v>Douglas PUD - Lands Energy Share</v>
          </cell>
          <cell r="S337">
            <v>5</v>
          </cell>
        </row>
        <row r="338">
          <cell r="R338" t="str">
            <v>Douglas PUD Settlement</v>
          </cell>
          <cell r="S338">
            <v>2</v>
          </cell>
        </row>
        <row r="339">
          <cell r="R339" t="str">
            <v>DSM Cool Keeper Reserve</v>
          </cell>
          <cell r="S339">
            <v>8</v>
          </cell>
        </row>
        <row r="340">
          <cell r="R340" t="str">
            <v>DSM Idaho Irrigation</v>
          </cell>
          <cell r="S340">
            <v>8</v>
          </cell>
        </row>
        <row r="341">
          <cell r="R341" t="str">
            <v>DSM Idaho Irrigation Shifted</v>
          </cell>
          <cell r="S341">
            <v>8</v>
          </cell>
        </row>
        <row r="342">
          <cell r="R342" t="str">
            <v>DSM Utah Irrigation</v>
          </cell>
          <cell r="S342">
            <v>8</v>
          </cell>
        </row>
        <row r="343">
          <cell r="R343" t="str">
            <v>DSM Utah Irrigation Shifted</v>
          </cell>
          <cell r="S343">
            <v>8</v>
          </cell>
        </row>
        <row r="344">
          <cell r="R344" t="str">
            <v>Duke HLH</v>
          </cell>
          <cell r="S344">
            <v>2</v>
          </cell>
        </row>
        <row r="345">
          <cell r="R345" t="str">
            <v>Duke p99206</v>
          </cell>
          <cell r="S345">
            <v>2</v>
          </cell>
        </row>
        <row r="346">
          <cell r="R346" t="str">
            <v>Dunlap I Wind</v>
          </cell>
          <cell r="S346">
            <v>9</v>
          </cell>
        </row>
        <row r="347">
          <cell r="R347" t="str">
            <v>East Control Area Sale</v>
          </cell>
          <cell r="S347">
            <v>1</v>
          </cell>
        </row>
        <row r="348">
          <cell r="R348" t="str">
            <v>Electric Swaps - East</v>
          </cell>
          <cell r="S348">
            <v>13</v>
          </cell>
        </row>
        <row r="349">
          <cell r="R349" t="str">
            <v>Electric Swaps - East Buy</v>
          </cell>
          <cell r="S349">
            <v>13</v>
          </cell>
        </row>
        <row r="350">
          <cell r="R350" t="str">
            <v>Electric Swaps - East Sell</v>
          </cell>
          <cell r="S350">
            <v>12</v>
          </cell>
        </row>
        <row r="351">
          <cell r="R351" t="str">
            <v>Electric Swaps - West</v>
          </cell>
          <cell r="S351">
            <v>13</v>
          </cell>
        </row>
        <row r="352">
          <cell r="R352" t="str">
            <v>Electric Swaps - West Buy</v>
          </cell>
          <cell r="S352">
            <v>13</v>
          </cell>
        </row>
        <row r="353">
          <cell r="R353" t="str">
            <v>Electric Swaps - West Sell</v>
          </cell>
          <cell r="S353">
            <v>12</v>
          </cell>
        </row>
        <row r="354">
          <cell r="R354" t="str">
            <v>Evergreen BioPower QF</v>
          </cell>
          <cell r="S354">
            <v>4</v>
          </cell>
        </row>
        <row r="355">
          <cell r="R355" t="str">
            <v>EWEB FC I delivery</v>
          </cell>
          <cell r="S355">
            <v>6</v>
          </cell>
        </row>
        <row r="356">
          <cell r="R356" t="str">
            <v>EWEB FC I Generation</v>
          </cell>
          <cell r="S356">
            <v>6</v>
          </cell>
        </row>
        <row r="357">
          <cell r="R357" t="str">
            <v>EWEB/BPA Wind Sale</v>
          </cell>
          <cell r="S357">
            <v>6</v>
          </cell>
        </row>
        <row r="358">
          <cell r="R358" t="str">
            <v>Excess Gas Sales</v>
          </cell>
          <cell r="S358">
            <v>11</v>
          </cell>
        </row>
        <row r="359">
          <cell r="R359" t="str">
            <v>ExxonMobil QF</v>
          </cell>
          <cell r="S359">
            <v>4</v>
          </cell>
        </row>
        <row r="360">
          <cell r="R360" t="str">
            <v>Five Pine Wind QF</v>
          </cell>
          <cell r="S360">
            <v>4</v>
          </cell>
        </row>
        <row r="361">
          <cell r="R361" t="str">
            <v>Flathead &amp; ENI Sale</v>
          </cell>
          <cell r="S361">
            <v>1</v>
          </cell>
        </row>
        <row r="362">
          <cell r="R362" t="str">
            <v>Foote Creek I Generation</v>
          </cell>
          <cell r="S362">
            <v>9</v>
          </cell>
        </row>
        <row r="363">
          <cell r="R363" t="str">
            <v>Fort James (CoGen)</v>
          </cell>
          <cell r="S363">
            <v>2</v>
          </cell>
        </row>
        <row r="364">
          <cell r="R364" t="str">
            <v>Gas Swaps</v>
          </cell>
          <cell r="S364">
            <v>11</v>
          </cell>
        </row>
        <row r="365">
          <cell r="R365" t="str">
            <v>Gas Physical - East</v>
          </cell>
          <cell r="S365">
            <v>11</v>
          </cell>
        </row>
        <row r="366">
          <cell r="R366" t="str">
            <v>Gas Physical - West</v>
          </cell>
          <cell r="S366">
            <v>11</v>
          </cell>
        </row>
        <row r="367">
          <cell r="R367" t="str">
            <v>Gas Physical - Chehalis</v>
          </cell>
          <cell r="S367">
            <v>11</v>
          </cell>
        </row>
        <row r="368">
          <cell r="R368" t="str">
            <v>Gas Physical - Existing East</v>
          </cell>
          <cell r="S368">
            <v>11</v>
          </cell>
        </row>
        <row r="369">
          <cell r="R369" t="str">
            <v>Gas Physical - Hermiston</v>
          </cell>
          <cell r="S369">
            <v>11</v>
          </cell>
        </row>
        <row r="370">
          <cell r="R370" t="str">
            <v>Gas Physical - New East</v>
          </cell>
          <cell r="S370">
            <v>11</v>
          </cell>
        </row>
        <row r="371">
          <cell r="R371" t="str">
            <v>Gas Swaps - East</v>
          </cell>
          <cell r="S371">
            <v>11</v>
          </cell>
        </row>
        <row r="372">
          <cell r="R372" t="str">
            <v>Gas Swaps - West</v>
          </cell>
          <cell r="S372">
            <v>11</v>
          </cell>
        </row>
        <row r="373">
          <cell r="R373" t="str">
            <v>Gas Swaps - Chehalis</v>
          </cell>
          <cell r="S373">
            <v>11</v>
          </cell>
        </row>
        <row r="374">
          <cell r="R374" t="str">
            <v>Gas Swaps - Existing East</v>
          </cell>
          <cell r="S374">
            <v>11</v>
          </cell>
        </row>
        <row r="375">
          <cell r="R375" t="str">
            <v>Gas Swaps - Hermiston</v>
          </cell>
          <cell r="S375">
            <v>11</v>
          </cell>
        </row>
        <row r="376">
          <cell r="R376" t="str">
            <v>Gas Swaps - New East</v>
          </cell>
          <cell r="S376">
            <v>11</v>
          </cell>
        </row>
        <row r="377">
          <cell r="R377" t="str">
            <v>Gem State (City of Idaho Falls)</v>
          </cell>
          <cell r="S377">
            <v>2</v>
          </cell>
        </row>
        <row r="378">
          <cell r="R378" t="str">
            <v>Gem State Power Cost</v>
          </cell>
          <cell r="S378">
            <v>2</v>
          </cell>
        </row>
        <row r="379">
          <cell r="R379" t="str">
            <v>Glenrock Wind</v>
          </cell>
          <cell r="S379">
            <v>9</v>
          </cell>
        </row>
        <row r="380">
          <cell r="R380" t="str">
            <v>Glenrock III Wind</v>
          </cell>
          <cell r="S380">
            <v>9</v>
          </cell>
        </row>
        <row r="381">
          <cell r="R381" t="str">
            <v>Goodnoe Wind</v>
          </cell>
          <cell r="S381">
            <v>9</v>
          </cell>
        </row>
        <row r="382">
          <cell r="R382" t="str">
            <v>Grant - Priest Rapids</v>
          </cell>
          <cell r="S382">
            <v>5</v>
          </cell>
        </row>
        <row r="383">
          <cell r="R383" t="str">
            <v>Grant - Wanapum</v>
          </cell>
          <cell r="S383">
            <v>5</v>
          </cell>
        </row>
        <row r="384">
          <cell r="R384" t="str">
            <v>Grant County</v>
          </cell>
          <cell r="S384">
            <v>2</v>
          </cell>
        </row>
        <row r="385">
          <cell r="R385" t="str">
            <v>Grant Displacement</v>
          </cell>
          <cell r="S385">
            <v>5</v>
          </cell>
        </row>
        <row r="386">
          <cell r="R386" t="str">
            <v>Grant Meaningful Priority</v>
          </cell>
          <cell r="S386">
            <v>5</v>
          </cell>
        </row>
        <row r="387">
          <cell r="R387" t="str">
            <v>Grant Reasonable</v>
          </cell>
          <cell r="S387">
            <v>5</v>
          </cell>
        </row>
        <row r="388">
          <cell r="R388" t="str">
            <v>Grant Power Auction</v>
          </cell>
          <cell r="S388">
            <v>5</v>
          </cell>
        </row>
        <row r="389">
          <cell r="R389" t="str">
            <v>High Plains Wind</v>
          </cell>
          <cell r="S389">
            <v>9</v>
          </cell>
        </row>
        <row r="390">
          <cell r="R390" t="str">
            <v>High Plateau Wind QF</v>
          </cell>
          <cell r="S390">
            <v>4</v>
          </cell>
        </row>
        <row r="391">
          <cell r="R391" t="str">
            <v>Hermiston Purchase</v>
          </cell>
          <cell r="S391">
            <v>2</v>
          </cell>
        </row>
        <row r="392">
          <cell r="R392" t="str">
            <v>Hurricane Purchase</v>
          </cell>
          <cell r="S392">
            <v>2</v>
          </cell>
        </row>
        <row r="393">
          <cell r="R393" t="str">
            <v>Hurricane Sale</v>
          </cell>
          <cell r="S393">
            <v>1</v>
          </cell>
        </row>
        <row r="394">
          <cell r="R394" t="str">
            <v>Idaho Power P278538</v>
          </cell>
          <cell r="S394">
            <v>2</v>
          </cell>
        </row>
        <row r="395">
          <cell r="R395" t="str">
            <v>Idaho Power P278538 HLH</v>
          </cell>
          <cell r="S395">
            <v>2</v>
          </cell>
        </row>
        <row r="396">
          <cell r="R396" t="str">
            <v>Idaho Power P278538 LLH</v>
          </cell>
          <cell r="S396">
            <v>2</v>
          </cell>
        </row>
        <row r="397">
          <cell r="R397" t="str">
            <v>Idaho Power RTSA Purchase</v>
          </cell>
          <cell r="S397">
            <v>2</v>
          </cell>
        </row>
        <row r="398">
          <cell r="R398" t="str">
            <v>Idaho Power RTSA return</v>
          </cell>
          <cell r="S398">
            <v>8</v>
          </cell>
        </row>
        <row r="399">
          <cell r="R399" t="str">
            <v>Idaho QF</v>
          </cell>
          <cell r="S399">
            <v>4</v>
          </cell>
        </row>
        <row r="400">
          <cell r="R400" t="str">
            <v>Idaho Pre-MSP QF</v>
          </cell>
          <cell r="S400">
            <v>4</v>
          </cell>
        </row>
        <row r="401">
          <cell r="R401" t="str">
            <v>Idaho Post-Merger Pre-MSP QF</v>
          </cell>
          <cell r="S401">
            <v>4</v>
          </cell>
        </row>
        <row r="402">
          <cell r="R402" t="str">
            <v>Idaho Post-MSP QF</v>
          </cell>
          <cell r="S402">
            <v>4</v>
          </cell>
        </row>
        <row r="403">
          <cell r="R403" t="str">
            <v>Idaho Pre-Merger QF</v>
          </cell>
          <cell r="S403">
            <v>4</v>
          </cell>
        </row>
        <row r="404">
          <cell r="R404" t="str">
            <v>IPP Purchase</v>
          </cell>
          <cell r="S404">
            <v>2</v>
          </cell>
        </row>
        <row r="405">
          <cell r="R405" t="str">
            <v>IPP Sale (LADWP)</v>
          </cell>
          <cell r="S405">
            <v>1</v>
          </cell>
        </row>
        <row r="406">
          <cell r="R406" t="str">
            <v>IRP - DSM East Irrigation Ld Control</v>
          </cell>
          <cell r="S406">
            <v>7</v>
          </cell>
        </row>
        <row r="407">
          <cell r="R407" t="str">
            <v>IRP - DSM East Irrigation Ld Control - Return</v>
          </cell>
          <cell r="S407">
            <v>7</v>
          </cell>
        </row>
        <row r="408">
          <cell r="R408" t="str">
            <v>IRP - DSM East Summer Ld Control</v>
          </cell>
          <cell r="S408">
            <v>7</v>
          </cell>
        </row>
        <row r="409">
          <cell r="R409" t="str">
            <v>IRP - DSM East Summer Ld Control - Return</v>
          </cell>
          <cell r="S409">
            <v>7</v>
          </cell>
        </row>
        <row r="410">
          <cell r="R410" t="str">
            <v>IRP - DSM West Irrigation Ld Control</v>
          </cell>
          <cell r="S410">
            <v>7</v>
          </cell>
        </row>
        <row r="411">
          <cell r="R411" t="str">
            <v>IRP - DSM West Irrigation Ld Control - Return</v>
          </cell>
          <cell r="S411">
            <v>7</v>
          </cell>
        </row>
        <row r="412">
          <cell r="R412" t="str">
            <v>IRP - FOT Four Corners</v>
          </cell>
          <cell r="S412">
            <v>7</v>
          </cell>
        </row>
        <row r="413">
          <cell r="R413" t="str">
            <v>IRP - FOT Mid-C</v>
          </cell>
          <cell r="S413">
            <v>7</v>
          </cell>
        </row>
        <row r="414">
          <cell r="R414" t="str">
            <v>IRP - FOT West Main</v>
          </cell>
          <cell r="S414">
            <v>7</v>
          </cell>
        </row>
        <row r="415">
          <cell r="R415" t="str">
            <v>IRP - Wind Mid-C</v>
          </cell>
          <cell r="S415">
            <v>7</v>
          </cell>
        </row>
        <row r="416">
          <cell r="R416" t="str">
            <v>IRP - Wind Walla Walla</v>
          </cell>
          <cell r="S416">
            <v>7</v>
          </cell>
        </row>
        <row r="417">
          <cell r="R417" t="str">
            <v>IRP - Wind Wyoming SE</v>
          </cell>
          <cell r="S417">
            <v>7</v>
          </cell>
        </row>
        <row r="418">
          <cell r="R418" t="str">
            <v>IRP - Wind Wyoming SW</v>
          </cell>
          <cell r="S418">
            <v>7</v>
          </cell>
        </row>
        <row r="419">
          <cell r="R419" t="str">
            <v>IRP - Wind Yakima</v>
          </cell>
          <cell r="S419">
            <v>7</v>
          </cell>
        </row>
        <row r="420">
          <cell r="R420" t="str">
            <v>Kennecott Generation Adjustment</v>
          </cell>
          <cell r="S420">
            <v>8</v>
          </cell>
        </row>
        <row r="421">
          <cell r="R421" t="str">
            <v>Kennecott Incentive</v>
          </cell>
          <cell r="S421">
            <v>2</v>
          </cell>
        </row>
        <row r="422">
          <cell r="R422" t="str">
            <v>Kennecott Incentive (Historical)</v>
          </cell>
          <cell r="S422">
            <v>2</v>
          </cell>
        </row>
        <row r="423">
          <cell r="R423" t="str">
            <v>Kennecott QF</v>
          </cell>
          <cell r="S423">
            <v>4</v>
          </cell>
        </row>
        <row r="424">
          <cell r="R424" t="str">
            <v>Kennecott Refinery QF</v>
          </cell>
          <cell r="S424">
            <v>4</v>
          </cell>
        </row>
        <row r="425">
          <cell r="R425" t="str">
            <v>Kennecott Smelter QF</v>
          </cell>
          <cell r="S425">
            <v>4</v>
          </cell>
        </row>
        <row r="426">
          <cell r="R426" t="str">
            <v>LADWP s491300</v>
          </cell>
          <cell r="S426">
            <v>1</v>
          </cell>
        </row>
        <row r="427">
          <cell r="R427" t="str">
            <v>LADWP s491301</v>
          </cell>
          <cell r="S427">
            <v>1</v>
          </cell>
        </row>
        <row r="428">
          <cell r="R428" t="str">
            <v>LADWP p491303</v>
          </cell>
          <cell r="S428">
            <v>2</v>
          </cell>
        </row>
        <row r="429">
          <cell r="R429" t="str">
            <v>LADWP s491303</v>
          </cell>
          <cell r="S429">
            <v>2</v>
          </cell>
        </row>
        <row r="430">
          <cell r="R430" t="str">
            <v>LADWP p491304</v>
          </cell>
          <cell r="S430">
            <v>2</v>
          </cell>
        </row>
        <row r="431">
          <cell r="R431" t="str">
            <v>LADWP s491304</v>
          </cell>
          <cell r="S431">
            <v>2</v>
          </cell>
        </row>
        <row r="432">
          <cell r="R432" t="str">
            <v>Leaning Juniper 1</v>
          </cell>
          <cell r="S432">
            <v>9</v>
          </cell>
        </row>
        <row r="433">
          <cell r="R433" t="str">
            <v>Lewis River Loss of Efficiency</v>
          </cell>
          <cell r="S433">
            <v>8</v>
          </cell>
        </row>
        <row r="434">
          <cell r="R434" t="str">
            <v>Lewis River Motoring Loss</v>
          </cell>
          <cell r="S434">
            <v>8</v>
          </cell>
        </row>
        <row r="435">
          <cell r="R435" t="str">
            <v>Lower Ridge Wind QF</v>
          </cell>
          <cell r="S435">
            <v>4</v>
          </cell>
        </row>
        <row r="436">
          <cell r="R436" t="str">
            <v>MagCorp Buythrough</v>
          </cell>
          <cell r="S436">
            <v>8</v>
          </cell>
        </row>
        <row r="437">
          <cell r="R437" t="str">
            <v>MagCorp Buythrough Winter</v>
          </cell>
          <cell r="S437">
            <v>8</v>
          </cell>
        </row>
        <row r="438">
          <cell r="R438" t="str">
            <v>MagCorp Curtailment</v>
          </cell>
          <cell r="S438">
            <v>8</v>
          </cell>
        </row>
        <row r="439">
          <cell r="R439" t="str">
            <v>MagCorp Curtailment (Historical)</v>
          </cell>
          <cell r="S439">
            <v>8</v>
          </cell>
        </row>
        <row r="440">
          <cell r="R440" t="str">
            <v>MagCorp Curtailment Winter</v>
          </cell>
          <cell r="S440">
            <v>8</v>
          </cell>
        </row>
        <row r="441">
          <cell r="R441" t="str">
            <v>MagCorp Curtailment Winter (Historical)</v>
          </cell>
          <cell r="S441">
            <v>8</v>
          </cell>
        </row>
        <row r="442">
          <cell r="R442" t="str">
            <v>Marengo</v>
          </cell>
          <cell r="S442">
            <v>9</v>
          </cell>
        </row>
        <row r="443">
          <cell r="R443" t="str">
            <v>Marengo I</v>
          </cell>
          <cell r="S443">
            <v>9</v>
          </cell>
        </row>
        <row r="444">
          <cell r="R444" t="str">
            <v>Marengo II</v>
          </cell>
          <cell r="S444">
            <v>9</v>
          </cell>
        </row>
        <row r="445">
          <cell r="R445" t="str">
            <v>McFadden Ridge Wind</v>
          </cell>
          <cell r="S445">
            <v>9</v>
          </cell>
        </row>
        <row r="446">
          <cell r="R446" t="str">
            <v>Monsanto Curtailment</v>
          </cell>
          <cell r="S446">
            <v>8</v>
          </cell>
        </row>
        <row r="447">
          <cell r="R447" t="str">
            <v>Monsanto Buythrough</v>
          </cell>
          <cell r="S447">
            <v>8</v>
          </cell>
        </row>
        <row r="448">
          <cell r="R448" t="str">
            <v>Monsanto Curtailment (Historical)</v>
          </cell>
          <cell r="S448">
            <v>2</v>
          </cell>
        </row>
        <row r="449">
          <cell r="R449" t="str">
            <v>Monsanto Excess Demand</v>
          </cell>
          <cell r="S449">
            <v>8</v>
          </cell>
        </row>
        <row r="450">
          <cell r="R450" t="str">
            <v>Morgan Stanley p189046</v>
          </cell>
          <cell r="S450">
            <v>2</v>
          </cell>
        </row>
        <row r="451">
          <cell r="R451" t="str">
            <v>Morgan Stanley p196538</v>
          </cell>
          <cell r="S451">
            <v>3</v>
          </cell>
        </row>
        <row r="452">
          <cell r="R452" t="str">
            <v>Morgan Stanley p206006</v>
          </cell>
          <cell r="S452">
            <v>3</v>
          </cell>
        </row>
        <row r="453">
          <cell r="R453" t="str">
            <v>Morgan Stanley p206008</v>
          </cell>
          <cell r="S453">
            <v>3</v>
          </cell>
        </row>
        <row r="454">
          <cell r="R454" t="str">
            <v>Morgan Stanley p207863</v>
          </cell>
          <cell r="S454">
            <v>6</v>
          </cell>
        </row>
        <row r="455">
          <cell r="R455" t="str">
            <v>Morgan Stanley p244840</v>
          </cell>
          <cell r="S455">
            <v>3</v>
          </cell>
        </row>
        <row r="456">
          <cell r="R456" t="str">
            <v>Morgan Stanley p244841</v>
          </cell>
          <cell r="S456">
            <v>3</v>
          </cell>
        </row>
        <row r="457">
          <cell r="R457" t="str">
            <v>Morgan Stanley p272153</v>
          </cell>
          <cell r="S457">
            <v>2</v>
          </cell>
        </row>
        <row r="458">
          <cell r="R458" t="str">
            <v>Morgan Stanley p272154</v>
          </cell>
          <cell r="S458">
            <v>2</v>
          </cell>
        </row>
        <row r="459">
          <cell r="R459" t="str">
            <v>Morgan Stanley p272156</v>
          </cell>
          <cell r="S459">
            <v>2</v>
          </cell>
        </row>
        <row r="460">
          <cell r="R460" t="str">
            <v>Morgan Stanley p272157</v>
          </cell>
          <cell r="S460">
            <v>2</v>
          </cell>
        </row>
        <row r="461">
          <cell r="R461" t="str">
            <v>Morgan Stanley p272158</v>
          </cell>
          <cell r="S461">
            <v>2</v>
          </cell>
        </row>
        <row r="462">
          <cell r="R462" t="str">
            <v>Morgan Stanley s207862</v>
          </cell>
          <cell r="S462">
            <v>2</v>
          </cell>
        </row>
        <row r="463">
          <cell r="R463" t="str">
            <v>Mountain Wind 1 QF</v>
          </cell>
          <cell r="S463">
            <v>4</v>
          </cell>
        </row>
        <row r="464">
          <cell r="R464" t="str">
            <v>Mountain Wind 2 QF</v>
          </cell>
          <cell r="S464">
            <v>4</v>
          </cell>
        </row>
        <row r="465">
          <cell r="R465" t="str">
            <v>Mule Hollow Wind QF</v>
          </cell>
          <cell r="S465">
            <v>4</v>
          </cell>
        </row>
        <row r="466">
          <cell r="R466" t="str">
            <v>NCPA p309009</v>
          </cell>
          <cell r="S466">
            <v>6</v>
          </cell>
        </row>
        <row r="467">
          <cell r="R467" t="str">
            <v>NCPA s309008</v>
          </cell>
          <cell r="S467">
            <v>6</v>
          </cell>
        </row>
        <row r="468">
          <cell r="R468" t="str">
            <v>Nebo Capacity Payment</v>
          </cell>
          <cell r="S468">
            <v>2</v>
          </cell>
        </row>
        <row r="469">
          <cell r="R469" t="str">
            <v>Non-Owned East - Obligation</v>
          </cell>
          <cell r="S469">
            <v>2</v>
          </cell>
        </row>
        <row r="470">
          <cell r="R470" t="str">
            <v>Non-Owned East - Offset</v>
          </cell>
          <cell r="S470">
            <v>2</v>
          </cell>
        </row>
        <row r="471">
          <cell r="R471" t="str">
            <v>Non-Owned West - Obligation</v>
          </cell>
          <cell r="S471">
            <v>2</v>
          </cell>
        </row>
        <row r="472">
          <cell r="R472" t="str">
            <v>Non-Owned West - Offset</v>
          </cell>
          <cell r="S472">
            <v>2</v>
          </cell>
        </row>
        <row r="473">
          <cell r="R473" t="str">
            <v>Non-Owned East Wind - Obligation</v>
          </cell>
          <cell r="S473">
            <v>2</v>
          </cell>
        </row>
        <row r="474">
          <cell r="R474" t="str">
            <v>Non-Owned East Wind - Offset</v>
          </cell>
          <cell r="S474">
            <v>2</v>
          </cell>
        </row>
        <row r="475">
          <cell r="R475" t="str">
            <v>Non-Owned West Wind - Obligation</v>
          </cell>
          <cell r="S475">
            <v>2</v>
          </cell>
        </row>
        <row r="476">
          <cell r="R476" t="str">
            <v>Non-Owned West Wind - Offset</v>
          </cell>
          <cell r="S476">
            <v>2</v>
          </cell>
        </row>
        <row r="477">
          <cell r="R477" t="str">
            <v>North Point Wind QF</v>
          </cell>
          <cell r="S477">
            <v>4</v>
          </cell>
        </row>
        <row r="478">
          <cell r="R478" t="str">
            <v>NUCOR</v>
          </cell>
          <cell r="S478">
            <v>2</v>
          </cell>
        </row>
        <row r="479">
          <cell r="R479" t="str">
            <v>NUCOR (De-rate)</v>
          </cell>
          <cell r="S479">
            <v>2</v>
          </cell>
        </row>
        <row r="480">
          <cell r="R480" t="str">
            <v>NVE s523485</v>
          </cell>
          <cell r="S480">
            <v>1</v>
          </cell>
        </row>
        <row r="481">
          <cell r="R481" t="str">
            <v>NVE s811499</v>
          </cell>
          <cell r="S481">
            <v>1</v>
          </cell>
        </row>
        <row r="482">
          <cell r="R482" t="str">
            <v>Oregon QF</v>
          </cell>
          <cell r="S482">
            <v>4</v>
          </cell>
        </row>
        <row r="483">
          <cell r="R483" t="str">
            <v>Oregon Pre-MSP QF</v>
          </cell>
          <cell r="S483">
            <v>4</v>
          </cell>
        </row>
        <row r="484">
          <cell r="R484" t="str">
            <v>Oregon Post-Merger Pre-MSP QF</v>
          </cell>
          <cell r="S484">
            <v>4</v>
          </cell>
        </row>
        <row r="485">
          <cell r="R485" t="str">
            <v>Oregon Post-MSP QF</v>
          </cell>
          <cell r="S485">
            <v>4</v>
          </cell>
        </row>
        <row r="486">
          <cell r="R486" t="str">
            <v>Oregon Pre-Merger QF</v>
          </cell>
          <cell r="S486">
            <v>4</v>
          </cell>
        </row>
        <row r="487">
          <cell r="R487" t="str">
            <v>Oregon Wind Farm QF</v>
          </cell>
          <cell r="S487">
            <v>4</v>
          </cell>
        </row>
        <row r="488">
          <cell r="R488" t="str">
            <v>P4 Production</v>
          </cell>
          <cell r="S488">
            <v>2</v>
          </cell>
        </row>
        <row r="489">
          <cell r="R489" t="str">
            <v>P4 Production (De-rate)</v>
          </cell>
          <cell r="S489">
            <v>1</v>
          </cell>
        </row>
        <row r="490">
          <cell r="R490" t="str">
            <v>Pacific Gas and Electric s524491</v>
          </cell>
          <cell r="S490">
            <v>1</v>
          </cell>
        </row>
        <row r="491">
          <cell r="R491" t="str">
            <v>PGE Cove</v>
          </cell>
          <cell r="S491">
            <v>2</v>
          </cell>
        </row>
        <row r="492">
          <cell r="R492" t="str">
            <v>Pine City Wind QF</v>
          </cell>
          <cell r="S492">
            <v>4</v>
          </cell>
        </row>
        <row r="493">
          <cell r="R493" t="str">
            <v>Pioneer Wind Park I QF</v>
          </cell>
          <cell r="S493">
            <v>4</v>
          </cell>
        </row>
        <row r="494">
          <cell r="R494" t="str">
            <v>Pioneer Wind Park II QF</v>
          </cell>
          <cell r="S494">
            <v>4</v>
          </cell>
        </row>
        <row r="495">
          <cell r="R495" t="str">
            <v>Pipeline Chehalis - Lateral</v>
          </cell>
          <cell r="S495">
            <v>11</v>
          </cell>
        </row>
        <row r="496">
          <cell r="R496" t="str">
            <v>Pipeline Chehalis - Main</v>
          </cell>
          <cell r="S496">
            <v>11</v>
          </cell>
        </row>
        <row r="497">
          <cell r="R497" t="str">
            <v>Pipeline Currant Creek Lateral</v>
          </cell>
          <cell r="S497">
            <v>11</v>
          </cell>
        </row>
        <row r="498">
          <cell r="R498" t="str">
            <v>Pipeline Hermiston Owned</v>
          </cell>
          <cell r="S498">
            <v>11</v>
          </cell>
        </row>
        <row r="499">
          <cell r="R499" t="str">
            <v>Pipeline Kern River Gas</v>
          </cell>
          <cell r="S499">
            <v>11</v>
          </cell>
        </row>
        <row r="500">
          <cell r="R500" t="str">
            <v>Pipeline Lake Side Lateral</v>
          </cell>
          <cell r="S500">
            <v>11</v>
          </cell>
        </row>
        <row r="501">
          <cell r="R501" t="str">
            <v>Pipeline Naughton</v>
          </cell>
          <cell r="S501">
            <v>14</v>
          </cell>
        </row>
        <row r="502">
          <cell r="R502" t="str">
            <v>Pipeline Reservation Fees</v>
          </cell>
          <cell r="S502">
            <v>11</v>
          </cell>
        </row>
        <row r="503">
          <cell r="R503" t="str">
            <v>Pipeline Southern System Expansion</v>
          </cell>
          <cell r="S503">
            <v>11</v>
          </cell>
        </row>
        <row r="504">
          <cell r="R504" t="str">
            <v>Power County North Wind QF p575612</v>
          </cell>
          <cell r="S504">
            <v>4</v>
          </cell>
        </row>
        <row r="505">
          <cell r="R505" t="str">
            <v>Power County South Wind QF p575614</v>
          </cell>
          <cell r="S505">
            <v>4</v>
          </cell>
        </row>
        <row r="506">
          <cell r="R506" t="str">
            <v>PSCo Exchange</v>
          </cell>
          <cell r="S506">
            <v>6</v>
          </cell>
        </row>
        <row r="507">
          <cell r="R507" t="str">
            <v>PSCo Exchange deliver</v>
          </cell>
          <cell r="S507">
            <v>6</v>
          </cell>
        </row>
        <row r="508">
          <cell r="R508" t="str">
            <v>PSCo FC III delivery</v>
          </cell>
          <cell r="S508">
            <v>6</v>
          </cell>
        </row>
        <row r="509">
          <cell r="R509" t="str">
            <v>PSCo FC III Generation</v>
          </cell>
          <cell r="S509">
            <v>6</v>
          </cell>
        </row>
        <row r="510">
          <cell r="R510" t="str">
            <v>PSCo Sale summer</v>
          </cell>
          <cell r="S510">
            <v>1</v>
          </cell>
        </row>
        <row r="511">
          <cell r="R511" t="str">
            <v>PSCo Sale winter</v>
          </cell>
          <cell r="S511">
            <v>1</v>
          </cell>
        </row>
        <row r="512">
          <cell r="R512" t="str">
            <v>Redding Exchange In</v>
          </cell>
          <cell r="S512">
            <v>6</v>
          </cell>
        </row>
        <row r="513">
          <cell r="R513" t="str">
            <v>Redding Exchange Out</v>
          </cell>
          <cell r="S513">
            <v>6</v>
          </cell>
        </row>
        <row r="514">
          <cell r="R514" t="str">
            <v>Ramp Loss East</v>
          </cell>
          <cell r="S514">
            <v>8</v>
          </cell>
        </row>
        <row r="515">
          <cell r="R515" t="str">
            <v>Ramp Loss West</v>
          </cell>
          <cell r="S515">
            <v>8</v>
          </cell>
        </row>
        <row r="516">
          <cell r="R516" t="str">
            <v>Rock River I</v>
          </cell>
          <cell r="S516">
            <v>2</v>
          </cell>
        </row>
        <row r="517">
          <cell r="R517" t="str">
            <v>Rolling Hills Wind</v>
          </cell>
          <cell r="S517">
            <v>9</v>
          </cell>
        </row>
        <row r="518">
          <cell r="R518" t="str">
            <v>Roseburg Dillard QF</v>
          </cell>
          <cell r="S518">
            <v>4</v>
          </cell>
        </row>
        <row r="519">
          <cell r="R519" t="str">
            <v>Roseburg Forest Products</v>
          </cell>
          <cell r="S519">
            <v>2</v>
          </cell>
        </row>
        <row r="520">
          <cell r="R520" t="str">
            <v>Salt River Project</v>
          </cell>
          <cell r="S520">
            <v>1</v>
          </cell>
        </row>
        <row r="521">
          <cell r="R521" t="str">
            <v>SCE Settlement</v>
          </cell>
          <cell r="S521">
            <v>1</v>
          </cell>
        </row>
        <row r="522">
          <cell r="R522" t="str">
            <v>Schwendiman QF</v>
          </cell>
          <cell r="S522">
            <v>4</v>
          </cell>
        </row>
        <row r="523">
          <cell r="R523" t="str">
            <v>SCE s513948</v>
          </cell>
          <cell r="S523">
            <v>1</v>
          </cell>
        </row>
        <row r="524">
          <cell r="R524" t="str">
            <v>SCL State Line delivery</v>
          </cell>
          <cell r="S524">
            <v>6</v>
          </cell>
        </row>
        <row r="525">
          <cell r="R525" t="str">
            <v>SCL State Line delivery LLH</v>
          </cell>
          <cell r="S525">
            <v>6</v>
          </cell>
        </row>
        <row r="526">
          <cell r="R526" t="str">
            <v>SCL State Line generation</v>
          </cell>
          <cell r="S526">
            <v>6</v>
          </cell>
        </row>
        <row r="527">
          <cell r="R527" t="str">
            <v>SCL State Line reserves</v>
          </cell>
          <cell r="S527">
            <v>6</v>
          </cell>
        </row>
        <row r="528">
          <cell r="R528" t="str">
            <v>SDGE s513949</v>
          </cell>
          <cell r="S528">
            <v>1</v>
          </cell>
        </row>
        <row r="529">
          <cell r="R529" t="str">
            <v>Seven Mile Wind</v>
          </cell>
          <cell r="S529">
            <v>9</v>
          </cell>
        </row>
        <row r="530">
          <cell r="R530" t="str">
            <v>Seven Mile II Wind</v>
          </cell>
          <cell r="S530">
            <v>9</v>
          </cell>
        </row>
        <row r="531">
          <cell r="R531" t="str">
            <v>Shell p489963</v>
          </cell>
          <cell r="S531">
            <v>6</v>
          </cell>
        </row>
        <row r="532">
          <cell r="R532" t="str">
            <v>Shell s489962</v>
          </cell>
          <cell r="S532">
            <v>6</v>
          </cell>
        </row>
        <row r="533">
          <cell r="R533" t="str">
            <v>Sierra Pacific II</v>
          </cell>
          <cell r="S533">
            <v>1</v>
          </cell>
        </row>
        <row r="534">
          <cell r="R534" t="str">
            <v>Simplot Phosphates</v>
          </cell>
          <cell r="S534">
            <v>4</v>
          </cell>
        </row>
        <row r="535">
          <cell r="R535" t="str">
            <v>Small Purchases east</v>
          </cell>
          <cell r="S535">
            <v>2</v>
          </cell>
        </row>
        <row r="536">
          <cell r="R536" t="str">
            <v>Small Purchases west</v>
          </cell>
          <cell r="S536">
            <v>2</v>
          </cell>
        </row>
        <row r="537">
          <cell r="R537" t="str">
            <v>SMUD</v>
          </cell>
          <cell r="S537">
            <v>1</v>
          </cell>
        </row>
        <row r="538">
          <cell r="R538" t="str">
            <v>SMUD Provisional</v>
          </cell>
          <cell r="S538">
            <v>1</v>
          </cell>
        </row>
        <row r="539">
          <cell r="R539" t="str">
            <v>SMUD Monthly</v>
          </cell>
          <cell r="S539">
            <v>1</v>
          </cell>
        </row>
        <row r="540">
          <cell r="R540" t="str">
            <v>Spanish Fork Wind 2 QF</v>
          </cell>
          <cell r="S540">
            <v>4</v>
          </cell>
        </row>
        <row r="541">
          <cell r="R541" t="str">
            <v>Station Service East</v>
          </cell>
          <cell r="S541">
            <v>8</v>
          </cell>
        </row>
        <row r="542">
          <cell r="R542" t="str">
            <v>Station Service West</v>
          </cell>
          <cell r="S542">
            <v>8</v>
          </cell>
        </row>
        <row r="543">
          <cell r="R543" t="str">
            <v>STF Index Trades - Buy - East</v>
          </cell>
          <cell r="S543">
            <v>13</v>
          </cell>
        </row>
        <row r="544">
          <cell r="R544" t="str">
            <v>STF Index Trades - Buy - West</v>
          </cell>
          <cell r="S544">
            <v>13</v>
          </cell>
        </row>
        <row r="545">
          <cell r="R545" t="str">
            <v>STF Index Trades - Sell - East</v>
          </cell>
          <cell r="S545">
            <v>12</v>
          </cell>
        </row>
        <row r="546">
          <cell r="R546" t="str">
            <v>STF Index Trades - Sell - West</v>
          </cell>
          <cell r="S546">
            <v>12</v>
          </cell>
        </row>
        <row r="547">
          <cell r="R547" t="str">
            <v>STF Trading Margin</v>
          </cell>
          <cell r="S547">
            <v>12</v>
          </cell>
        </row>
        <row r="548">
          <cell r="R548" t="str">
            <v>Sunnyside (QF) additional</v>
          </cell>
          <cell r="S548">
            <v>4</v>
          </cell>
        </row>
        <row r="549">
          <cell r="R549" t="str">
            <v>Sunnyside (QF) base</v>
          </cell>
          <cell r="S549">
            <v>4</v>
          </cell>
        </row>
        <row r="550">
          <cell r="R550" t="str">
            <v>Tesoro QF</v>
          </cell>
          <cell r="S550">
            <v>4</v>
          </cell>
        </row>
        <row r="551">
          <cell r="R551" t="str">
            <v>Three Buttes Wind</v>
          </cell>
          <cell r="S551">
            <v>2</v>
          </cell>
        </row>
        <row r="552">
          <cell r="R552" t="str">
            <v>Threemile Canyon Wind QF p500139</v>
          </cell>
          <cell r="S552">
            <v>4</v>
          </cell>
        </row>
        <row r="553">
          <cell r="R553" t="str">
            <v>Top of the World Wind p522807</v>
          </cell>
          <cell r="S553">
            <v>2</v>
          </cell>
        </row>
        <row r="554">
          <cell r="R554" t="str">
            <v>Top of the World Wind p575862</v>
          </cell>
          <cell r="S554">
            <v>2</v>
          </cell>
        </row>
        <row r="555">
          <cell r="R555" t="str">
            <v>TransAlta p371343</v>
          </cell>
          <cell r="S555">
            <v>6</v>
          </cell>
        </row>
        <row r="556">
          <cell r="R556" t="str">
            <v>TransAlta Purchase Flat</v>
          </cell>
          <cell r="S556">
            <v>2</v>
          </cell>
        </row>
        <row r="557">
          <cell r="R557" t="str">
            <v>TransAlta Purchase Index</v>
          </cell>
          <cell r="S557">
            <v>2</v>
          </cell>
        </row>
        <row r="558">
          <cell r="R558" t="str">
            <v>TransAlta s371344</v>
          </cell>
          <cell r="S558">
            <v>6</v>
          </cell>
        </row>
        <row r="559">
          <cell r="R559" t="str">
            <v>Transmission East</v>
          </cell>
          <cell r="S559">
            <v>10</v>
          </cell>
        </row>
        <row r="560">
          <cell r="R560" t="str">
            <v>Transmission West</v>
          </cell>
          <cell r="S560">
            <v>10</v>
          </cell>
        </row>
        <row r="561">
          <cell r="R561" t="str">
            <v>Tri-State Exchange</v>
          </cell>
          <cell r="S561">
            <v>6</v>
          </cell>
        </row>
        <row r="562">
          <cell r="R562" t="str">
            <v>Tri-State Exchange return</v>
          </cell>
          <cell r="S562">
            <v>6</v>
          </cell>
        </row>
        <row r="563">
          <cell r="R563" t="str">
            <v>Tri-State Purchase</v>
          </cell>
          <cell r="S563">
            <v>2</v>
          </cell>
        </row>
        <row r="564">
          <cell r="R564" t="str">
            <v>UAMPS s223863</v>
          </cell>
          <cell r="S564">
            <v>1</v>
          </cell>
        </row>
        <row r="565">
          <cell r="R565" t="str">
            <v>UAMPS s404236</v>
          </cell>
          <cell r="S565">
            <v>1</v>
          </cell>
        </row>
        <row r="566">
          <cell r="R566" t="str">
            <v>UBS AG 6X16 at 4C</v>
          </cell>
          <cell r="S566">
            <v>3</v>
          </cell>
        </row>
        <row r="567">
          <cell r="R567" t="str">
            <v>UBS p223199</v>
          </cell>
          <cell r="S567">
            <v>3</v>
          </cell>
        </row>
        <row r="568">
          <cell r="R568" t="str">
            <v>UBS p268848</v>
          </cell>
          <cell r="S568">
            <v>3</v>
          </cell>
        </row>
        <row r="569">
          <cell r="R569" t="str">
            <v>UBS p268850</v>
          </cell>
          <cell r="S569">
            <v>3</v>
          </cell>
        </row>
        <row r="570">
          <cell r="R570" t="str">
            <v>UMPA II</v>
          </cell>
          <cell r="S570">
            <v>1</v>
          </cell>
        </row>
        <row r="571">
          <cell r="R571" t="str">
            <v>US Magnesium QF</v>
          </cell>
          <cell r="S571">
            <v>4</v>
          </cell>
        </row>
        <row r="572">
          <cell r="R572" t="str">
            <v>US Magnesium Reserve</v>
          </cell>
          <cell r="S572">
            <v>2</v>
          </cell>
        </row>
        <row r="573">
          <cell r="R573" t="str">
            <v>Utah QF</v>
          </cell>
          <cell r="S573">
            <v>4</v>
          </cell>
        </row>
        <row r="574">
          <cell r="R574" t="str">
            <v>Utah Pre-MSP QF</v>
          </cell>
          <cell r="S574">
            <v>4</v>
          </cell>
        </row>
        <row r="575">
          <cell r="R575" t="str">
            <v>Utah Post-Merger Pre-MSP QF</v>
          </cell>
          <cell r="S575">
            <v>4</v>
          </cell>
        </row>
        <row r="576">
          <cell r="R576" t="str">
            <v>Utah Post-MSP QF</v>
          </cell>
          <cell r="S576">
            <v>4</v>
          </cell>
        </row>
        <row r="577">
          <cell r="R577" t="str">
            <v>Utah Pre-Merger QF</v>
          </cell>
          <cell r="S577">
            <v>4</v>
          </cell>
        </row>
        <row r="578">
          <cell r="R578" t="str">
            <v>Washington QF</v>
          </cell>
          <cell r="S578">
            <v>4</v>
          </cell>
        </row>
        <row r="579">
          <cell r="R579" t="str">
            <v>Washington Pre-MSP QF</v>
          </cell>
          <cell r="S579">
            <v>4</v>
          </cell>
        </row>
        <row r="580">
          <cell r="R580" t="str">
            <v>Washington Post-Merger Pre-MSP QF</v>
          </cell>
          <cell r="S580">
            <v>4</v>
          </cell>
        </row>
        <row r="581">
          <cell r="R581" t="str">
            <v>Washington Post-MSP QF</v>
          </cell>
          <cell r="S581">
            <v>4</v>
          </cell>
        </row>
        <row r="582">
          <cell r="R582" t="str">
            <v>Washington Pre-Merger QF</v>
          </cell>
          <cell r="S582">
            <v>4</v>
          </cell>
        </row>
        <row r="583">
          <cell r="R583" t="str">
            <v>West Valley Toll</v>
          </cell>
          <cell r="S583">
            <v>2</v>
          </cell>
        </row>
        <row r="584">
          <cell r="R584" t="str">
            <v>Weyerhaeuser QF</v>
          </cell>
          <cell r="S584">
            <v>4</v>
          </cell>
        </row>
        <row r="585">
          <cell r="R585" t="str">
            <v>Weyerhaeuser Reserve</v>
          </cell>
          <cell r="S585">
            <v>2</v>
          </cell>
        </row>
        <row r="586">
          <cell r="R586" t="str">
            <v>Wolverine Creek</v>
          </cell>
          <cell r="S586">
            <v>2</v>
          </cell>
        </row>
        <row r="587">
          <cell r="R587" t="str">
            <v>Wyoming QF</v>
          </cell>
          <cell r="S587">
            <v>4</v>
          </cell>
        </row>
        <row r="588">
          <cell r="R588" t="str">
            <v>Wyoming Pre-MSP QF</v>
          </cell>
          <cell r="S588">
            <v>4</v>
          </cell>
        </row>
        <row r="589">
          <cell r="R589" t="str">
            <v>Wyoming Post-Merger Pre-MSP QF</v>
          </cell>
          <cell r="S589">
            <v>4</v>
          </cell>
        </row>
        <row r="590">
          <cell r="R590" t="str">
            <v>Wyoming Post-MSP QF</v>
          </cell>
          <cell r="S590">
            <v>4</v>
          </cell>
        </row>
        <row r="591">
          <cell r="R591" t="str">
            <v>Wyoming Pre-Merger QF</v>
          </cell>
          <cell r="S591">
            <v>4</v>
          </cell>
        </row>
        <row r="592">
          <cell r="R592">
            <v>0</v>
          </cell>
          <cell r="S592">
            <v>0</v>
          </cell>
        </row>
        <row r="593">
          <cell r="R593">
            <v>0</v>
          </cell>
          <cell r="S593">
            <v>0</v>
          </cell>
        </row>
        <row r="594">
          <cell r="R594">
            <v>0</v>
          </cell>
          <cell r="S594">
            <v>0</v>
          </cell>
        </row>
        <row r="595">
          <cell r="R595">
            <v>0</v>
          </cell>
          <cell r="S595">
            <v>0</v>
          </cell>
        </row>
      </sheetData>
      <sheetData sheetId="6">
        <row r="258">
          <cell r="R258" t="str">
            <v>AMP Resources (Cove Fort)</v>
          </cell>
          <cell r="S258">
            <v>2</v>
          </cell>
        </row>
        <row r="259">
          <cell r="R259" t="str">
            <v>APGI 7X24 return</v>
          </cell>
          <cell r="S259">
            <v>6</v>
          </cell>
        </row>
        <row r="260">
          <cell r="R260" t="str">
            <v>APGI LLH return</v>
          </cell>
          <cell r="S260">
            <v>6</v>
          </cell>
        </row>
        <row r="261">
          <cell r="R261" t="str">
            <v>APS 6X16 at 4C</v>
          </cell>
          <cell r="S261">
            <v>3</v>
          </cell>
        </row>
        <row r="262">
          <cell r="R262" t="str">
            <v>APS 7X16 at 4C</v>
          </cell>
          <cell r="S262">
            <v>3</v>
          </cell>
        </row>
        <row r="263">
          <cell r="R263" t="str">
            <v>APS 7X16 at Mona</v>
          </cell>
          <cell r="S263">
            <v>3</v>
          </cell>
        </row>
        <row r="264">
          <cell r="R264" t="str">
            <v>APS Exchange</v>
          </cell>
          <cell r="S264">
            <v>6</v>
          </cell>
        </row>
        <row r="265">
          <cell r="R265" t="str">
            <v>APS Exchange deliver</v>
          </cell>
          <cell r="S265">
            <v>6</v>
          </cell>
        </row>
        <row r="266">
          <cell r="R266" t="str">
            <v>APS p207861</v>
          </cell>
          <cell r="S266">
            <v>6</v>
          </cell>
        </row>
        <row r="267">
          <cell r="R267" t="str">
            <v>APS s207860</v>
          </cell>
          <cell r="S267">
            <v>6</v>
          </cell>
        </row>
        <row r="268">
          <cell r="R268" t="str">
            <v>APS Supplemental Purchase coal</v>
          </cell>
          <cell r="S268">
            <v>2</v>
          </cell>
        </row>
        <row r="269">
          <cell r="R269" t="str">
            <v>APS Supplemental Purchase other</v>
          </cell>
          <cell r="S269">
            <v>2</v>
          </cell>
        </row>
        <row r="270">
          <cell r="R270" t="str">
            <v>Aquila hydro hedge</v>
          </cell>
          <cell r="S270">
            <v>2</v>
          </cell>
        </row>
        <row r="271">
          <cell r="R271" t="str">
            <v>Biomass (QF)</v>
          </cell>
          <cell r="S271">
            <v>4</v>
          </cell>
        </row>
        <row r="272">
          <cell r="R272" t="str">
            <v>Biomass Non-Generation</v>
          </cell>
          <cell r="S272">
            <v>4</v>
          </cell>
        </row>
        <row r="273">
          <cell r="R273" t="str">
            <v>Biomass One QF</v>
          </cell>
          <cell r="S273">
            <v>4</v>
          </cell>
        </row>
        <row r="274">
          <cell r="R274" t="str">
            <v>Black Hills</v>
          </cell>
          <cell r="S274">
            <v>1</v>
          </cell>
        </row>
        <row r="275">
          <cell r="R275" t="str">
            <v>Black Hills Losses</v>
          </cell>
          <cell r="S275">
            <v>1</v>
          </cell>
        </row>
        <row r="276">
          <cell r="R276" t="str">
            <v>Black Hills Reserve (CTs)</v>
          </cell>
          <cell r="S276">
            <v>6</v>
          </cell>
        </row>
        <row r="277">
          <cell r="R277" t="str">
            <v>Blanding</v>
          </cell>
          <cell r="S277">
            <v>1</v>
          </cell>
        </row>
        <row r="278">
          <cell r="R278" t="str">
            <v>Blanding Purchase</v>
          </cell>
          <cell r="S278">
            <v>2</v>
          </cell>
        </row>
        <row r="279">
          <cell r="R279" t="str">
            <v>Blue Mountain Wind QF</v>
          </cell>
          <cell r="S279">
            <v>4</v>
          </cell>
        </row>
        <row r="280">
          <cell r="R280" t="str">
            <v>BPA FC II delivery</v>
          </cell>
          <cell r="S280">
            <v>6</v>
          </cell>
        </row>
        <row r="281">
          <cell r="R281" t="str">
            <v>BPA FC II Generation</v>
          </cell>
          <cell r="S281">
            <v>6</v>
          </cell>
        </row>
        <row r="282">
          <cell r="R282" t="str">
            <v>BPA FC IV delivery</v>
          </cell>
          <cell r="S282">
            <v>6</v>
          </cell>
        </row>
        <row r="283">
          <cell r="R283" t="str">
            <v>BPA FC IV Generation</v>
          </cell>
          <cell r="S283">
            <v>6</v>
          </cell>
        </row>
        <row r="284">
          <cell r="R284" t="str">
            <v>BPA Flathead Sale</v>
          </cell>
          <cell r="S284">
            <v>1</v>
          </cell>
        </row>
        <row r="285">
          <cell r="R285" t="str">
            <v>BPA Hermiston Losses</v>
          </cell>
          <cell r="S285">
            <v>8</v>
          </cell>
        </row>
        <row r="286">
          <cell r="R286" t="str">
            <v>BPA Palisades return</v>
          </cell>
          <cell r="S286">
            <v>6</v>
          </cell>
        </row>
        <row r="287">
          <cell r="R287" t="str">
            <v>BPA Palisades storage</v>
          </cell>
          <cell r="S287">
            <v>6</v>
          </cell>
        </row>
        <row r="288">
          <cell r="R288" t="str">
            <v>BPA Peaking</v>
          </cell>
          <cell r="S288">
            <v>6</v>
          </cell>
        </row>
        <row r="289">
          <cell r="R289" t="str">
            <v>BPA Peaking Replacement</v>
          </cell>
          <cell r="S289">
            <v>6</v>
          </cell>
        </row>
        <row r="290">
          <cell r="R290" t="str">
            <v>BPA So. Idaho Exchange In</v>
          </cell>
          <cell r="S290">
            <v>6</v>
          </cell>
        </row>
        <row r="291">
          <cell r="R291" t="str">
            <v>BPA So. Idaho Exchange Out</v>
          </cell>
          <cell r="S291">
            <v>6</v>
          </cell>
        </row>
        <row r="292">
          <cell r="R292" t="str">
            <v>BPA Spring Energy</v>
          </cell>
          <cell r="S292">
            <v>6</v>
          </cell>
        </row>
        <row r="293">
          <cell r="R293" t="str">
            <v>BPA Spring Energy deliver</v>
          </cell>
          <cell r="S293">
            <v>6</v>
          </cell>
        </row>
        <row r="294">
          <cell r="R294" t="str">
            <v>BPA Summer Storage</v>
          </cell>
          <cell r="S294">
            <v>6</v>
          </cell>
        </row>
        <row r="295">
          <cell r="R295" t="str">
            <v>BPA Summer Storage return</v>
          </cell>
          <cell r="S295">
            <v>6</v>
          </cell>
        </row>
        <row r="296">
          <cell r="R296" t="str">
            <v>BPA Wind Sale</v>
          </cell>
          <cell r="S296">
            <v>1</v>
          </cell>
        </row>
        <row r="297">
          <cell r="R297" t="str">
            <v>Bridger Losses In</v>
          </cell>
          <cell r="S297">
            <v>8</v>
          </cell>
        </row>
        <row r="298">
          <cell r="R298" t="str">
            <v>Bridger Losses Out</v>
          </cell>
          <cell r="S298">
            <v>8</v>
          </cell>
        </row>
        <row r="299">
          <cell r="R299" t="str">
            <v>Bridger Losses Out</v>
          </cell>
          <cell r="S299">
            <v>8</v>
          </cell>
        </row>
        <row r="300">
          <cell r="R300" t="str">
            <v>Cal ISO East - Four Corners Purchase</v>
          </cell>
          <cell r="S300">
            <v>13</v>
          </cell>
        </row>
        <row r="301">
          <cell r="R301" t="str">
            <v>Cal ISO East - Four Corners Sale</v>
          </cell>
          <cell r="S301">
            <v>12</v>
          </cell>
        </row>
        <row r="302">
          <cell r="R302" t="str">
            <v>Cal ISO East - Mona Purchase</v>
          </cell>
          <cell r="S302">
            <v>13</v>
          </cell>
        </row>
        <row r="303">
          <cell r="R303" t="str">
            <v>Cal ISO East - Mona Sale</v>
          </cell>
          <cell r="S303">
            <v>12</v>
          </cell>
        </row>
        <row r="304">
          <cell r="R304" t="str">
            <v>Cal ISO West - COB Purchase</v>
          </cell>
          <cell r="S304">
            <v>13</v>
          </cell>
        </row>
        <row r="305">
          <cell r="R305" t="str">
            <v>Cal ISO West - COB Sale</v>
          </cell>
          <cell r="S305">
            <v>12</v>
          </cell>
        </row>
        <row r="306">
          <cell r="R306" t="str">
            <v>California QF</v>
          </cell>
          <cell r="S306">
            <v>4</v>
          </cell>
        </row>
        <row r="307">
          <cell r="R307" t="str">
            <v>California Pre-MSP QF</v>
          </cell>
          <cell r="S307">
            <v>4</v>
          </cell>
        </row>
        <row r="308">
          <cell r="R308" t="str">
            <v>California Post-Merger Pre-MSP QF</v>
          </cell>
          <cell r="S308">
            <v>4</v>
          </cell>
        </row>
        <row r="309">
          <cell r="R309" t="str">
            <v>California Post-MSP QF</v>
          </cell>
          <cell r="S309">
            <v>4</v>
          </cell>
        </row>
        <row r="310">
          <cell r="R310" t="str">
            <v>California Pre-Merger QF</v>
          </cell>
          <cell r="S310">
            <v>4</v>
          </cell>
        </row>
        <row r="311">
          <cell r="R311" t="str">
            <v>Canadian Entitlement CEAEA</v>
          </cell>
          <cell r="S311">
            <v>5</v>
          </cell>
        </row>
        <row r="312">
          <cell r="R312" t="str">
            <v>Cargill p483225</v>
          </cell>
          <cell r="S312">
            <v>6</v>
          </cell>
        </row>
        <row r="313">
          <cell r="R313" t="str">
            <v>Cargill p485290</v>
          </cell>
          <cell r="S313">
            <v>6</v>
          </cell>
        </row>
        <row r="314">
          <cell r="R314" t="str">
            <v>Cargill s483226</v>
          </cell>
          <cell r="S314">
            <v>6</v>
          </cell>
        </row>
        <row r="315">
          <cell r="R315" t="str">
            <v>Cargill s485289</v>
          </cell>
          <cell r="S315">
            <v>6</v>
          </cell>
        </row>
        <row r="316">
          <cell r="R316" t="str">
            <v>Chehalis Station Service</v>
          </cell>
          <cell r="S316">
            <v>2</v>
          </cell>
        </row>
        <row r="317">
          <cell r="R317" t="str">
            <v>Chelan - Rocky Reach</v>
          </cell>
          <cell r="S317">
            <v>5</v>
          </cell>
        </row>
        <row r="318">
          <cell r="R318" t="str">
            <v>Chevron Wind QF</v>
          </cell>
          <cell r="S318">
            <v>4</v>
          </cell>
        </row>
        <row r="319">
          <cell r="R319" t="str">
            <v>Clark Displacement</v>
          </cell>
          <cell r="S319">
            <v>2</v>
          </cell>
        </row>
        <row r="320">
          <cell r="R320" t="str">
            <v>Clark Displacement Buy Back</v>
          </cell>
          <cell r="S320">
            <v>2</v>
          </cell>
        </row>
        <row r="321">
          <cell r="R321" t="str">
            <v>Clark River Road reserve</v>
          </cell>
          <cell r="S321">
            <v>2</v>
          </cell>
        </row>
        <row r="322">
          <cell r="R322" t="str">
            <v>CLARK S&amp;I</v>
          </cell>
          <cell r="S322">
            <v>2</v>
          </cell>
        </row>
        <row r="323">
          <cell r="R323" t="str">
            <v>Clark S&amp;I Base Capacity</v>
          </cell>
          <cell r="S323">
            <v>2</v>
          </cell>
        </row>
        <row r="324">
          <cell r="R324" t="str">
            <v>CLARK Storage &amp; Integration</v>
          </cell>
          <cell r="S324">
            <v>2</v>
          </cell>
        </row>
        <row r="325">
          <cell r="R325" t="str">
            <v>Clay Basin Gas Storage</v>
          </cell>
          <cell r="S325">
            <v>11</v>
          </cell>
        </row>
        <row r="326">
          <cell r="R326" t="str">
            <v>Co-Gen II QF</v>
          </cell>
          <cell r="S326">
            <v>4</v>
          </cell>
        </row>
        <row r="327">
          <cell r="R327" t="str">
            <v>Combine Hills</v>
          </cell>
          <cell r="S327">
            <v>2</v>
          </cell>
        </row>
        <row r="328">
          <cell r="R328" t="str">
            <v>Constellation p257677</v>
          </cell>
          <cell r="S328">
            <v>2</v>
          </cell>
        </row>
        <row r="329">
          <cell r="R329" t="str">
            <v>Constellation p257678</v>
          </cell>
          <cell r="S329">
            <v>2</v>
          </cell>
        </row>
        <row r="330">
          <cell r="R330" t="str">
            <v>Constellation p268849</v>
          </cell>
          <cell r="S330">
            <v>2</v>
          </cell>
        </row>
        <row r="331">
          <cell r="R331" t="str">
            <v>Cowlitz Swift deliver</v>
          </cell>
          <cell r="S331">
            <v>6</v>
          </cell>
        </row>
        <row r="332">
          <cell r="R332" t="str">
            <v>D.R. Johnson (QF)</v>
          </cell>
          <cell r="S332">
            <v>4</v>
          </cell>
        </row>
        <row r="333">
          <cell r="R333" t="str">
            <v>Deseret G&amp;T Expansion</v>
          </cell>
          <cell r="S333">
            <v>2</v>
          </cell>
        </row>
        <row r="334">
          <cell r="R334" t="str">
            <v>Deseret Purchase</v>
          </cell>
          <cell r="S334">
            <v>2</v>
          </cell>
        </row>
        <row r="335">
          <cell r="R335" t="str">
            <v>Douglas - Wells</v>
          </cell>
          <cell r="S335">
            <v>5</v>
          </cell>
        </row>
        <row r="336">
          <cell r="R336" t="str">
            <v>Douglas County Forest Products QF</v>
          </cell>
          <cell r="S336">
            <v>4</v>
          </cell>
        </row>
        <row r="337">
          <cell r="R337" t="str">
            <v>Douglas PUD - Lands Energy Share</v>
          </cell>
          <cell r="S337">
            <v>5</v>
          </cell>
        </row>
        <row r="338">
          <cell r="R338" t="str">
            <v>Douglas PUD Settlement</v>
          </cell>
          <cell r="S338">
            <v>2</v>
          </cell>
        </row>
        <row r="339">
          <cell r="R339" t="str">
            <v>DSM Cool Keeper Reserve</v>
          </cell>
          <cell r="S339">
            <v>8</v>
          </cell>
        </row>
        <row r="340">
          <cell r="R340" t="str">
            <v>DSM Idaho Irrigation</v>
          </cell>
          <cell r="S340">
            <v>8</v>
          </cell>
        </row>
        <row r="341">
          <cell r="R341" t="str">
            <v>DSM Idaho Irrigation Shifted</v>
          </cell>
          <cell r="S341">
            <v>8</v>
          </cell>
        </row>
        <row r="342">
          <cell r="R342" t="str">
            <v>DSM Utah Irrigation</v>
          </cell>
          <cell r="S342">
            <v>8</v>
          </cell>
        </row>
        <row r="343">
          <cell r="R343" t="str">
            <v>DSM Utah Irrigation Shifted</v>
          </cell>
          <cell r="S343">
            <v>8</v>
          </cell>
        </row>
        <row r="344">
          <cell r="R344" t="str">
            <v>Duke HLH</v>
          </cell>
          <cell r="S344">
            <v>2</v>
          </cell>
        </row>
        <row r="345">
          <cell r="R345" t="str">
            <v>Duke p99206</v>
          </cell>
          <cell r="S345">
            <v>2</v>
          </cell>
        </row>
        <row r="346">
          <cell r="R346" t="str">
            <v>Dunlap I Wind</v>
          </cell>
          <cell r="S346">
            <v>9</v>
          </cell>
        </row>
        <row r="347">
          <cell r="R347" t="str">
            <v>East Control Area Sale</v>
          </cell>
          <cell r="S347">
            <v>1</v>
          </cell>
        </row>
        <row r="348">
          <cell r="R348" t="str">
            <v>Electric Swaps - East</v>
          </cell>
          <cell r="S348">
            <v>13</v>
          </cell>
        </row>
        <row r="349">
          <cell r="R349" t="str">
            <v>Electric Swaps - East Buy</v>
          </cell>
          <cell r="S349">
            <v>13</v>
          </cell>
        </row>
        <row r="350">
          <cell r="R350" t="str">
            <v>Electric Swaps - East Sell</v>
          </cell>
          <cell r="S350">
            <v>12</v>
          </cell>
        </row>
        <row r="351">
          <cell r="R351" t="str">
            <v>Electric Swaps - West</v>
          </cell>
          <cell r="S351">
            <v>13</v>
          </cell>
        </row>
        <row r="352">
          <cell r="R352" t="str">
            <v>Electric Swaps - West Buy</v>
          </cell>
          <cell r="S352">
            <v>13</v>
          </cell>
        </row>
        <row r="353">
          <cell r="R353" t="str">
            <v>Electric Swaps - West Sell</v>
          </cell>
          <cell r="S353">
            <v>12</v>
          </cell>
        </row>
        <row r="354">
          <cell r="R354" t="str">
            <v>Evergreen BioPower QF</v>
          </cell>
          <cell r="S354">
            <v>4</v>
          </cell>
        </row>
        <row r="355">
          <cell r="R355" t="str">
            <v>EWEB FC I delivery</v>
          </cell>
          <cell r="S355">
            <v>6</v>
          </cell>
        </row>
        <row r="356">
          <cell r="R356" t="str">
            <v>EWEB FC I Generation</v>
          </cell>
          <cell r="S356">
            <v>6</v>
          </cell>
        </row>
        <row r="357">
          <cell r="R357" t="str">
            <v>EWEB/BPA Wind Sale</v>
          </cell>
          <cell r="S357">
            <v>6</v>
          </cell>
        </row>
        <row r="358">
          <cell r="R358" t="str">
            <v>Excess Gas Sales</v>
          </cell>
          <cell r="S358">
            <v>11</v>
          </cell>
        </row>
        <row r="359">
          <cell r="R359" t="str">
            <v>ExxonMobil QF</v>
          </cell>
          <cell r="S359">
            <v>4</v>
          </cell>
        </row>
        <row r="360">
          <cell r="R360" t="str">
            <v>ExxonMobil QF</v>
          </cell>
          <cell r="S360">
            <v>4</v>
          </cell>
        </row>
        <row r="361">
          <cell r="R361" t="str">
            <v>Five Pine Wind QF</v>
          </cell>
          <cell r="S361">
            <v>4</v>
          </cell>
        </row>
        <row r="362">
          <cell r="R362" t="str">
            <v>Flathead &amp; ENI Sale</v>
          </cell>
          <cell r="S362">
            <v>1</v>
          </cell>
        </row>
        <row r="363">
          <cell r="R363" t="str">
            <v>Foote Creek I Generation</v>
          </cell>
          <cell r="S363">
            <v>9</v>
          </cell>
        </row>
        <row r="364">
          <cell r="R364" t="str">
            <v>Fort James (CoGen)</v>
          </cell>
          <cell r="S364">
            <v>2</v>
          </cell>
        </row>
        <row r="365">
          <cell r="R365" t="str">
            <v>Gas Swaps</v>
          </cell>
          <cell r="S365">
            <v>11</v>
          </cell>
        </row>
        <row r="366">
          <cell r="R366" t="str">
            <v>Gas Physical - East</v>
          </cell>
          <cell r="S366">
            <v>11</v>
          </cell>
        </row>
        <row r="367">
          <cell r="R367" t="str">
            <v>Gas Physical - West</v>
          </cell>
          <cell r="S367">
            <v>11</v>
          </cell>
        </row>
        <row r="368">
          <cell r="R368" t="str">
            <v>Gas Physical - Chehalis</v>
          </cell>
          <cell r="S368">
            <v>11</v>
          </cell>
        </row>
        <row r="369">
          <cell r="R369" t="str">
            <v>Gas Physical - Existing East</v>
          </cell>
          <cell r="S369">
            <v>11</v>
          </cell>
        </row>
        <row r="370">
          <cell r="R370" t="str">
            <v>Gas Physical - Hermiston</v>
          </cell>
          <cell r="S370">
            <v>11</v>
          </cell>
        </row>
        <row r="371">
          <cell r="R371" t="str">
            <v>Gas Physical - New East</v>
          </cell>
          <cell r="S371">
            <v>11</v>
          </cell>
        </row>
        <row r="372">
          <cell r="R372" t="str">
            <v>Gas Swaps - East</v>
          </cell>
          <cell r="S372">
            <v>11</v>
          </cell>
        </row>
        <row r="373">
          <cell r="R373" t="str">
            <v>Gas Swaps - West</v>
          </cell>
          <cell r="S373">
            <v>11</v>
          </cell>
        </row>
        <row r="374">
          <cell r="R374" t="str">
            <v>Gas Swaps - Chehalis</v>
          </cell>
          <cell r="S374">
            <v>11</v>
          </cell>
        </row>
        <row r="375">
          <cell r="R375" t="str">
            <v>Gas Swaps - Existing East</v>
          </cell>
          <cell r="S375">
            <v>11</v>
          </cell>
        </row>
        <row r="376">
          <cell r="R376" t="str">
            <v>Gas Swaps - Hermiston</v>
          </cell>
          <cell r="S376">
            <v>11</v>
          </cell>
        </row>
        <row r="377">
          <cell r="R377" t="str">
            <v>Gas Swaps - New East</v>
          </cell>
          <cell r="S377">
            <v>11</v>
          </cell>
        </row>
        <row r="378">
          <cell r="R378" t="str">
            <v>Gem State (City of Idaho Falls)</v>
          </cell>
          <cell r="S378">
            <v>2</v>
          </cell>
        </row>
        <row r="379">
          <cell r="R379" t="str">
            <v>Gem State Power Cost</v>
          </cell>
          <cell r="S379">
            <v>2</v>
          </cell>
        </row>
        <row r="380">
          <cell r="R380" t="str">
            <v>Glenrock Wind</v>
          </cell>
          <cell r="S380">
            <v>9</v>
          </cell>
        </row>
        <row r="381">
          <cell r="R381" t="str">
            <v>Glenrock III Wind</v>
          </cell>
          <cell r="S381">
            <v>9</v>
          </cell>
        </row>
        <row r="382">
          <cell r="R382" t="str">
            <v>Goodnoe Wind</v>
          </cell>
          <cell r="S382">
            <v>2</v>
          </cell>
        </row>
        <row r="383">
          <cell r="R383" t="str">
            <v>Grant - Priest Rapids</v>
          </cell>
          <cell r="S383">
            <v>5</v>
          </cell>
        </row>
        <row r="384">
          <cell r="R384" t="str">
            <v>Grant - Wanapum</v>
          </cell>
          <cell r="S384">
            <v>5</v>
          </cell>
        </row>
        <row r="385">
          <cell r="R385" t="str">
            <v>Grant County</v>
          </cell>
          <cell r="S385">
            <v>2</v>
          </cell>
        </row>
        <row r="386">
          <cell r="R386" t="str">
            <v>Grant Displacement</v>
          </cell>
          <cell r="S386">
            <v>5</v>
          </cell>
        </row>
        <row r="387">
          <cell r="R387" t="str">
            <v>Grant Meaningful Priority</v>
          </cell>
          <cell r="S387">
            <v>5</v>
          </cell>
        </row>
        <row r="388">
          <cell r="R388" t="str">
            <v>Grant Reasonable</v>
          </cell>
          <cell r="S388">
            <v>5</v>
          </cell>
        </row>
        <row r="389">
          <cell r="R389" t="str">
            <v>Grant Power Auction</v>
          </cell>
          <cell r="S389">
            <v>5</v>
          </cell>
        </row>
        <row r="390">
          <cell r="R390" t="str">
            <v>High Plains Wind</v>
          </cell>
          <cell r="S390">
            <v>9</v>
          </cell>
        </row>
        <row r="391">
          <cell r="R391" t="str">
            <v>High Plateau Wind QF</v>
          </cell>
          <cell r="S391">
            <v>4</v>
          </cell>
        </row>
        <row r="392">
          <cell r="R392" t="str">
            <v>Hermiston Purchase</v>
          </cell>
          <cell r="S392">
            <v>2</v>
          </cell>
        </row>
        <row r="393">
          <cell r="R393" t="str">
            <v>Hurricane Purchase</v>
          </cell>
          <cell r="S393">
            <v>2</v>
          </cell>
        </row>
        <row r="394">
          <cell r="R394" t="str">
            <v>Hurricane Sale</v>
          </cell>
          <cell r="S394">
            <v>1</v>
          </cell>
        </row>
        <row r="395">
          <cell r="R395" t="str">
            <v>Idaho Power P278538</v>
          </cell>
          <cell r="S395">
            <v>2</v>
          </cell>
        </row>
        <row r="396">
          <cell r="R396" t="str">
            <v>Idaho Power P278538 HLH</v>
          </cell>
          <cell r="S396">
            <v>2</v>
          </cell>
        </row>
        <row r="397">
          <cell r="R397" t="str">
            <v>Idaho Power P278538 LLH</v>
          </cell>
          <cell r="S397">
            <v>2</v>
          </cell>
        </row>
        <row r="398">
          <cell r="R398" t="str">
            <v>Idaho Power RTSA Purchase</v>
          </cell>
          <cell r="S398">
            <v>2</v>
          </cell>
        </row>
        <row r="399">
          <cell r="R399" t="str">
            <v>Idaho Power RTSA return</v>
          </cell>
          <cell r="S399">
            <v>8</v>
          </cell>
        </row>
        <row r="400">
          <cell r="R400" t="str">
            <v>Idaho QF</v>
          </cell>
          <cell r="S400">
            <v>4</v>
          </cell>
        </row>
        <row r="401">
          <cell r="R401" t="str">
            <v>Idaho Pre-MSP QF</v>
          </cell>
          <cell r="S401">
            <v>4</v>
          </cell>
        </row>
        <row r="402">
          <cell r="R402" t="str">
            <v>Idaho Post-Merger Pre-MSP QF</v>
          </cell>
          <cell r="S402">
            <v>4</v>
          </cell>
        </row>
        <row r="403">
          <cell r="R403" t="str">
            <v>Idaho Post-MSP QF</v>
          </cell>
          <cell r="S403">
            <v>4</v>
          </cell>
        </row>
        <row r="404">
          <cell r="R404" t="str">
            <v>Idaho Pre-Merger QF</v>
          </cell>
          <cell r="S404">
            <v>4</v>
          </cell>
        </row>
        <row r="405">
          <cell r="R405" t="str">
            <v>IPP Purchase</v>
          </cell>
          <cell r="S405">
            <v>2</v>
          </cell>
        </row>
        <row r="406">
          <cell r="R406" t="str">
            <v>IPP Sale (LADWP)</v>
          </cell>
          <cell r="S406">
            <v>1</v>
          </cell>
        </row>
        <row r="407">
          <cell r="R407" t="str">
            <v>IRP - DSM East Irrigation Ld Control</v>
          </cell>
          <cell r="S407">
            <v>7</v>
          </cell>
        </row>
        <row r="408">
          <cell r="R408" t="str">
            <v>IRP - DSM East Irrigation Ld Control - Return</v>
          </cell>
          <cell r="S408">
            <v>7</v>
          </cell>
        </row>
        <row r="409">
          <cell r="R409" t="str">
            <v>IRP - DSM East Summer Ld Control</v>
          </cell>
          <cell r="S409">
            <v>7</v>
          </cell>
        </row>
        <row r="410">
          <cell r="R410" t="str">
            <v>IRP - DSM East Summer Ld Control - Return</v>
          </cell>
          <cell r="S410">
            <v>7</v>
          </cell>
        </row>
        <row r="411">
          <cell r="R411" t="str">
            <v>IRP - DSM West Irrigation Ld Control</v>
          </cell>
          <cell r="S411">
            <v>7</v>
          </cell>
        </row>
        <row r="412">
          <cell r="R412" t="str">
            <v>IRP - DSM West Irrigation Ld Control - Return</v>
          </cell>
          <cell r="S412">
            <v>7</v>
          </cell>
        </row>
        <row r="413">
          <cell r="R413" t="str">
            <v>IRP - FOT Four Corners</v>
          </cell>
          <cell r="S413">
            <v>7</v>
          </cell>
        </row>
        <row r="414">
          <cell r="R414" t="str">
            <v>IRP - FOT Mid-C</v>
          </cell>
          <cell r="S414">
            <v>7</v>
          </cell>
        </row>
        <row r="415">
          <cell r="R415" t="str">
            <v>IRP - FOT West Main</v>
          </cell>
          <cell r="S415">
            <v>7</v>
          </cell>
        </row>
        <row r="416">
          <cell r="R416" t="str">
            <v>IRP - Wind Mid-C</v>
          </cell>
          <cell r="S416">
            <v>7</v>
          </cell>
        </row>
        <row r="417">
          <cell r="R417" t="str">
            <v>IRP - Wind Walla Walla</v>
          </cell>
          <cell r="S417">
            <v>7</v>
          </cell>
        </row>
        <row r="418">
          <cell r="R418" t="str">
            <v>IRP - Wind Wyoming SE</v>
          </cell>
          <cell r="S418">
            <v>7</v>
          </cell>
        </row>
        <row r="419">
          <cell r="R419" t="str">
            <v>IRP - Wind Wyoming SW</v>
          </cell>
          <cell r="S419">
            <v>7</v>
          </cell>
        </row>
        <row r="420">
          <cell r="R420" t="str">
            <v>IRP - Wind Yakima</v>
          </cell>
          <cell r="S420">
            <v>7</v>
          </cell>
        </row>
        <row r="421">
          <cell r="R421" t="str">
            <v>Kennecott Generation Adjustment</v>
          </cell>
          <cell r="S421">
            <v>8</v>
          </cell>
        </row>
        <row r="422">
          <cell r="R422" t="str">
            <v>Kennecott Incentive</v>
          </cell>
          <cell r="S422">
            <v>2</v>
          </cell>
        </row>
        <row r="423">
          <cell r="R423" t="str">
            <v>Kennecott Incentive (Historical)</v>
          </cell>
          <cell r="S423">
            <v>2</v>
          </cell>
        </row>
        <row r="424">
          <cell r="R424" t="str">
            <v>Kennecott QF</v>
          </cell>
          <cell r="S424">
            <v>4</v>
          </cell>
        </row>
        <row r="425">
          <cell r="R425" t="str">
            <v>Kennecott Refinery QF</v>
          </cell>
          <cell r="S425">
            <v>4</v>
          </cell>
        </row>
        <row r="426">
          <cell r="R426" t="str">
            <v>Kennecott Smelter QF</v>
          </cell>
          <cell r="S426">
            <v>4</v>
          </cell>
        </row>
        <row r="427">
          <cell r="R427" t="str">
            <v>LADWP s491300</v>
          </cell>
          <cell r="S427">
            <v>1</v>
          </cell>
        </row>
        <row r="428">
          <cell r="R428" t="str">
            <v>LADWP s491301</v>
          </cell>
          <cell r="S428">
            <v>1</v>
          </cell>
        </row>
        <row r="429">
          <cell r="R429" t="str">
            <v>LADWP p491303</v>
          </cell>
          <cell r="S429">
            <v>2</v>
          </cell>
        </row>
        <row r="430">
          <cell r="R430" t="str">
            <v>LADWP s491303</v>
          </cell>
          <cell r="S430">
            <v>2</v>
          </cell>
        </row>
        <row r="431">
          <cell r="R431" t="str">
            <v>LADWP p491304</v>
          </cell>
          <cell r="S431">
            <v>2</v>
          </cell>
        </row>
        <row r="432">
          <cell r="R432" t="str">
            <v>LADWP s491304</v>
          </cell>
          <cell r="S432">
            <v>2</v>
          </cell>
        </row>
        <row r="433">
          <cell r="R433" t="str">
            <v>Leaning Juniper 1</v>
          </cell>
          <cell r="S433">
            <v>2</v>
          </cell>
        </row>
        <row r="434">
          <cell r="R434" t="str">
            <v>Lewis River Loss of Efficiency</v>
          </cell>
          <cell r="S434">
            <v>8</v>
          </cell>
        </row>
        <row r="435">
          <cell r="R435" t="str">
            <v>Lewis River Motoring Loss</v>
          </cell>
          <cell r="S435">
            <v>8</v>
          </cell>
        </row>
        <row r="436">
          <cell r="R436" t="str">
            <v>Lower Ridge Wind QF</v>
          </cell>
          <cell r="S436">
            <v>4</v>
          </cell>
        </row>
        <row r="437">
          <cell r="R437" t="str">
            <v>MagCorp Buythrough</v>
          </cell>
          <cell r="S437">
            <v>8</v>
          </cell>
        </row>
        <row r="438">
          <cell r="R438" t="str">
            <v>MagCorp Buythrough Winter</v>
          </cell>
          <cell r="S438">
            <v>8</v>
          </cell>
        </row>
        <row r="439">
          <cell r="R439" t="str">
            <v>MagCorp Curtailment</v>
          </cell>
          <cell r="S439">
            <v>8</v>
          </cell>
        </row>
        <row r="440">
          <cell r="R440" t="str">
            <v>MagCorp Curtailment (Historical)</v>
          </cell>
          <cell r="S440">
            <v>8</v>
          </cell>
        </row>
        <row r="441">
          <cell r="R441" t="str">
            <v>MagCorp Curtailment Winter</v>
          </cell>
          <cell r="S441">
            <v>8</v>
          </cell>
        </row>
        <row r="442">
          <cell r="R442" t="str">
            <v>MagCorp Curtailment Winter (Historical)</v>
          </cell>
          <cell r="S442">
            <v>8</v>
          </cell>
        </row>
        <row r="443">
          <cell r="R443" t="str">
            <v>Marengo</v>
          </cell>
          <cell r="S443">
            <v>9</v>
          </cell>
        </row>
        <row r="444">
          <cell r="R444" t="str">
            <v>Marengo I</v>
          </cell>
          <cell r="S444">
            <v>9</v>
          </cell>
        </row>
        <row r="445">
          <cell r="R445" t="str">
            <v>Marengo II</v>
          </cell>
          <cell r="S445">
            <v>9</v>
          </cell>
        </row>
        <row r="446">
          <cell r="R446" t="str">
            <v>McFadden Ridge Wind</v>
          </cell>
          <cell r="S446">
            <v>9</v>
          </cell>
        </row>
        <row r="447">
          <cell r="R447" t="str">
            <v>Monsanto Curtailment</v>
          </cell>
          <cell r="S447">
            <v>8</v>
          </cell>
        </row>
        <row r="448">
          <cell r="R448" t="str">
            <v>Monsanto Buythrough</v>
          </cell>
          <cell r="S448">
            <v>8</v>
          </cell>
        </row>
        <row r="449">
          <cell r="R449" t="str">
            <v>Monsanto Curtailment (Historical)</v>
          </cell>
          <cell r="S449">
            <v>2</v>
          </cell>
        </row>
        <row r="450">
          <cell r="R450" t="str">
            <v>Monsanto Excess Demand</v>
          </cell>
          <cell r="S450">
            <v>8</v>
          </cell>
        </row>
        <row r="451">
          <cell r="R451" t="str">
            <v>Morgan Stanley p189046</v>
          </cell>
          <cell r="S451">
            <v>2</v>
          </cell>
        </row>
        <row r="452">
          <cell r="R452" t="str">
            <v>Morgan Stanley p196538</v>
          </cell>
          <cell r="S452">
            <v>3</v>
          </cell>
        </row>
        <row r="453">
          <cell r="R453" t="str">
            <v>Morgan Stanley p206006</v>
          </cell>
          <cell r="S453">
            <v>3</v>
          </cell>
        </row>
        <row r="454">
          <cell r="R454" t="str">
            <v>Morgan Stanley p206008</v>
          </cell>
          <cell r="S454">
            <v>3</v>
          </cell>
        </row>
        <row r="455">
          <cell r="R455" t="str">
            <v>Morgan Stanley p207863</v>
          </cell>
          <cell r="S455">
            <v>6</v>
          </cell>
        </row>
        <row r="456">
          <cell r="R456" t="str">
            <v>Morgan Stanley p244840</v>
          </cell>
          <cell r="S456">
            <v>3</v>
          </cell>
        </row>
        <row r="457">
          <cell r="R457" t="str">
            <v>Morgan Stanley p244841</v>
          </cell>
          <cell r="S457">
            <v>3</v>
          </cell>
        </row>
        <row r="458">
          <cell r="R458" t="str">
            <v>Morgan Stanley p272153</v>
          </cell>
          <cell r="S458">
            <v>2</v>
          </cell>
        </row>
        <row r="459">
          <cell r="R459" t="str">
            <v>Morgan Stanley p272154</v>
          </cell>
          <cell r="S459">
            <v>2</v>
          </cell>
        </row>
        <row r="460">
          <cell r="R460" t="str">
            <v>Morgan Stanley p272156</v>
          </cell>
          <cell r="S460">
            <v>2</v>
          </cell>
        </row>
        <row r="461">
          <cell r="R461" t="str">
            <v>Morgan Stanley p272157</v>
          </cell>
          <cell r="S461">
            <v>2</v>
          </cell>
        </row>
        <row r="462">
          <cell r="R462" t="str">
            <v>Morgan Stanley p272158</v>
          </cell>
          <cell r="S462">
            <v>2</v>
          </cell>
        </row>
        <row r="463">
          <cell r="R463" t="str">
            <v>Morgan Stanley s207862</v>
          </cell>
          <cell r="S463">
            <v>2</v>
          </cell>
        </row>
        <row r="464">
          <cell r="R464" t="str">
            <v>Mountain Wind 1 QF</v>
          </cell>
          <cell r="S464">
            <v>4</v>
          </cell>
        </row>
        <row r="465">
          <cell r="R465" t="str">
            <v>Mountain Wind 2 QF</v>
          </cell>
          <cell r="S465">
            <v>4</v>
          </cell>
        </row>
        <row r="466">
          <cell r="R466" t="str">
            <v>Mule Hollow Wind QF</v>
          </cell>
          <cell r="S466">
            <v>4</v>
          </cell>
        </row>
        <row r="467">
          <cell r="R467" t="str">
            <v>NCPA p309009</v>
          </cell>
          <cell r="S467">
            <v>6</v>
          </cell>
        </row>
        <row r="468">
          <cell r="R468" t="str">
            <v>NCPA s309008</v>
          </cell>
          <cell r="S468">
            <v>6</v>
          </cell>
        </row>
        <row r="469">
          <cell r="R469" t="str">
            <v>Nebo Capacity Payment</v>
          </cell>
          <cell r="S469">
            <v>2</v>
          </cell>
        </row>
        <row r="470">
          <cell r="R470" t="str">
            <v>Non-Owned East - Obligation</v>
          </cell>
          <cell r="S470">
            <v>2</v>
          </cell>
        </row>
        <row r="471">
          <cell r="R471" t="str">
            <v>Non-Owned East - Offset</v>
          </cell>
          <cell r="S471">
            <v>2</v>
          </cell>
        </row>
        <row r="472">
          <cell r="R472" t="str">
            <v>Non-Owned West - Obligation</v>
          </cell>
          <cell r="S472">
            <v>2</v>
          </cell>
        </row>
        <row r="473">
          <cell r="R473" t="str">
            <v>Non-Owned West - Offset</v>
          </cell>
          <cell r="S473">
            <v>2</v>
          </cell>
        </row>
        <row r="474">
          <cell r="R474" t="str">
            <v>Non-Owned East Wind - Obligation</v>
          </cell>
          <cell r="S474">
            <v>2</v>
          </cell>
        </row>
        <row r="475">
          <cell r="R475" t="str">
            <v>Non-Owned East Wind - Offset</v>
          </cell>
          <cell r="S475">
            <v>2</v>
          </cell>
        </row>
        <row r="476">
          <cell r="R476" t="str">
            <v>Non-Owned West Wind - Obligation</v>
          </cell>
          <cell r="S476">
            <v>2</v>
          </cell>
        </row>
        <row r="477">
          <cell r="R477" t="str">
            <v>Non-Owned West Wind - Offset</v>
          </cell>
          <cell r="S477">
            <v>2</v>
          </cell>
        </row>
        <row r="478">
          <cell r="R478" t="str">
            <v>North Point Wind QF</v>
          </cell>
          <cell r="S478">
            <v>4</v>
          </cell>
        </row>
        <row r="479">
          <cell r="R479" t="str">
            <v>NUCOR</v>
          </cell>
          <cell r="S479">
            <v>2</v>
          </cell>
        </row>
        <row r="480">
          <cell r="R480" t="str">
            <v>NUCOR (De-rate)</v>
          </cell>
          <cell r="S480">
            <v>2</v>
          </cell>
        </row>
        <row r="481">
          <cell r="R481" t="str">
            <v>NVE s523485</v>
          </cell>
          <cell r="S481">
            <v>1</v>
          </cell>
        </row>
        <row r="482">
          <cell r="R482" t="str">
            <v>NVE s811499</v>
          </cell>
          <cell r="S482">
            <v>1</v>
          </cell>
        </row>
        <row r="483">
          <cell r="R483" t="str">
            <v>Oregon QF</v>
          </cell>
          <cell r="S483">
            <v>4</v>
          </cell>
        </row>
        <row r="484">
          <cell r="R484" t="str">
            <v>Oregon Pre-MSP QF</v>
          </cell>
          <cell r="S484">
            <v>4</v>
          </cell>
        </row>
        <row r="485">
          <cell r="R485" t="str">
            <v>Oregon Post-Merger Pre-MSP QF</v>
          </cell>
          <cell r="S485">
            <v>4</v>
          </cell>
        </row>
        <row r="486">
          <cell r="R486" t="str">
            <v>Oregon Post-MSP QF</v>
          </cell>
          <cell r="S486">
            <v>4</v>
          </cell>
        </row>
        <row r="487">
          <cell r="R487" t="str">
            <v>Oregon Pre-Merger QF</v>
          </cell>
          <cell r="S487">
            <v>4</v>
          </cell>
        </row>
        <row r="488">
          <cell r="R488" t="str">
            <v>Oregon Wind Farm QF</v>
          </cell>
          <cell r="S488">
            <v>4</v>
          </cell>
        </row>
        <row r="489">
          <cell r="R489" t="str">
            <v>P4 Production</v>
          </cell>
          <cell r="S489">
            <v>2</v>
          </cell>
        </row>
        <row r="490">
          <cell r="R490" t="str">
            <v>P4 Production (De-rate)</v>
          </cell>
          <cell r="S490">
            <v>1</v>
          </cell>
        </row>
        <row r="491">
          <cell r="R491" t="str">
            <v>Pacific Gas and Electric s524491</v>
          </cell>
          <cell r="S491">
            <v>1</v>
          </cell>
        </row>
        <row r="492">
          <cell r="R492" t="str">
            <v>PGE Cove</v>
          </cell>
          <cell r="S492">
            <v>2</v>
          </cell>
        </row>
        <row r="493">
          <cell r="R493" t="str">
            <v>Pine City Wind QF</v>
          </cell>
          <cell r="S493">
            <v>4</v>
          </cell>
        </row>
        <row r="494">
          <cell r="R494" t="str">
            <v>Pioneer Wind Park I QF</v>
          </cell>
          <cell r="S494">
            <v>4</v>
          </cell>
        </row>
        <row r="495">
          <cell r="R495" t="str">
            <v>Pioneer Wind Park II QF</v>
          </cell>
          <cell r="S495">
            <v>4</v>
          </cell>
        </row>
        <row r="496">
          <cell r="R496" t="str">
            <v>Pipeline Chehalis - Lateral</v>
          </cell>
          <cell r="S496">
            <v>11</v>
          </cell>
        </row>
        <row r="497">
          <cell r="R497" t="str">
            <v>Pipeline Chehalis - Main</v>
          </cell>
          <cell r="S497">
            <v>11</v>
          </cell>
        </row>
        <row r="498">
          <cell r="R498" t="str">
            <v>Pipeline Currant Creek Lateral</v>
          </cell>
          <cell r="S498">
            <v>11</v>
          </cell>
        </row>
        <row r="499">
          <cell r="R499" t="str">
            <v>Pipeline Hermiston Owned</v>
          </cell>
          <cell r="S499">
            <v>11</v>
          </cell>
        </row>
        <row r="500">
          <cell r="R500" t="str">
            <v>Pipeline Kern River Gas</v>
          </cell>
          <cell r="S500">
            <v>11</v>
          </cell>
        </row>
        <row r="501">
          <cell r="R501" t="str">
            <v>Pipeline Lake Side Lateral</v>
          </cell>
          <cell r="S501">
            <v>11</v>
          </cell>
        </row>
        <row r="502">
          <cell r="R502" t="str">
            <v>Pipeline Naughton</v>
          </cell>
          <cell r="S502">
            <v>14</v>
          </cell>
        </row>
        <row r="503">
          <cell r="R503" t="str">
            <v>Pipeline Reservation Fees</v>
          </cell>
          <cell r="S503">
            <v>11</v>
          </cell>
        </row>
        <row r="504">
          <cell r="R504" t="str">
            <v>Pipeline Southern System Expansion</v>
          </cell>
          <cell r="S504">
            <v>11</v>
          </cell>
        </row>
        <row r="505">
          <cell r="R505" t="str">
            <v>Power County North Wind QF p575612</v>
          </cell>
          <cell r="S505">
            <v>4</v>
          </cell>
        </row>
        <row r="506">
          <cell r="R506" t="str">
            <v>Power County South Wind QF p575614</v>
          </cell>
          <cell r="S506">
            <v>4</v>
          </cell>
        </row>
        <row r="507">
          <cell r="R507" t="str">
            <v>PSCo Exchange</v>
          </cell>
          <cell r="S507">
            <v>6</v>
          </cell>
        </row>
        <row r="508">
          <cell r="R508" t="str">
            <v>PSCo Exchange deliver</v>
          </cell>
          <cell r="S508">
            <v>6</v>
          </cell>
        </row>
        <row r="509">
          <cell r="R509" t="str">
            <v>PSCo FC III delivery</v>
          </cell>
          <cell r="S509">
            <v>6</v>
          </cell>
        </row>
        <row r="510">
          <cell r="R510" t="str">
            <v>PSCo FC III Generation</v>
          </cell>
          <cell r="S510">
            <v>6</v>
          </cell>
        </row>
        <row r="511">
          <cell r="R511" t="str">
            <v>PSCo Sale summer</v>
          </cell>
          <cell r="S511">
            <v>1</v>
          </cell>
        </row>
        <row r="512">
          <cell r="R512" t="str">
            <v>PSCo Sale winter</v>
          </cell>
          <cell r="S512">
            <v>1</v>
          </cell>
        </row>
        <row r="513">
          <cell r="R513" t="str">
            <v>Redding Exchange In</v>
          </cell>
          <cell r="S513">
            <v>6</v>
          </cell>
        </row>
        <row r="514">
          <cell r="R514" t="str">
            <v>Redding Exchange Out</v>
          </cell>
          <cell r="S514">
            <v>6</v>
          </cell>
        </row>
        <row r="515">
          <cell r="R515" t="str">
            <v>Ramp Loss East</v>
          </cell>
          <cell r="S515">
            <v>8</v>
          </cell>
        </row>
        <row r="516">
          <cell r="R516" t="str">
            <v>Ramp Loss West</v>
          </cell>
          <cell r="S516">
            <v>8</v>
          </cell>
        </row>
        <row r="517">
          <cell r="R517" t="str">
            <v>Rock River I</v>
          </cell>
          <cell r="S517">
            <v>2</v>
          </cell>
        </row>
        <row r="518">
          <cell r="R518" t="str">
            <v>Rolling Hills Wind</v>
          </cell>
          <cell r="S518">
            <v>9</v>
          </cell>
        </row>
        <row r="519">
          <cell r="R519" t="str">
            <v>Roseburg Dillard QF</v>
          </cell>
          <cell r="S519">
            <v>4</v>
          </cell>
        </row>
        <row r="520">
          <cell r="R520" t="str">
            <v>Roseburg Forest Products</v>
          </cell>
          <cell r="S520">
            <v>2</v>
          </cell>
        </row>
        <row r="521">
          <cell r="R521" t="str">
            <v>Salt River Project</v>
          </cell>
          <cell r="S521">
            <v>1</v>
          </cell>
        </row>
        <row r="522">
          <cell r="R522" t="str">
            <v>SCE Settlement</v>
          </cell>
          <cell r="S522">
            <v>1</v>
          </cell>
        </row>
        <row r="523">
          <cell r="R523" t="str">
            <v>Schwendiman QF</v>
          </cell>
          <cell r="S523">
            <v>4</v>
          </cell>
        </row>
        <row r="524">
          <cell r="R524" t="str">
            <v>SCE s513948</v>
          </cell>
          <cell r="S524">
            <v>1</v>
          </cell>
        </row>
        <row r="525">
          <cell r="R525" t="str">
            <v>SCL State Line delivery</v>
          </cell>
          <cell r="S525">
            <v>6</v>
          </cell>
        </row>
        <row r="526">
          <cell r="R526" t="str">
            <v>SCL State Line delivery LLH</v>
          </cell>
          <cell r="S526">
            <v>6</v>
          </cell>
        </row>
        <row r="527">
          <cell r="R527" t="str">
            <v>SCL State Line generation</v>
          </cell>
          <cell r="S527">
            <v>6</v>
          </cell>
        </row>
        <row r="528">
          <cell r="R528" t="str">
            <v>SCL State Line reserves</v>
          </cell>
          <cell r="S528">
            <v>6</v>
          </cell>
        </row>
        <row r="529">
          <cell r="R529" t="str">
            <v>SDGE s513949</v>
          </cell>
          <cell r="S529">
            <v>1</v>
          </cell>
        </row>
        <row r="530">
          <cell r="R530" t="str">
            <v>Seven Mile Wind</v>
          </cell>
          <cell r="S530">
            <v>9</v>
          </cell>
        </row>
        <row r="531">
          <cell r="R531" t="str">
            <v>Seven Mile II Wind</v>
          </cell>
          <cell r="S531">
            <v>9</v>
          </cell>
        </row>
        <row r="532">
          <cell r="R532" t="str">
            <v>Shell p489963</v>
          </cell>
          <cell r="S532">
            <v>6</v>
          </cell>
        </row>
        <row r="533">
          <cell r="R533" t="str">
            <v>Shell s489962</v>
          </cell>
          <cell r="S533">
            <v>6</v>
          </cell>
        </row>
        <row r="534">
          <cell r="R534" t="str">
            <v>Sierra Pacific II</v>
          </cell>
          <cell r="S534">
            <v>1</v>
          </cell>
        </row>
        <row r="535">
          <cell r="R535" t="str">
            <v>Simplot Phosphates</v>
          </cell>
          <cell r="S535">
            <v>4</v>
          </cell>
        </row>
        <row r="536">
          <cell r="R536" t="str">
            <v>Small Purchases east</v>
          </cell>
          <cell r="S536">
            <v>2</v>
          </cell>
        </row>
        <row r="537">
          <cell r="R537" t="str">
            <v>Small Purchases west</v>
          </cell>
          <cell r="S537">
            <v>2</v>
          </cell>
        </row>
        <row r="538">
          <cell r="R538" t="str">
            <v>SMUD</v>
          </cell>
          <cell r="S538">
            <v>1</v>
          </cell>
        </row>
        <row r="539">
          <cell r="R539" t="str">
            <v>SMUD Provisional</v>
          </cell>
          <cell r="S539">
            <v>1</v>
          </cell>
        </row>
        <row r="540">
          <cell r="R540" t="str">
            <v>SMUD Monthly</v>
          </cell>
          <cell r="S540">
            <v>1</v>
          </cell>
        </row>
        <row r="541">
          <cell r="R541" t="str">
            <v>Spanish Fork Wind 2 QF</v>
          </cell>
          <cell r="S541">
            <v>4</v>
          </cell>
        </row>
        <row r="542">
          <cell r="R542" t="str">
            <v>Station Service East</v>
          </cell>
          <cell r="S542">
            <v>8</v>
          </cell>
        </row>
        <row r="543">
          <cell r="R543" t="str">
            <v>Station Service West</v>
          </cell>
          <cell r="S543">
            <v>8</v>
          </cell>
        </row>
        <row r="544">
          <cell r="R544" t="str">
            <v>STF Index Trades - Buy - East</v>
          </cell>
          <cell r="S544">
            <v>13</v>
          </cell>
        </row>
        <row r="545">
          <cell r="R545" t="str">
            <v>STF Index Trades - Buy - West</v>
          </cell>
          <cell r="S545">
            <v>13</v>
          </cell>
        </row>
        <row r="546">
          <cell r="R546" t="str">
            <v>STF Index Trades - Sell - East</v>
          </cell>
          <cell r="S546">
            <v>12</v>
          </cell>
        </row>
        <row r="547">
          <cell r="R547" t="str">
            <v>STF Index Trades - Sell - West</v>
          </cell>
          <cell r="S547">
            <v>12</v>
          </cell>
        </row>
        <row r="548">
          <cell r="R548" t="str">
            <v>STF Trading Margin</v>
          </cell>
          <cell r="S548">
            <v>12</v>
          </cell>
        </row>
        <row r="549">
          <cell r="R549" t="str">
            <v>Sunnyside (QF) additional</v>
          </cell>
          <cell r="S549">
            <v>4</v>
          </cell>
        </row>
        <row r="550">
          <cell r="R550" t="str">
            <v>Sunnyside (QF) base</v>
          </cell>
          <cell r="S550">
            <v>4</v>
          </cell>
        </row>
        <row r="551">
          <cell r="R551" t="str">
            <v>Tesoro QF</v>
          </cell>
          <cell r="S551">
            <v>4</v>
          </cell>
        </row>
        <row r="552">
          <cell r="R552" t="str">
            <v>Three Buttes Wind</v>
          </cell>
          <cell r="S552">
            <v>2</v>
          </cell>
        </row>
        <row r="553">
          <cell r="R553" t="str">
            <v>Threemile Canyon Wind QF p500139</v>
          </cell>
          <cell r="S553">
            <v>4</v>
          </cell>
        </row>
        <row r="554">
          <cell r="R554" t="str">
            <v>Top of the World Wind p522807</v>
          </cell>
          <cell r="S554">
            <v>2</v>
          </cell>
        </row>
        <row r="555">
          <cell r="R555" t="str">
            <v>Top of the World Wind p575862</v>
          </cell>
          <cell r="S555">
            <v>2</v>
          </cell>
        </row>
        <row r="556">
          <cell r="R556" t="str">
            <v>TransAlta p371343</v>
          </cell>
          <cell r="S556">
            <v>6</v>
          </cell>
        </row>
        <row r="557">
          <cell r="R557" t="str">
            <v>TransAlta Purchase Flat</v>
          </cell>
          <cell r="S557">
            <v>2</v>
          </cell>
        </row>
        <row r="558">
          <cell r="R558" t="str">
            <v>TransAlta Purchase Index</v>
          </cell>
          <cell r="S558">
            <v>2</v>
          </cell>
        </row>
        <row r="559">
          <cell r="R559" t="str">
            <v>TransAlta s371344</v>
          </cell>
          <cell r="S559">
            <v>6</v>
          </cell>
        </row>
        <row r="560">
          <cell r="R560" t="str">
            <v>Transmission East</v>
          </cell>
          <cell r="S560">
            <v>10</v>
          </cell>
        </row>
        <row r="561">
          <cell r="R561" t="str">
            <v>Transmission West</v>
          </cell>
          <cell r="S561">
            <v>10</v>
          </cell>
        </row>
        <row r="562">
          <cell r="R562" t="str">
            <v>Tri-State Exchange</v>
          </cell>
          <cell r="S562">
            <v>6</v>
          </cell>
        </row>
        <row r="563">
          <cell r="R563" t="str">
            <v>Tri-State Exchange return</v>
          </cell>
          <cell r="S563">
            <v>6</v>
          </cell>
        </row>
        <row r="564">
          <cell r="R564" t="str">
            <v>Tri-State Purchase</v>
          </cell>
          <cell r="S564">
            <v>2</v>
          </cell>
        </row>
        <row r="565">
          <cell r="R565" t="str">
            <v>UAMPS s223863</v>
          </cell>
          <cell r="S565">
            <v>1</v>
          </cell>
        </row>
        <row r="566">
          <cell r="R566" t="str">
            <v>UAMPS s404236</v>
          </cell>
          <cell r="S566">
            <v>1</v>
          </cell>
        </row>
        <row r="567">
          <cell r="R567" t="str">
            <v>UBS AG 6X16 at 4C</v>
          </cell>
          <cell r="S567">
            <v>3</v>
          </cell>
        </row>
        <row r="568">
          <cell r="R568" t="str">
            <v>UBS p223199</v>
          </cell>
          <cell r="S568">
            <v>3</v>
          </cell>
        </row>
        <row r="569">
          <cell r="R569" t="str">
            <v>UBS p268848</v>
          </cell>
          <cell r="S569">
            <v>3</v>
          </cell>
        </row>
        <row r="570">
          <cell r="R570" t="str">
            <v>UBS p268850</v>
          </cell>
          <cell r="S570">
            <v>3</v>
          </cell>
        </row>
        <row r="571">
          <cell r="R571" t="str">
            <v>UMPA II</v>
          </cell>
          <cell r="S571">
            <v>1</v>
          </cell>
        </row>
        <row r="572">
          <cell r="R572" t="str">
            <v>US Magnesium QF</v>
          </cell>
          <cell r="S572">
            <v>4</v>
          </cell>
        </row>
        <row r="573">
          <cell r="R573" t="str">
            <v>US Magnesium Reserve</v>
          </cell>
          <cell r="S573">
            <v>2</v>
          </cell>
        </row>
        <row r="574">
          <cell r="R574" t="str">
            <v>Utah QF</v>
          </cell>
          <cell r="S574">
            <v>4</v>
          </cell>
        </row>
        <row r="575">
          <cell r="R575" t="str">
            <v>Utah Pre-MSP QF</v>
          </cell>
          <cell r="S575">
            <v>4</v>
          </cell>
        </row>
        <row r="576">
          <cell r="R576" t="str">
            <v>Utah Post-Merger Pre-MSP QF</v>
          </cell>
          <cell r="S576">
            <v>4</v>
          </cell>
        </row>
        <row r="577">
          <cell r="R577" t="str">
            <v>Utah Post-MSP QF</v>
          </cell>
          <cell r="S577">
            <v>4</v>
          </cell>
        </row>
        <row r="578">
          <cell r="R578" t="str">
            <v>Utah Pre-Merger QF</v>
          </cell>
          <cell r="S578">
            <v>4</v>
          </cell>
        </row>
        <row r="579">
          <cell r="R579" t="str">
            <v>Washington QF</v>
          </cell>
          <cell r="S579">
            <v>4</v>
          </cell>
        </row>
        <row r="580">
          <cell r="R580" t="str">
            <v>Washington Pre-MSP QF</v>
          </cell>
          <cell r="S580">
            <v>4</v>
          </cell>
        </row>
        <row r="581">
          <cell r="R581" t="str">
            <v>Washington Post-Merger Pre-MSP QF</v>
          </cell>
          <cell r="S581">
            <v>4</v>
          </cell>
        </row>
        <row r="582">
          <cell r="R582" t="str">
            <v>Washington Post-MSP QF</v>
          </cell>
          <cell r="S582">
            <v>4</v>
          </cell>
        </row>
        <row r="583">
          <cell r="R583" t="str">
            <v>Washington Pre-Merger QF</v>
          </cell>
          <cell r="S583">
            <v>4</v>
          </cell>
        </row>
        <row r="584">
          <cell r="R584" t="str">
            <v>West Valley Toll</v>
          </cell>
          <cell r="S584">
            <v>2</v>
          </cell>
        </row>
        <row r="585">
          <cell r="R585" t="str">
            <v>Weyerhaeuser QF</v>
          </cell>
          <cell r="S585">
            <v>4</v>
          </cell>
        </row>
        <row r="586">
          <cell r="R586" t="str">
            <v>Weyerhaeuser Reserve</v>
          </cell>
          <cell r="S586">
            <v>2</v>
          </cell>
        </row>
        <row r="587">
          <cell r="R587" t="str">
            <v>Wolverine Creek</v>
          </cell>
          <cell r="S587">
            <v>2</v>
          </cell>
        </row>
        <row r="588">
          <cell r="R588" t="str">
            <v>Wyoming QF</v>
          </cell>
          <cell r="S588">
            <v>4</v>
          </cell>
        </row>
        <row r="589">
          <cell r="R589" t="str">
            <v>Wyoming Pre-MSP QF</v>
          </cell>
          <cell r="S589">
            <v>4</v>
          </cell>
        </row>
        <row r="590">
          <cell r="R590" t="str">
            <v>Wyoming Post-Merger Pre-MSP QF</v>
          </cell>
          <cell r="S590">
            <v>4</v>
          </cell>
        </row>
        <row r="591">
          <cell r="R591" t="str">
            <v>Wyoming Post-MSP QF</v>
          </cell>
          <cell r="S591">
            <v>4</v>
          </cell>
        </row>
        <row r="592">
          <cell r="R592" t="str">
            <v>Wyoming Pre-Merger QF</v>
          </cell>
          <cell r="S592">
            <v>4</v>
          </cell>
        </row>
        <row r="593">
          <cell r="R593">
            <v>0</v>
          </cell>
          <cell r="S593">
            <v>0</v>
          </cell>
        </row>
        <row r="594">
          <cell r="R594">
            <v>0</v>
          </cell>
          <cell r="S594">
            <v>0</v>
          </cell>
        </row>
        <row r="595">
          <cell r="R595">
            <v>0</v>
          </cell>
          <cell r="S595">
            <v>0</v>
          </cell>
        </row>
        <row r="596">
          <cell r="R596">
            <v>0</v>
          </cell>
          <cell r="S596">
            <v>0</v>
          </cell>
        </row>
      </sheetData>
      <sheetData sheetId="7"/>
      <sheetData sheetId="8"/>
      <sheetData sheetId="9"/>
      <sheetData sheetId="10">
        <row r="41">
          <cell r="A41">
            <v>37196</v>
          </cell>
          <cell r="B41">
            <v>0.44227329059218473</v>
          </cell>
          <cell r="C41">
            <v>0.61387460599846122</v>
          </cell>
          <cell r="D41">
            <v>0</v>
          </cell>
          <cell r="E41">
            <v>0</v>
          </cell>
        </row>
        <row r="42">
          <cell r="A42">
            <v>37561</v>
          </cell>
          <cell r="B42">
            <v>0.46217558866883307</v>
          </cell>
          <cell r="C42">
            <v>0.6476377093283765</v>
          </cell>
          <cell r="D42">
            <v>0</v>
          </cell>
          <cell r="E42">
            <v>0</v>
          </cell>
        </row>
        <row r="43">
          <cell r="A43">
            <v>37926</v>
          </cell>
          <cell r="B43">
            <v>0.48297349015893043</v>
          </cell>
          <cell r="C43">
            <v>0.68325778334143727</v>
          </cell>
          <cell r="D43">
            <v>0</v>
          </cell>
          <cell r="E43">
            <v>0</v>
          </cell>
        </row>
        <row r="44">
          <cell r="A44">
            <v>38292</v>
          </cell>
          <cell r="B44">
            <v>0.50470729721608232</v>
          </cell>
          <cell r="C44">
            <v>0.72083696142521614</v>
          </cell>
          <cell r="D44">
            <v>0</v>
          </cell>
          <cell r="E44">
            <v>0</v>
          </cell>
        </row>
        <row r="45">
          <cell r="A45">
            <v>38657</v>
          </cell>
          <cell r="B45">
            <v>0.52741912559080595</v>
          </cell>
          <cell r="C45">
            <v>0.76048299430360311</v>
          </cell>
          <cell r="D45">
            <v>0</v>
          </cell>
          <cell r="E45">
            <v>0</v>
          </cell>
        </row>
        <row r="46">
          <cell r="A46">
            <v>39022</v>
          </cell>
          <cell r="B46">
            <v>0.55115298624239217</v>
          </cell>
          <cell r="C46">
            <v>0.80230955899030121</v>
          </cell>
          <cell r="D46">
            <v>0</v>
          </cell>
          <cell r="E46">
            <v>0</v>
          </cell>
        </row>
        <row r="47">
          <cell r="A47">
            <v>39387</v>
          </cell>
          <cell r="B47">
            <v>0.57595487062329975</v>
          </cell>
          <cell r="C47">
            <v>0.84643658473476779</v>
          </cell>
          <cell r="D47">
            <v>0</v>
          </cell>
          <cell r="E47">
            <v>0</v>
          </cell>
        </row>
        <row r="48">
          <cell r="A48">
            <v>39753</v>
          </cell>
          <cell r="B48">
            <v>0.6018728398013482</v>
          </cell>
          <cell r="C48">
            <v>0.8929905968951799</v>
          </cell>
          <cell r="D48">
            <v>0</v>
          </cell>
          <cell r="E48">
            <v>0</v>
          </cell>
        </row>
        <row r="49">
          <cell r="A49">
            <v>40118</v>
          </cell>
          <cell r="B49">
            <v>0.62895711759240869</v>
          </cell>
          <cell r="C49">
            <v>0.94210507972441482</v>
          </cell>
          <cell r="D49">
            <v>0</v>
          </cell>
          <cell r="E49">
            <v>0</v>
          </cell>
        </row>
        <row r="50">
          <cell r="A50">
            <v>40483</v>
          </cell>
          <cell r="B50">
            <v>0.65726018788406704</v>
          </cell>
          <cell r="C50">
            <v>0.99392085910925754</v>
          </cell>
          <cell r="D50">
            <v>0</v>
          </cell>
          <cell r="E50">
            <v>0</v>
          </cell>
        </row>
        <row r="51">
          <cell r="A51">
            <v>40848</v>
          </cell>
          <cell r="B51">
            <v>0.68683689633884992</v>
          </cell>
          <cell r="C51">
            <v>0</v>
          </cell>
          <cell r="D51">
            <v>0</v>
          </cell>
          <cell r="E51">
            <v>0</v>
          </cell>
        </row>
        <row r="52">
          <cell r="A52">
            <v>41214</v>
          </cell>
          <cell r="B52">
            <v>0.7177445566740982</v>
          </cell>
          <cell r="C52">
            <v>0</v>
          </cell>
          <cell r="D52">
            <v>0</v>
          </cell>
          <cell r="E52">
            <v>0</v>
          </cell>
        </row>
        <row r="53">
          <cell r="A53">
            <v>41579</v>
          </cell>
          <cell r="B53">
            <v>0.75004306172443236</v>
          </cell>
          <cell r="C53">
            <v>0</v>
          </cell>
          <cell r="D53">
            <v>0</v>
          </cell>
          <cell r="E53">
            <v>0</v>
          </cell>
        </row>
        <row r="54">
          <cell r="A54">
            <v>41944</v>
          </cell>
          <cell r="B54">
            <v>0.78379499950203191</v>
          </cell>
          <cell r="C54">
            <v>0</v>
          </cell>
          <cell r="D54">
            <v>0</v>
          </cell>
          <cell r="E54">
            <v>0</v>
          </cell>
        </row>
        <row r="55">
          <cell r="A55">
            <v>42309</v>
          </cell>
          <cell r="B55">
            <v>0.81906577447962303</v>
          </cell>
          <cell r="C55">
            <v>0</v>
          </cell>
          <cell r="D55">
            <v>0</v>
          </cell>
          <cell r="E55">
            <v>0</v>
          </cell>
        </row>
        <row r="56">
          <cell r="A56">
            <v>42675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(4.4) Allctd Base NPC (GRC12)"/>
      <sheetName val="(4.5) Base NPC by Cat (GRC12)"/>
      <sheetName val="(4.6) Base UTGRC12 MAY NPC"/>
      <sheetName val="Allocation"/>
      <sheetName val="Check MWh"/>
      <sheetName val="Check Dollars"/>
      <sheetName val="Check Other"/>
      <sheetName val="FuelAllocation"/>
      <sheetName val="West Valley"/>
      <sheetName val="Hermiston"/>
      <sheetName val="Ramp Loss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Fuel Used (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Wind Integration"/>
      <sheetName val="MacroBuilder"/>
    </sheetNames>
    <sheetDataSet>
      <sheetData sheetId="0"/>
      <sheetData sheetId="1"/>
      <sheetData sheetId="2"/>
      <sheetData sheetId="3"/>
      <sheetData sheetId="4"/>
      <sheetData sheetId="5">
        <row r="258">
          <cell r="R258" t="str">
            <v>AMP Resources (Cove Fort)</v>
          </cell>
          <cell r="S258">
            <v>2</v>
          </cell>
        </row>
        <row r="259">
          <cell r="R259" t="str">
            <v>APGI 7X24 return</v>
          </cell>
          <cell r="S259">
            <v>6</v>
          </cell>
        </row>
        <row r="260">
          <cell r="R260" t="str">
            <v>APGI LLH return</v>
          </cell>
          <cell r="S260">
            <v>6</v>
          </cell>
        </row>
        <row r="261">
          <cell r="R261" t="str">
            <v>APS 6X16 at 4C</v>
          </cell>
          <cell r="S261">
            <v>3</v>
          </cell>
        </row>
        <row r="262">
          <cell r="R262" t="str">
            <v>APS 7X16 at 4C</v>
          </cell>
          <cell r="S262">
            <v>3</v>
          </cell>
        </row>
        <row r="263">
          <cell r="R263" t="str">
            <v>APS 7X16 at Mona</v>
          </cell>
          <cell r="S263">
            <v>3</v>
          </cell>
        </row>
        <row r="264">
          <cell r="R264" t="str">
            <v>APS Exchange</v>
          </cell>
          <cell r="S264">
            <v>6</v>
          </cell>
        </row>
        <row r="265">
          <cell r="R265" t="str">
            <v>APS Exchange deliver</v>
          </cell>
          <cell r="S265">
            <v>6</v>
          </cell>
        </row>
        <row r="266">
          <cell r="R266" t="str">
            <v>APS p207861</v>
          </cell>
          <cell r="S266">
            <v>6</v>
          </cell>
        </row>
        <row r="267">
          <cell r="R267" t="str">
            <v>APS s207860</v>
          </cell>
          <cell r="S267">
            <v>6</v>
          </cell>
        </row>
        <row r="268">
          <cell r="R268" t="str">
            <v>APS Supplemental Purchase coal</v>
          </cell>
          <cell r="S268">
            <v>2</v>
          </cell>
        </row>
        <row r="269">
          <cell r="R269" t="str">
            <v>APS Supplemental Purchase other</v>
          </cell>
          <cell r="S269">
            <v>2</v>
          </cell>
        </row>
        <row r="270">
          <cell r="R270" t="str">
            <v>Aquila hydro hedge</v>
          </cell>
          <cell r="S270">
            <v>2</v>
          </cell>
        </row>
        <row r="271">
          <cell r="R271" t="str">
            <v>Biomass (QF)</v>
          </cell>
          <cell r="S271">
            <v>4</v>
          </cell>
        </row>
        <row r="272">
          <cell r="R272" t="str">
            <v>Biomass Non-Generation</v>
          </cell>
          <cell r="S272">
            <v>4</v>
          </cell>
        </row>
        <row r="273">
          <cell r="R273" t="str">
            <v>Biomass One QF</v>
          </cell>
          <cell r="S273">
            <v>4</v>
          </cell>
        </row>
        <row r="274">
          <cell r="R274" t="str">
            <v>Black Hills</v>
          </cell>
          <cell r="S274">
            <v>1</v>
          </cell>
        </row>
        <row r="275">
          <cell r="R275" t="str">
            <v>Black Hills Losses</v>
          </cell>
          <cell r="S275">
            <v>1</v>
          </cell>
        </row>
        <row r="276">
          <cell r="R276" t="str">
            <v>Black Hills Reserve (CTs)</v>
          </cell>
          <cell r="S276">
            <v>6</v>
          </cell>
        </row>
        <row r="277">
          <cell r="R277" t="str">
            <v>Blanding</v>
          </cell>
          <cell r="S277">
            <v>1</v>
          </cell>
        </row>
        <row r="278">
          <cell r="R278" t="str">
            <v>Blanding Purchase</v>
          </cell>
          <cell r="S278">
            <v>2</v>
          </cell>
        </row>
        <row r="279">
          <cell r="R279" t="str">
            <v>Blue Mountain Wind QF</v>
          </cell>
          <cell r="S279">
            <v>4</v>
          </cell>
        </row>
        <row r="280">
          <cell r="R280" t="str">
            <v>BPA FC II delivery</v>
          </cell>
          <cell r="S280">
            <v>6</v>
          </cell>
        </row>
        <row r="281">
          <cell r="R281" t="str">
            <v>BPA FC II Generation</v>
          </cell>
          <cell r="S281">
            <v>6</v>
          </cell>
        </row>
        <row r="282">
          <cell r="R282" t="str">
            <v>BPA FC IV delivery</v>
          </cell>
          <cell r="S282">
            <v>6</v>
          </cell>
        </row>
        <row r="283">
          <cell r="R283" t="str">
            <v>BPA FC IV Generation</v>
          </cell>
          <cell r="S283">
            <v>6</v>
          </cell>
        </row>
        <row r="284">
          <cell r="R284" t="str">
            <v>BPA Flathead Sale</v>
          </cell>
          <cell r="S284">
            <v>1</v>
          </cell>
        </row>
        <row r="285">
          <cell r="R285" t="str">
            <v>BPA Hermiston Losses</v>
          </cell>
          <cell r="S285">
            <v>8</v>
          </cell>
        </row>
        <row r="286">
          <cell r="R286" t="str">
            <v>BPA Palisades return</v>
          </cell>
          <cell r="S286">
            <v>6</v>
          </cell>
        </row>
        <row r="287">
          <cell r="R287" t="str">
            <v>BPA Palisades storage</v>
          </cell>
          <cell r="S287">
            <v>6</v>
          </cell>
        </row>
        <row r="288">
          <cell r="R288" t="str">
            <v>BPA Peaking</v>
          </cell>
          <cell r="S288">
            <v>6</v>
          </cell>
        </row>
        <row r="289">
          <cell r="R289" t="str">
            <v>BPA Peaking Replacement</v>
          </cell>
          <cell r="S289">
            <v>6</v>
          </cell>
        </row>
        <row r="290">
          <cell r="R290" t="str">
            <v>BPA So. Idaho Exchange In</v>
          </cell>
          <cell r="S290">
            <v>6</v>
          </cell>
        </row>
        <row r="291">
          <cell r="R291" t="str">
            <v>BPA So. Idaho Exchange Out</v>
          </cell>
          <cell r="S291">
            <v>6</v>
          </cell>
        </row>
        <row r="292">
          <cell r="R292" t="str">
            <v>BPA Spring Energy</v>
          </cell>
          <cell r="S292">
            <v>6</v>
          </cell>
        </row>
        <row r="293">
          <cell r="R293" t="str">
            <v>BPA Spring Energy deliver</v>
          </cell>
          <cell r="S293">
            <v>6</v>
          </cell>
        </row>
        <row r="294">
          <cell r="R294" t="str">
            <v>BPA Summer Storage</v>
          </cell>
          <cell r="S294">
            <v>6</v>
          </cell>
        </row>
        <row r="295">
          <cell r="R295" t="str">
            <v>BPA Summer Storage return</v>
          </cell>
          <cell r="S295">
            <v>6</v>
          </cell>
        </row>
        <row r="296">
          <cell r="R296" t="str">
            <v>BPA Wind Sale</v>
          </cell>
          <cell r="S296">
            <v>1</v>
          </cell>
        </row>
        <row r="297">
          <cell r="R297" t="str">
            <v>Bridger Losses In</v>
          </cell>
          <cell r="S297">
            <v>8</v>
          </cell>
        </row>
        <row r="298">
          <cell r="R298" t="str">
            <v>Bridger Losses Out</v>
          </cell>
          <cell r="S298">
            <v>8</v>
          </cell>
        </row>
        <row r="299">
          <cell r="R299" t="str">
            <v>Bridger Losses Out</v>
          </cell>
          <cell r="S299">
            <v>8</v>
          </cell>
        </row>
        <row r="300">
          <cell r="R300" t="str">
            <v>Cal ISO East - Four Corners Purchase</v>
          </cell>
          <cell r="S300">
            <v>13</v>
          </cell>
        </row>
        <row r="301">
          <cell r="R301" t="str">
            <v>Cal ISO East - Four Corners Sale</v>
          </cell>
          <cell r="S301">
            <v>12</v>
          </cell>
        </row>
        <row r="302">
          <cell r="R302" t="str">
            <v>Cal ISO East - Mona Purchase</v>
          </cell>
          <cell r="S302">
            <v>13</v>
          </cell>
        </row>
        <row r="303">
          <cell r="R303" t="str">
            <v>Cal ISO East - Mona Sale</v>
          </cell>
          <cell r="S303">
            <v>12</v>
          </cell>
        </row>
        <row r="304">
          <cell r="R304" t="str">
            <v>Cal ISO West - COB Purchase</v>
          </cell>
          <cell r="S304">
            <v>13</v>
          </cell>
        </row>
        <row r="305">
          <cell r="R305" t="str">
            <v>Cal ISO West - COB Sale</v>
          </cell>
          <cell r="S305">
            <v>12</v>
          </cell>
        </row>
        <row r="306">
          <cell r="R306" t="str">
            <v>California QF</v>
          </cell>
          <cell r="S306">
            <v>4</v>
          </cell>
        </row>
        <row r="307">
          <cell r="R307" t="str">
            <v>California Pre-MSP QF</v>
          </cell>
          <cell r="S307">
            <v>4</v>
          </cell>
        </row>
        <row r="308">
          <cell r="R308" t="str">
            <v>California Post-Merger Pre-MSP QF</v>
          </cell>
          <cell r="S308">
            <v>4</v>
          </cell>
        </row>
        <row r="309">
          <cell r="R309" t="str">
            <v>California Post-MSP QF</v>
          </cell>
          <cell r="S309">
            <v>4</v>
          </cell>
        </row>
        <row r="310">
          <cell r="R310" t="str">
            <v>California Pre-Merger QF</v>
          </cell>
          <cell r="S310">
            <v>4</v>
          </cell>
        </row>
        <row r="311">
          <cell r="R311" t="str">
            <v>Canadian Entitlement CEAEA</v>
          </cell>
          <cell r="S311">
            <v>5</v>
          </cell>
        </row>
        <row r="312">
          <cell r="R312" t="str">
            <v>Cargill p483225</v>
          </cell>
          <cell r="S312">
            <v>6</v>
          </cell>
        </row>
        <row r="313">
          <cell r="R313" t="str">
            <v>Cargill p485290</v>
          </cell>
          <cell r="S313">
            <v>6</v>
          </cell>
        </row>
        <row r="314">
          <cell r="R314" t="str">
            <v>Cargill s483226</v>
          </cell>
          <cell r="S314">
            <v>6</v>
          </cell>
        </row>
        <row r="315">
          <cell r="R315" t="str">
            <v>Cargill s485289</v>
          </cell>
          <cell r="S315">
            <v>6</v>
          </cell>
        </row>
        <row r="316">
          <cell r="R316" t="str">
            <v>Chehalis Station Service</v>
          </cell>
          <cell r="S316">
            <v>2</v>
          </cell>
        </row>
        <row r="317">
          <cell r="R317" t="str">
            <v>Chelan - Rocky Reach</v>
          </cell>
          <cell r="S317">
            <v>5</v>
          </cell>
        </row>
        <row r="318">
          <cell r="R318" t="str">
            <v>Chevron Wind QF</v>
          </cell>
          <cell r="S318">
            <v>4</v>
          </cell>
        </row>
        <row r="319">
          <cell r="R319" t="str">
            <v>Clark Displacement</v>
          </cell>
          <cell r="S319">
            <v>2</v>
          </cell>
        </row>
        <row r="320">
          <cell r="R320" t="str">
            <v>Clark Displacement Buy Back</v>
          </cell>
          <cell r="S320">
            <v>2</v>
          </cell>
        </row>
        <row r="321">
          <cell r="R321" t="str">
            <v>Clark River Road reserve</v>
          </cell>
          <cell r="S321">
            <v>2</v>
          </cell>
        </row>
        <row r="322">
          <cell r="R322" t="str">
            <v>CLARK S&amp;I</v>
          </cell>
          <cell r="S322">
            <v>2</v>
          </cell>
        </row>
        <row r="323">
          <cell r="R323" t="str">
            <v>Clark S&amp;I Base Capacity</v>
          </cell>
          <cell r="S323">
            <v>2</v>
          </cell>
        </row>
        <row r="324">
          <cell r="R324" t="str">
            <v>CLARK Storage &amp; Integration</v>
          </cell>
          <cell r="S324">
            <v>2</v>
          </cell>
        </row>
        <row r="325">
          <cell r="R325" t="str">
            <v>Clay Basin Gas Storage</v>
          </cell>
          <cell r="S325">
            <v>11</v>
          </cell>
        </row>
        <row r="326">
          <cell r="R326" t="str">
            <v>Co-Gen II QF</v>
          </cell>
          <cell r="S326">
            <v>4</v>
          </cell>
        </row>
        <row r="327">
          <cell r="R327" t="str">
            <v>Combine Hills</v>
          </cell>
          <cell r="S327">
            <v>2</v>
          </cell>
        </row>
        <row r="328">
          <cell r="R328" t="str">
            <v>Constellation p257677</v>
          </cell>
          <cell r="S328">
            <v>2</v>
          </cell>
        </row>
        <row r="329">
          <cell r="R329" t="str">
            <v>Constellation p257678</v>
          </cell>
          <cell r="S329">
            <v>2</v>
          </cell>
        </row>
        <row r="330">
          <cell r="R330" t="str">
            <v>Constellation p268849</v>
          </cell>
          <cell r="S330">
            <v>2</v>
          </cell>
        </row>
        <row r="331">
          <cell r="R331" t="str">
            <v>Cowlitz Swift deliver</v>
          </cell>
          <cell r="S331">
            <v>6</v>
          </cell>
        </row>
        <row r="332">
          <cell r="R332" t="str">
            <v>D.R. Johnson (QF)</v>
          </cell>
          <cell r="S332">
            <v>4</v>
          </cell>
        </row>
        <row r="333">
          <cell r="R333" t="str">
            <v>Deseret G&amp;T Expansion</v>
          </cell>
          <cell r="S333">
            <v>2</v>
          </cell>
        </row>
        <row r="334">
          <cell r="R334" t="str">
            <v>Deseret Purchase</v>
          </cell>
          <cell r="S334">
            <v>2</v>
          </cell>
        </row>
        <row r="335">
          <cell r="R335" t="str">
            <v>Douglas - Wells</v>
          </cell>
          <cell r="S335">
            <v>5</v>
          </cell>
        </row>
        <row r="336">
          <cell r="R336" t="str">
            <v>Douglas County Forest Products QF</v>
          </cell>
          <cell r="S336">
            <v>4</v>
          </cell>
        </row>
        <row r="337">
          <cell r="R337" t="str">
            <v>Douglas PUD - Lands Energy Share</v>
          </cell>
          <cell r="S337">
            <v>5</v>
          </cell>
        </row>
        <row r="338">
          <cell r="R338" t="str">
            <v>Douglas PUD Settlement</v>
          </cell>
          <cell r="S338">
            <v>2</v>
          </cell>
        </row>
        <row r="339">
          <cell r="R339" t="str">
            <v>DSM Cool Keeper Reserve</v>
          </cell>
          <cell r="S339">
            <v>8</v>
          </cell>
        </row>
        <row r="340">
          <cell r="R340" t="str">
            <v>DSM Idaho Irrigation</v>
          </cell>
          <cell r="S340">
            <v>8</v>
          </cell>
        </row>
        <row r="341">
          <cell r="R341" t="str">
            <v>DSM Idaho Irrigation Shifted</v>
          </cell>
          <cell r="S341">
            <v>8</v>
          </cell>
        </row>
        <row r="342">
          <cell r="R342" t="str">
            <v>DSM Utah Irrigation</v>
          </cell>
          <cell r="S342">
            <v>8</v>
          </cell>
        </row>
        <row r="343">
          <cell r="R343" t="str">
            <v>DSM Utah Irrigation Shifted</v>
          </cell>
          <cell r="S343">
            <v>8</v>
          </cell>
        </row>
        <row r="344">
          <cell r="R344" t="str">
            <v>Duke HLH</v>
          </cell>
          <cell r="S344">
            <v>2</v>
          </cell>
        </row>
        <row r="345">
          <cell r="R345" t="str">
            <v>Duke p99206</v>
          </cell>
          <cell r="S345">
            <v>2</v>
          </cell>
        </row>
        <row r="346">
          <cell r="R346" t="str">
            <v>Dunlap I Wind</v>
          </cell>
          <cell r="S346">
            <v>9</v>
          </cell>
        </row>
        <row r="347">
          <cell r="R347" t="str">
            <v>East Control Area Sale</v>
          </cell>
          <cell r="S347">
            <v>1</v>
          </cell>
        </row>
        <row r="348">
          <cell r="R348" t="str">
            <v>Electric Swaps - East</v>
          </cell>
          <cell r="S348">
            <v>13</v>
          </cell>
        </row>
        <row r="349">
          <cell r="R349" t="str">
            <v>Electric Swaps - East Buy</v>
          </cell>
          <cell r="S349">
            <v>13</v>
          </cell>
        </row>
        <row r="350">
          <cell r="R350" t="str">
            <v>Electric Swaps - East Sell</v>
          </cell>
          <cell r="S350">
            <v>12</v>
          </cell>
        </row>
        <row r="351">
          <cell r="R351" t="str">
            <v>Electric Swaps - West</v>
          </cell>
          <cell r="S351">
            <v>13</v>
          </cell>
        </row>
        <row r="352">
          <cell r="R352" t="str">
            <v>Electric Swaps - West Buy</v>
          </cell>
          <cell r="S352">
            <v>13</v>
          </cell>
        </row>
        <row r="353">
          <cell r="R353" t="str">
            <v>Electric Swaps - West Sell</v>
          </cell>
          <cell r="S353">
            <v>12</v>
          </cell>
        </row>
        <row r="354">
          <cell r="R354" t="str">
            <v>Evergreen BioPower QF</v>
          </cell>
          <cell r="S354">
            <v>4</v>
          </cell>
        </row>
        <row r="355">
          <cell r="R355" t="str">
            <v>EWEB FC I delivery</v>
          </cell>
          <cell r="S355">
            <v>6</v>
          </cell>
        </row>
        <row r="356">
          <cell r="R356" t="str">
            <v>EWEB FC I Generation</v>
          </cell>
          <cell r="S356">
            <v>6</v>
          </cell>
        </row>
        <row r="357">
          <cell r="R357" t="str">
            <v>EWEB/BPA Wind Sale</v>
          </cell>
          <cell r="S357">
            <v>6</v>
          </cell>
        </row>
        <row r="358">
          <cell r="R358" t="str">
            <v>Excess Gas Sales</v>
          </cell>
          <cell r="S358">
            <v>11</v>
          </cell>
        </row>
        <row r="359">
          <cell r="R359" t="str">
            <v>ExxonMobil QF</v>
          </cell>
          <cell r="S359">
            <v>4</v>
          </cell>
        </row>
        <row r="360">
          <cell r="R360" t="str">
            <v>Five Pine Wind QF</v>
          </cell>
          <cell r="S360">
            <v>4</v>
          </cell>
        </row>
        <row r="361">
          <cell r="R361" t="str">
            <v>Flathead &amp; ENI Sale</v>
          </cell>
          <cell r="S361">
            <v>1</v>
          </cell>
        </row>
        <row r="362">
          <cell r="R362" t="str">
            <v>Foote Creek I Generation</v>
          </cell>
          <cell r="S362">
            <v>9</v>
          </cell>
        </row>
        <row r="363">
          <cell r="R363" t="str">
            <v>Fort James (CoGen)</v>
          </cell>
          <cell r="S363">
            <v>2</v>
          </cell>
        </row>
        <row r="364">
          <cell r="R364" t="str">
            <v>Gas Swaps</v>
          </cell>
          <cell r="S364">
            <v>11</v>
          </cell>
        </row>
        <row r="365">
          <cell r="R365" t="str">
            <v>Gas Physical - East</v>
          </cell>
          <cell r="S365">
            <v>11</v>
          </cell>
        </row>
        <row r="366">
          <cell r="R366" t="str">
            <v>Gas Physical - West</v>
          </cell>
          <cell r="S366">
            <v>11</v>
          </cell>
        </row>
        <row r="367">
          <cell r="R367" t="str">
            <v>Gas Physical - Chehalis</v>
          </cell>
          <cell r="S367">
            <v>11</v>
          </cell>
        </row>
        <row r="368">
          <cell r="R368" t="str">
            <v>Gas Physical - Existing East</v>
          </cell>
          <cell r="S368">
            <v>11</v>
          </cell>
        </row>
        <row r="369">
          <cell r="R369" t="str">
            <v>Gas Physical - Hermiston</v>
          </cell>
          <cell r="S369">
            <v>11</v>
          </cell>
        </row>
        <row r="370">
          <cell r="R370" t="str">
            <v>Gas Physical - New East</v>
          </cell>
          <cell r="S370">
            <v>11</v>
          </cell>
        </row>
        <row r="371">
          <cell r="R371" t="str">
            <v>Gas Swaps - East</v>
          </cell>
          <cell r="S371">
            <v>11</v>
          </cell>
        </row>
        <row r="372">
          <cell r="R372" t="str">
            <v>Gas Swaps - West</v>
          </cell>
          <cell r="S372">
            <v>11</v>
          </cell>
        </row>
        <row r="373">
          <cell r="R373" t="str">
            <v>Gas Swaps - Chehalis</v>
          </cell>
          <cell r="S373">
            <v>11</v>
          </cell>
        </row>
        <row r="374">
          <cell r="R374" t="str">
            <v>Gas Swaps - Existing East</v>
          </cell>
          <cell r="S374">
            <v>11</v>
          </cell>
        </row>
        <row r="375">
          <cell r="R375" t="str">
            <v>Gas Swaps - Hermiston</v>
          </cell>
          <cell r="S375">
            <v>11</v>
          </cell>
        </row>
        <row r="376">
          <cell r="R376" t="str">
            <v>Gas Swaps - New East</v>
          </cell>
          <cell r="S376">
            <v>11</v>
          </cell>
        </row>
        <row r="377">
          <cell r="R377" t="str">
            <v>Gem State (City of Idaho Falls)</v>
          </cell>
          <cell r="S377">
            <v>2</v>
          </cell>
        </row>
        <row r="378">
          <cell r="R378" t="str">
            <v>Gem State Power Cost</v>
          </cell>
          <cell r="S378">
            <v>2</v>
          </cell>
        </row>
        <row r="379">
          <cell r="R379" t="str">
            <v>Glenrock Wind</v>
          </cell>
          <cell r="S379">
            <v>9</v>
          </cell>
        </row>
        <row r="380">
          <cell r="R380" t="str">
            <v>Glenrock III Wind</v>
          </cell>
          <cell r="S380">
            <v>9</v>
          </cell>
        </row>
        <row r="381">
          <cell r="R381" t="str">
            <v>Goodnoe Wind</v>
          </cell>
          <cell r="S381">
            <v>9</v>
          </cell>
        </row>
        <row r="382">
          <cell r="R382" t="str">
            <v>Grant - Priest Rapids</v>
          </cell>
          <cell r="S382">
            <v>5</v>
          </cell>
        </row>
        <row r="383">
          <cell r="R383" t="str">
            <v>Grant - Wanapum</v>
          </cell>
          <cell r="S383">
            <v>5</v>
          </cell>
        </row>
        <row r="384">
          <cell r="R384" t="str">
            <v>Grant County</v>
          </cell>
          <cell r="S384">
            <v>2</v>
          </cell>
        </row>
        <row r="385">
          <cell r="R385" t="str">
            <v>Grant Displacement</v>
          </cell>
          <cell r="S385">
            <v>5</v>
          </cell>
        </row>
        <row r="386">
          <cell r="R386" t="str">
            <v>Grant Meaningful Priority</v>
          </cell>
          <cell r="S386">
            <v>5</v>
          </cell>
        </row>
        <row r="387">
          <cell r="R387" t="str">
            <v>Grant Reasonable</v>
          </cell>
          <cell r="S387">
            <v>5</v>
          </cell>
        </row>
        <row r="388">
          <cell r="R388" t="str">
            <v>Grant Power Auction</v>
          </cell>
          <cell r="S388">
            <v>5</v>
          </cell>
        </row>
        <row r="389">
          <cell r="R389" t="str">
            <v>High Plains Wind</v>
          </cell>
          <cell r="S389">
            <v>9</v>
          </cell>
        </row>
        <row r="390">
          <cell r="R390" t="str">
            <v>High Plateau Wind QF</v>
          </cell>
          <cell r="S390">
            <v>4</v>
          </cell>
        </row>
        <row r="391">
          <cell r="R391" t="str">
            <v>Hermiston Purchase</v>
          </cell>
          <cell r="S391">
            <v>2</v>
          </cell>
        </row>
        <row r="392">
          <cell r="R392" t="str">
            <v>Hurricane Purchase</v>
          </cell>
          <cell r="S392">
            <v>2</v>
          </cell>
        </row>
        <row r="393">
          <cell r="R393" t="str">
            <v>Hurricane Sale</v>
          </cell>
          <cell r="S393">
            <v>1</v>
          </cell>
        </row>
        <row r="394">
          <cell r="R394" t="str">
            <v>Idaho Power P278538</v>
          </cell>
          <cell r="S394">
            <v>2</v>
          </cell>
        </row>
        <row r="395">
          <cell r="R395" t="str">
            <v>Idaho Power P278538 HLH</v>
          </cell>
          <cell r="S395">
            <v>2</v>
          </cell>
        </row>
        <row r="396">
          <cell r="R396" t="str">
            <v>Idaho Power P278538 LLH</v>
          </cell>
          <cell r="S396">
            <v>2</v>
          </cell>
        </row>
        <row r="397">
          <cell r="R397" t="str">
            <v>Idaho Power RTSA Purchase</v>
          </cell>
          <cell r="S397">
            <v>2</v>
          </cell>
        </row>
        <row r="398">
          <cell r="R398" t="str">
            <v>Idaho Power RTSA return</v>
          </cell>
          <cell r="S398">
            <v>8</v>
          </cell>
        </row>
        <row r="399">
          <cell r="R399" t="str">
            <v>Idaho QF</v>
          </cell>
          <cell r="S399">
            <v>4</v>
          </cell>
        </row>
        <row r="400">
          <cell r="R400" t="str">
            <v>Idaho Pre-MSP QF</v>
          </cell>
          <cell r="S400">
            <v>4</v>
          </cell>
        </row>
        <row r="401">
          <cell r="R401" t="str">
            <v>Idaho Post-Merger Pre-MSP QF</v>
          </cell>
          <cell r="S401">
            <v>4</v>
          </cell>
        </row>
        <row r="402">
          <cell r="R402" t="str">
            <v>Idaho Post-MSP QF</v>
          </cell>
          <cell r="S402">
            <v>4</v>
          </cell>
        </row>
        <row r="403">
          <cell r="R403" t="str">
            <v>Idaho Pre-Merger QF</v>
          </cell>
          <cell r="S403">
            <v>4</v>
          </cell>
        </row>
        <row r="404">
          <cell r="R404" t="str">
            <v>IPP Purchase</v>
          </cell>
          <cell r="S404">
            <v>2</v>
          </cell>
        </row>
        <row r="405">
          <cell r="R405" t="str">
            <v>IPP Sale (LADWP)</v>
          </cell>
          <cell r="S405">
            <v>1</v>
          </cell>
        </row>
        <row r="406">
          <cell r="R406" t="str">
            <v>IRP - DSM East Irrigation Ld Control</v>
          </cell>
          <cell r="S406">
            <v>7</v>
          </cell>
        </row>
        <row r="407">
          <cell r="R407" t="str">
            <v>IRP - DSM East Irrigation Ld Control - Return</v>
          </cell>
          <cell r="S407">
            <v>7</v>
          </cell>
        </row>
        <row r="408">
          <cell r="R408" t="str">
            <v>IRP - DSM East Summer Ld Control</v>
          </cell>
          <cell r="S408">
            <v>7</v>
          </cell>
        </row>
        <row r="409">
          <cell r="R409" t="str">
            <v>IRP - DSM East Summer Ld Control - Return</v>
          </cell>
          <cell r="S409">
            <v>7</v>
          </cell>
        </row>
        <row r="410">
          <cell r="R410" t="str">
            <v>IRP - DSM West Irrigation Ld Control</v>
          </cell>
          <cell r="S410">
            <v>7</v>
          </cell>
        </row>
        <row r="411">
          <cell r="R411" t="str">
            <v>IRP - DSM West Irrigation Ld Control - Return</v>
          </cell>
          <cell r="S411">
            <v>7</v>
          </cell>
        </row>
        <row r="412">
          <cell r="R412" t="str">
            <v>IRP - FOT Four Corners</v>
          </cell>
          <cell r="S412">
            <v>7</v>
          </cell>
        </row>
        <row r="413">
          <cell r="R413" t="str">
            <v>IRP - FOT Mid-C</v>
          </cell>
          <cell r="S413">
            <v>7</v>
          </cell>
        </row>
        <row r="414">
          <cell r="R414" t="str">
            <v>IRP - FOT West Main</v>
          </cell>
          <cell r="S414">
            <v>7</v>
          </cell>
        </row>
        <row r="415">
          <cell r="R415" t="str">
            <v>IRP - Wind Mid-C</v>
          </cell>
          <cell r="S415">
            <v>7</v>
          </cell>
        </row>
        <row r="416">
          <cell r="R416" t="str">
            <v>IRP - Wind Walla Walla</v>
          </cell>
          <cell r="S416">
            <v>7</v>
          </cell>
        </row>
        <row r="417">
          <cell r="R417" t="str">
            <v>IRP - Wind Wyoming SE</v>
          </cell>
          <cell r="S417">
            <v>7</v>
          </cell>
        </row>
        <row r="418">
          <cell r="R418" t="str">
            <v>IRP - Wind Wyoming SW</v>
          </cell>
          <cell r="S418">
            <v>7</v>
          </cell>
        </row>
        <row r="419">
          <cell r="R419" t="str">
            <v>IRP - Wind Yakima</v>
          </cell>
          <cell r="S419">
            <v>7</v>
          </cell>
        </row>
        <row r="420">
          <cell r="R420" t="str">
            <v>Kennecott Generation Adjustment</v>
          </cell>
          <cell r="S420">
            <v>8</v>
          </cell>
        </row>
        <row r="421">
          <cell r="R421" t="str">
            <v>Kennecott Incentive</v>
          </cell>
          <cell r="S421">
            <v>2</v>
          </cell>
        </row>
        <row r="422">
          <cell r="R422" t="str">
            <v>Kennecott Incentive (Historical)</v>
          </cell>
          <cell r="S422">
            <v>2</v>
          </cell>
        </row>
        <row r="423">
          <cell r="R423" t="str">
            <v>Kennecott QF</v>
          </cell>
          <cell r="S423">
            <v>4</v>
          </cell>
        </row>
        <row r="424">
          <cell r="R424" t="str">
            <v>Kennecott Refinery QF</v>
          </cell>
          <cell r="S424">
            <v>4</v>
          </cell>
        </row>
        <row r="425">
          <cell r="R425" t="str">
            <v>Kennecott Smelter QF</v>
          </cell>
          <cell r="S425">
            <v>4</v>
          </cell>
        </row>
        <row r="426">
          <cell r="R426" t="str">
            <v>LADWP s491300</v>
          </cell>
          <cell r="S426">
            <v>1</v>
          </cell>
        </row>
        <row r="427">
          <cell r="R427" t="str">
            <v>LADWP s491301</v>
          </cell>
          <cell r="S427">
            <v>1</v>
          </cell>
        </row>
        <row r="428">
          <cell r="R428" t="str">
            <v>LADWP p491303</v>
          </cell>
          <cell r="S428">
            <v>2</v>
          </cell>
        </row>
        <row r="429">
          <cell r="R429" t="str">
            <v>LADWP s491303</v>
          </cell>
          <cell r="S429">
            <v>2</v>
          </cell>
        </row>
        <row r="430">
          <cell r="R430" t="str">
            <v>LADWP p491304</v>
          </cell>
          <cell r="S430">
            <v>2</v>
          </cell>
        </row>
        <row r="431">
          <cell r="R431" t="str">
            <v>LADWP s491304</v>
          </cell>
          <cell r="S431">
            <v>2</v>
          </cell>
        </row>
        <row r="432">
          <cell r="R432" t="str">
            <v>Leaning Juniper 1</v>
          </cell>
          <cell r="S432">
            <v>9</v>
          </cell>
        </row>
        <row r="433">
          <cell r="R433" t="str">
            <v>Lewis River Loss of Efficiency</v>
          </cell>
          <cell r="S433">
            <v>8</v>
          </cell>
        </row>
        <row r="434">
          <cell r="R434" t="str">
            <v>Lewis River Motoring Loss</v>
          </cell>
          <cell r="S434">
            <v>8</v>
          </cell>
        </row>
        <row r="435">
          <cell r="R435" t="str">
            <v>Lower Ridge Wind QF</v>
          </cell>
          <cell r="S435">
            <v>4</v>
          </cell>
        </row>
        <row r="436">
          <cell r="R436" t="str">
            <v>MagCorp Buythrough</v>
          </cell>
          <cell r="S436">
            <v>8</v>
          </cell>
        </row>
        <row r="437">
          <cell r="R437" t="str">
            <v>MagCorp Buythrough Winter</v>
          </cell>
          <cell r="S437">
            <v>8</v>
          </cell>
        </row>
        <row r="438">
          <cell r="R438" t="str">
            <v>MagCorp Curtailment</v>
          </cell>
          <cell r="S438">
            <v>8</v>
          </cell>
        </row>
        <row r="439">
          <cell r="R439" t="str">
            <v>MagCorp Curtailment (Historical)</v>
          </cell>
          <cell r="S439">
            <v>8</v>
          </cell>
        </row>
        <row r="440">
          <cell r="R440" t="str">
            <v>MagCorp Curtailment Winter</v>
          </cell>
          <cell r="S440">
            <v>8</v>
          </cell>
        </row>
        <row r="441">
          <cell r="R441" t="str">
            <v>MagCorp Curtailment Winter (Historical)</v>
          </cell>
          <cell r="S441">
            <v>8</v>
          </cell>
        </row>
        <row r="442">
          <cell r="R442" t="str">
            <v>Marengo</v>
          </cell>
          <cell r="S442">
            <v>9</v>
          </cell>
        </row>
        <row r="443">
          <cell r="R443" t="str">
            <v>Marengo I</v>
          </cell>
          <cell r="S443">
            <v>9</v>
          </cell>
        </row>
        <row r="444">
          <cell r="R444" t="str">
            <v>Marengo II</v>
          </cell>
          <cell r="S444">
            <v>9</v>
          </cell>
        </row>
        <row r="445">
          <cell r="R445" t="str">
            <v>McFadden Ridge Wind</v>
          </cell>
          <cell r="S445">
            <v>9</v>
          </cell>
        </row>
        <row r="446">
          <cell r="R446" t="str">
            <v>Monsanto Curtailment</v>
          </cell>
          <cell r="S446">
            <v>8</v>
          </cell>
        </row>
        <row r="447">
          <cell r="R447" t="str">
            <v>Monsanto Buythrough</v>
          </cell>
          <cell r="S447">
            <v>8</v>
          </cell>
        </row>
        <row r="448">
          <cell r="R448" t="str">
            <v>Monsanto Curtailment (Historical)</v>
          </cell>
          <cell r="S448">
            <v>2</v>
          </cell>
        </row>
        <row r="449">
          <cell r="R449" t="str">
            <v>Monsanto Excess Demand</v>
          </cell>
          <cell r="S449">
            <v>8</v>
          </cell>
        </row>
        <row r="450">
          <cell r="R450" t="str">
            <v>Morgan Stanley p189046</v>
          </cell>
          <cell r="S450">
            <v>2</v>
          </cell>
        </row>
        <row r="451">
          <cell r="R451" t="str">
            <v>Morgan Stanley p196538</v>
          </cell>
          <cell r="S451">
            <v>3</v>
          </cell>
        </row>
        <row r="452">
          <cell r="R452" t="str">
            <v>Morgan Stanley p206006</v>
          </cell>
          <cell r="S452">
            <v>3</v>
          </cell>
        </row>
        <row r="453">
          <cell r="R453" t="str">
            <v>Morgan Stanley p206008</v>
          </cell>
          <cell r="S453">
            <v>3</v>
          </cell>
        </row>
        <row r="454">
          <cell r="R454" t="str">
            <v>Morgan Stanley p207863</v>
          </cell>
          <cell r="S454">
            <v>6</v>
          </cell>
        </row>
        <row r="455">
          <cell r="R455" t="str">
            <v>Morgan Stanley p244840</v>
          </cell>
          <cell r="S455">
            <v>3</v>
          </cell>
        </row>
        <row r="456">
          <cell r="R456" t="str">
            <v>Morgan Stanley p244841</v>
          </cell>
          <cell r="S456">
            <v>3</v>
          </cell>
        </row>
        <row r="457">
          <cell r="R457" t="str">
            <v>Morgan Stanley p272153</v>
          </cell>
          <cell r="S457">
            <v>2</v>
          </cell>
        </row>
        <row r="458">
          <cell r="R458" t="str">
            <v>Morgan Stanley p272154</v>
          </cell>
          <cell r="S458">
            <v>2</v>
          </cell>
        </row>
        <row r="459">
          <cell r="R459" t="str">
            <v>Morgan Stanley p272156</v>
          </cell>
          <cell r="S459">
            <v>2</v>
          </cell>
        </row>
        <row r="460">
          <cell r="R460" t="str">
            <v>Morgan Stanley p272157</v>
          </cell>
          <cell r="S460">
            <v>2</v>
          </cell>
        </row>
        <row r="461">
          <cell r="R461" t="str">
            <v>Morgan Stanley p272158</v>
          </cell>
          <cell r="S461">
            <v>2</v>
          </cell>
        </row>
        <row r="462">
          <cell r="R462" t="str">
            <v>Morgan Stanley s207862</v>
          </cell>
          <cell r="S462">
            <v>2</v>
          </cell>
        </row>
        <row r="463">
          <cell r="R463" t="str">
            <v>Mountain Wind 1 QF</v>
          </cell>
          <cell r="S463">
            <v>4</v>
          </cell>
        </row>
        <row r="464">
          <cell r="R464" t="str">
            <v>Mountain Wind 2 QF</v>
          </cell>
          <cell r="S464">
            <v>4</v>
          </cell>
        </row>
        <row r="465">
          <cell r="R465" t="str">
            <v>Mule Hollow Wind QF</v>
          </cell>
          <cell r="S465">
            <v>4</v>
          </cell>
        </row>
        <row r="466">
          <cell r="R466" t="str">
            <v>NCPA p309009</v>
          </cell>
          <cell r="S466">
            <v>6</v>
          </cell>
        </row>
        <row r="467">
          <cell r="R467" t="str">
            <v>NCPA s309008</v>
          </cell>
          <cell r="S467">
            <v>6</v>
          </cell>
        </row>
        <row r="468">
          <cell r="R468" t="str">
            <v>Nebo Capacity Payment</v>
          </cell>
          <cell r="S468">
            <v>2</v>
          </cell>
        </row>
        <row r="469">
          <cell r="R469" t="str">
            <v>Non-Owned East - Obligation</v>
          </cell>
          <cell r="S469">
            <v>2</v>
          </cell>
        </row>
        <row r="470">
          <cell r="R470" t="str">
            <v>Non-Owned East - Offset</v>
          </cell>
          <cell r="S470">
            <v>2</v>
          </cell>
        </row>
        <row r="471">
          <cell r="R471" t="str">
            <v>Non-Owned West - Obligation</v>
          </cell>
          <cell r="S471">
            <v>2</v>
          </cell>
        </row>
        <row r="472">
          <cell r="R472" t="str">
            <v>Non-Owned West - Offset</v>
          </cell>
          <cell r="S472">
            <v>2</v>
          </cell>
        </row>
        <row r="473">
          <cell r="R473" t="str">
            <v>Non-Owned East Wind - Obligation</v>
          </cell>
          <cell r="S473">
            <v>2</v>
          </cell>
        </row>
        <row r="474">
          <cell r="R474" t="str">
            <v>Non-Owned East Wind - Offset</v>
          </cell>
          <cell r="S474">
            <v>2</v>
          </cell>
        </row>
        <row r="475">
          <cell r="R475" t="str">
            <v>Non-Owned West Wind - Obligation</v>
          </cell>
          <cell r="S475">
            <v>2</v>
          </cell>
        </row>
        <row r="476">
          <cell r="R476" t="str">
            <v>Non-Owned West Wind - Offset</v>
          </cell>
          <cell r="S476">
            <v>2</v>
          </cell>
        </row>
        <row r="477">
          <cell r="R477" t="str">
            <v>North Point Wind QF</v>
          </cell>
          <cell r="S477">
            <v>4</v>
          </cell>
        </row>
        <row r="478">
          <cell r="R478" t="str">
            <v>NUCOR</v>
          </cell>
          <cell r="S478">
            <v>2</v>
          </cell>
        </row>
        <row r="479">
          <cell r="R479" t="str">
            <v>NUCOR (De-rate)</v>
          </cell>
          <cell r="S479">
            <v>2</v>
          </cell>
        </row>
        <row r="480">
          <cell r="R480" t="str">
            <v>NVE s523485</v>
          </cell>
          <cell r="S480">
            <v>1</v>
          </cell>
        </row>
        <row r="481">
          <cell r="R481" t="str">
            <v>NVE s811499</v>
          </cell>
          <cell r="S481">
            <v>1</v>
          </cell>
        </row>
        <row r="482">
          <cell r="R482" t="str">
            <v>Oregon QF</v>
          </cell>
          <cell r="S482">
            <v>4</v>
          </cell>
        </row>
        <row r="483">
          <cell r="R483" t="str">
            <v>Oregon Pre-MSP QF</v>
          </cell>
          <cell r="S483">
            <v>4</v>
          </cell>
        </row>
        <row r="484">
          <cell r="R484" t="str">
            <v>Oregon Post-Merger Pre-MSP QF</v>
          </cell>
          <cell r="S484">
            <v>4</v>
          </cell>
        </row>
        <row r="485">
          <cell r="R485" t="str">
            <v>Oregon Post-MSP QF</v>
          </cell>
          <cell r="S485">
            <v>4</v>
          </cell>
        </row>
        <row r="486">
          <cell r="R486" t="str">
            <v>Oregon Pre-Merger QF</v>
          </cell>
          <cell r="S486">
            <v>4</v>
          </cell>
        </row>
        <row r="487">
          <cell r="R487" t="str">
            <v>Oregon Wind Farm QF</v>
          </cell>
          <cell r="S487">
            <v>4</v>
          </cell>
        </row>
        <row r="488">
          <cell r="R488" t="str">
            <v>P4 Production</v>
          </cell>
          <cell r="S488">
            <v>2</v>
          </cell>
        </row>
        <row r="489">
          <cell r="R489" t="str">
            <v>P4 Production (De-rate)</v>
          </cell>
          <cell r="S489">
            <v>1</v>
          </cell>
        </row>
        <row r="490">
          <cell r="R490" t="str">
            <v>Pacific Gas and Electric s524491</v>
          </cell>
          <cell r="S490">
            <v>1</v>
          </cell>
        </row>
        <row r="491">
          <cell r="R491" t="str">
            <v>PGE Cove</v>
          </cell>
          <cell r="S491">
            <v>2</v>
          </cell>
        </row>
        <row r="492">
          <cell r="R492" t="str">
            <v>Pine City Wind QF</v>
          </cell>
          <cell r="S492">
            <v>4</v>
          </cell>
        </row>
        <row r="493">
          <cell r="R493" t="str">
            <v>Pioneer Wind Park I QF</v>
          </cell>
          <cell r="S493">
            <v>4</v>
          </cell>
        </row>
        <row r="494">
          <cell r="R494" t="str">
            <v>Pioneer Wind Park II QF</v>
          </cell>
          <cell r="S494">
            <v>4</v>
          </cell>
        </row>
        <row r="495">
          <cell r="R495" t="str">
            <v>Pipeline Chehalis - Lateral</v>
          </cell>
          <cell r="S495">
            <v>11</v>
          </cell>
        </row>
        <row r="496">
          <cell r="R496" t="str">
            <v>Pipeline Chehalis - Main</v>
          </cell>
          <cell r="S496">
            <v>11</v>
          </cell>
        </row>
        <row r="497">
          <cell r="R497" t="str">
            <v>Pipeline Currant Creek Lateral</v>
          </cell>
          <cell r="S497">
            <v>11</v>
          </cell>
        </row>
        <row r="498">
          <cell r="R498" t="str">
            <v>Pipeline Hermiston Owned</v>
          </cell>
          <cell r="S498">
            <v>11</v>
          </cell>
        </row>
        <row r="499">
          <cell r="R499" t="str">
            <v>Pipeline Kern River Gas</v>
          </cell>
          <cell r="S499">
            <v>11</v>
          </cell>
        </row>
        <row r="500">
          <cell r="R500" t="str">
            <v>Pipeline Lake Side Lateral</v>
          </cell>
          <cell r="S500">
            <v>11</v>
          </cell>
        </row>
        <row r="501">
          <cell r="R501" t="str">
            <v>Pipeline Naughton</v>
          </cell>
          <cell r="S501">
            <v>14</v>
          </cell>
        </row>
        <row r="502">
          <cell r="R502" t="str">
            <v>Pipeline Reservation Fees</v>
          </cell>
          <cell r="S502">
            <v>11</v>
          </cell>
        </row>
        <row r="503">
          <cell r="R503" t="str">
            <v>Pipeline Southern System Expansion</v>
          </cell>
          <cell r="S503">
            <v>11</v>
          </cell>
        </row>
        <row r="504">
          <cell r="R504" t="str">
            <v>Power County North Wind QF p575612</v>
          </cell>
          <cell r="S504">
            <v>4</v>
          </cell>
        </row>
        <row r="505">
          <cell r="R505" t="str">
            <v>Power County South Wind QF p575614</v>
          </cell>
          <cell r="S505">
            <v>4</v>
          </cell>
        </row>
        <row r="506">
          <cell r="R506" t="str">
            <v>PSCo Exchange</v>
          </cell>
          <cell r="S506">
            <v>6</v>
          </cell>
        </row>
        <row r="507">
          <cell r="R507" t="str">
            <v>PSCo Exchange deliver</v>
          </cell>
          <cell r="S507">
            <v>6</v>
          </cell>
        </row>
        <row r="508">
          <cell r="R508" t="str">
            <v>PSCo FC III delivery</v>
          </cell>
          <cell r="S508">
            <v>6</v>
          </cell>
        </row>
        <row r="509">
          <cell r="R509" t="str">
            <v>PSCo FC III Generation</v>
          </cell>
          <cell r="S509">
            <v>6</v>
          </cell>
        </row>
        <row r="510">
          <cell r="R510" t="str">
            <v>PSCo Sale summer</v>
          </cell>
          <cell r="S510">
            <v>1</v>
          </cell>
        </row>
        <row r="511">
          <cell r="R511" t="str">
            <v>PSCo Sale winter</v>
          </cell>
          <cell r="S511">
            <v>1</v>
          </cell>
        </row>
        <row r="512">
          <cell r="R512" t="str">
            <v>Redding Exchange In</v>
          </cell>
          <cell r="S512">
            <v>6</v>
          </cell>
        </row>
        <row r="513">
          <cell r="R513" t="str">
            <v>Redding Exchange Out</v>
          </cell>
          <cell r="S513">
            <v>6</v>
          </cell>
        </row>
        <row r="514">
          <cell r="R514" t="str">
            <v>Ramp Loss East</v>
          </cell>
          <cell r="S514">
            <v>8</v>
          </cell>
        </row>
        <row r="515">
          <cell r="R515" t="str">
            <v>Ramp Loss West</v>
          </cell>
          <cell r="S515">
            <v>8</v>
          </cell>
        </row>
        <row r="516">
          <cell r="R516" t="str">
            <v>Rock River I</v>
          </cell>
          <cell r="S516">
            <v>2</v>
          </cell>
        </row>
        <row r="517">
          <cell r="R517" t="str">
            <v>Rolling Hills Wind</v>
          </cell>
          <cell r="S517">
            <v>9</v>
          </cell>
        </row>
        <row r="518">
          <cell r="R518" t="str">
            <v>Roseburg Dillard QF</v>
          </cell>
          <cell r="S518">
            <v>4</v>
          </cell>
        </row>
        <row r="519">
          <cell r="R519" t="str">
            <v>Roseburg Forest Products</v>
          </cell>
          <cell r="S519">
            <v>2</v>
          </cell>
        </row>
        <row r="520">
          <cell r="R520" t="str">
            <v>Salt River Project</v>
          </cell>
          <cell r="S520">
            <v>1</v>
          </cell>
        </row>
        <row r="521">
          <cell r="R521" t="str">
            <v>SCE Settlement</v>
          </cell>
          <cell r="S521">
            <v>1</v>
          </cell>
        </row>
        <row r="522">
          <cell r="R522" t="str">
            <v>Schwendiman QF</v>
          </cell>
          <cell r="S522">
            <v>4</v>
          </cell>
        </row>
        <row r="523">
          <cell r="R523" t="str">
            <v>SCE s513948</v>
          </cell>
          <cell r="S523">
            <v>1</v>
          </cell>
        </row>
        <row r="524">
          <cell r="R524" t="str">
            <v>SCL State Line delivery</v>
          </cell>
          <cell r="S524">
            <v>6</v>
          </cell>
        </row>
        <row r="525">
          <cell r="R525" t="str">
            <v>SCL State Line delivery LLH</v>
          </cell>
          <cell r="S525">
            <v>6</v>
          </cell>
        </row>
        <row r="526">
          <cell r="R526" t="str">
            <v>SCL State Line generation</v>
          </cell>
          <cell r="S526">
            <v>6</v>
          </cell>
        </row>
        <row r="527">
          <cell r="R527" t="str">
            <v>SCL State Line reserves</v>
          </cell>
          <cell r="S527">
            <v>6</v>
          </cell>
        </row>
        <row r="528">
          <cell r="R528" t="str">
            <v>SDGE s513949</v>
          </cell>
          <cell r="S528">
            <v>1</v>
          </cell>
        </row>
        <row r="529">
          <cell r="R529" t="str">
            <v>Seven Mile Wind</v>
          </cell>
          <cell r="S529">
            <v>9</v>
          </cell>
        </row>
        <row r="530">
          <cell r="R530" t="str">
            <v>Seven Mile II Wind</v>
          </cell>
          <cell r="S530">
            <v>9</v>
          </cell>
        </row>
        <row r="531">
          <cell r="R531" t="str">
            <v>Shell p489963</v>
          </cell>
          <cell r="S531">
            <v>6</v>
          </cell>
        </row>
        <row r="532">
          <cell r="R532" t="str">
            <v>Shell s489962</v>
          </cell>
          <cell r="S532">
            <v>6</v>
          </cell>
        </row>
        <row r="533">
          <cell r="R533" t="str">
            <v>Sierra Pacific II</v>
          </cell>
          <cell r="S533">
            <v>1</v>
          </cell>
        </row>
        <row r="534">
          <cell r="R534" t="str">
            <v>Simplot Phosphates</v>
          </cell>
          <cell r="S534">
            <v>4</v>
          </cell>
        </row>
        <row r="535">
          <cell r="R535" t="str">
            <v>Small Purchases east</v>
          </cell>
          <cell r="S535">
            <v>2</v>
          </cell>
        </row>
        <row r="536">
          <cell r="R536" t="str">
            <v>Small Purchases west</v>
          </cell>
          <cell r="S536">
            <v>2</v>
          </cell>
        </row>
        <row r="537">
          <cell r="R537" t="str">
            <v>SMUD</v>
          </cell>
          <cell r="S537">
            <v>1</v>
          </cell>
        </row>
        <row r="538">
          <cell r="R538" t="str">
            <v>SMUD Provisional</v>
          </cell>
          <cell r="S538">
            <v>1</v>
          </cell>
        </row>
        <row r="539">
          <cell r="R539" t="str">
            <v>SMUD Monthly</v>
          </cell>
          <cell r="S539">
            <v>1</v>
          </cell>
        </row>
        <row r="540">
          <cell r="R540" t="str">
            <v>Spanish Fork Wind 2 QF</v>
          </cell>
          <cell r="S540">
            <v>4</v>
          </cell>
        </row>
        <row r="541">
          <cell r="R541" t="str">
            <v>Station Service East</v>
          </cell>
          <cell r="S541">
            <v>8</v>
          </cell>
        </row>
        <row r="542">
          <cell r="R542" t="str">
            <v>Station Service West</v>
          </cell>
          <cell r="S542">
            <v>8</v>
          </cell>
        </row>
        <row r="543">
          <cell r="R543" t="str">
            <v>STF Index Trades - Buy - East</v>
          </cell>
          <cell r="S543">
            <v>13</v>
          </cell>
        </row>
        <row r="544">
          <cell r="R544" t="str">
            <v>STF Index Trades - Buy - West</v>
          </cell>
          <cell r="S544">
            <v>13</v>
          </cell>
        </row>
        <row r="545">
          <cell r="R545" t="str">
            <v>STF Index Trades - Sell - East</v>
          </cell>
          <cell r="S545">
            <v>12</v>
          </cell>
        </row>
        <row r="546">
          <cell r="R546" t="str">
            <v>STF Index Trades - Sell - West</v>
          </cell>
          <cell r="S546">
            <v>12</v>
          </cell>
        </row>
        <row r="547">
          <cell r="R547" t="str">
            <v>STF Trading Margin</v>
          </cell>
          <cell r="S547">
            <v>12</v>
          </cell>
        </row>
        <row r="548">
          <cell r="R548" t="str">
            <v>Sunnyside (QF) additional</v>
          </cell>
          <cell r="S548">
            <v>4</v>
          </cell>
        </row>
        <row r="549">
          <cell r="R549" t="str">
            <v>Sunnyside (QF) base</v>
          </cell>
          <cell r="S549">
            <v>4</v>
          </cell>
        </row>
        <row r="550">
          <cell r="R550" t="str">
            <v>Tesoro QF</v>
          </cell>
          <cell r="S550">
            <v>4</v>
          </cell>
        </row>
        <row r="551">
          <cell r="R551" t="str">
            <v>Three Buttes Wind</v>
          </cell>
          <cell r="S551">
            <v>2</v>
          </cell>
        </row>
        <row r="552">
          <cell r="R552" t="str">
            <v>Threemile Canyon Wind QF p500139</v>
          </cell>
          <cell r="S552">
            <v>4</v>
          </cell>
        </row>
        <row r="553">
          <cell r="R553" t="str">
            <v>Top of the World Wind p522807</v>
          </cell>
          <cell r="S553">
            <v>2</v>
          </cell>
        </row>
        <row r="554">
          <cell r="R554" t="str">
            <v>Top of the World Wind p575862</v>
          </cell>
          <cell r="S554">
            <v>2</v>
          </cell>
        </row>
        <row r="555">
          <cell r="R555" t="str">
            <v>TransAlta p371343</v>
          </cell>
          <cell r="S555">
            <v>6</v>
          </cell>
        </row>
        <row r="556">
          <cell r="R556" t="str">
            <v>TransAlta Purchase Flat</v>
          </cell>
          <cell r="S556">
            <v>2</v>
          </cell>
        </row>
        <row r="557">
          <cell r="R557" t="str">
            <v>TransAlta Purchase Index</v>
          </cell>
          <cell r="S557">
            <v>2</v>
          </cell>
        </row>
        <row r="558">
          <cell r="R558" t="str">
            <v>TransAlta s371344</v>
          </cell>
          <cell r="S558">
            <v>6</v>
          </cell>
        </row>
        <row r="559">
          <cell r="R559" t="str">
            <v>Transmission East</v>
          </cell>
          <cell r="S559">
            <v>10</v>
          </cell>
        </row>
        <row r="560">
          <cell r="R560" t="str">
            <v>Transmission West</v>
          </cell>
          <cell r="S560">
            <v>10</v>
          </cell>
        </row>
        <row r="561">
          <cell r="R561" t="str">
            <v>Tri-State Exchange</v>
          </cell>
          <cell r="S561">
            <v>6</v>
          </cell>
        </row>
        <row r="562">
          <cell r="R562" t="str">
            <v>Tri-State Exchange return</v>
          </cell>
          <cell r="S562">
            <v>6</v>
          </cell>
        </row>
        <row r="563">
          <cell r="R563" t="str">
            <v>Tri-State Purchase</v>
          </cell>
          <cell r="S563">
            <v>2</v>
          </cell>
        </row>
        <row r="564">
          <cell r="R564" t="str">
            <v>UAMPS s223863</v>
          </cell>
          <cell r="S564">
            <v>1</v>
          </cell>
        </row>
        <row r="565">
          <cell r="R565" t="str">
            <v>UAMPS s404236</v>
          </cell>
          <cell r="S565">
            <v>1</v>
          </cell>
        </row>
        <row r="566">
          <cell r="R566" t="str">
            <v>UBS AG 6X16 at 4C</v>
          </cell>
          <cell r="S566">
            <v>3</v>
          </cell>
        </row>
        <row r="567">
          <cell r="R567" t="str">
            <v>UBS p223199</v>
          </cell>
          <cell r="S567">
            <v>3</v>
          </cell>
        </row>
        <row r="568">
          <cell r="R568" t="str">
            <v>UBS p268848</v>
          </cell>
          <cell r="S568">
            <v>3</v>
          </cell>
        </row>
        <row r="569">
          <cell r="R569" t="str">
            <v>UBS p268850</v>
          </cell>
          <cell r="S569">
            <v>3</v>
          </cell>
        </row>
        <row r="570">
          <cell r="R570" t="str">
            <v>UMPA II</v>
          </cell>
          <cell r="S570">
            <v>1</v>
          </cell>
        </row>
        <row r="571">
          <cell r="R571" t="str">
            <v>US Magnesium QF</v>
          </cell>
          <cell r="S571">
            <v>4</v>
          </cell>
        </row>
        <row r="572">
          <cell r="R572" t="str">
            <v>US Magnesium Reserve</v>
          </cell>
          <cell r="S572">
            <v>2</v>
          </cell>
        </row>
        <row r="573">
          <cell r="R573" t="str">
            <v>Utah QF</v>
          </cell>
          <cell r="S573">
            <v>4</v>
          </cell>
        </row>
        <row r="574">
          <cell r="R574" t="str">
            <v>Utah Pre-MSP QF</v>
          </cell>
          <cell r="S574">
            <v>4</v>
          </cell>
        </row>
        <row r="575">
          <cell r="R575" t="str">
            <v>Utah Post-Merger Pre-MSP QF</v>
          </cell>
          <cell r="S575">
            <v>4</v>
          </cell>
        </row>
        <row r="576">
          <cell r="R576" t="str">
            <v>Utah Post-MSP QF</v>
          </cell>
          <cell r="S576">
            <v>4</v>
          </cell>
        </row>
        <row r="577">
          <cell r="R577" t="str">
            <v>Utah Pre-Merger QF</v>
          </cell>
          <cell r="S577">
            <v>4</v>
          </cell>
        </row>
        <row r="578">
          <cell r="R578" t="str">
            <v>Washington QF</v>
          </cell>
          <cell r="S578">
            <v>4</v>
          </cell>
        </row>
        <row r="579">
          <cell r="R579" t="str">
            <v>Washington Pre-MSP QF</v>
          </cell>
          <cell r="S579">
            <v>4</v>
          </cell>
        </row>
        <row r="580">
          <cell r="R580" t="str">
            <v>Washington Post-Merger Pre-MSP QF</v>
          </cell>
          <cell r="S580">
            <v>4</v>
          </cell>
        </row>
        <row r="581">
          <cell r="R581" t="str">
            <v>Washington Post-MSP QF</v>
          </cell>
          <cell r="S581">
            <v>4</v>
          </cell>
        </row>
        <row r="582">
          <cell r="R582" t="str">
            <v>Washington Pre-Merger QF</v>
          </cell>
          <cell r="S582">
            <v>4</v>
          </cell>
        </row>
        <row r="583">
          <cell r="R583" t="str">
            <v>West Valley Toll</v>
          </cell>
          <cell r="S583">
            <v>2</v>
          </cell>
        </row>
        <row r="584">
          <cell r="R584" t="str">
            <v>Weyerhaeuser QF</v>
          </cell>
          <cell r="S584">
            <v>4</v>
          </cell>
        </row>
        <row r="585">
          <cell r="R585" t="str">
            <v>Weyerhaeuser Reserve</v>
          </cell>
          <cell r="S585">
            <v>2</v>
          </cell>
        </row>
        <row r="586">
          <cell r="R586" t="str">
            <v>Wolverine Creek</v>
          </cell>
          <cell r="S586">
            <v>2</v>
          </cell>
        </row>
        <row r="587">
          <cell r="R587" t="str">
            <v>Wyoming QF</v>
          </cell>
          <cell r="S587">
            <v>4</v>
          </cell>
        </row>
        <row r="588">
          <cell r="R588" t="str">
            <v>Wyoming Pre-MSP QF</v>
          </cell>
          <cell r="S588">
            <v>4</v>
          </cell>
        </row>
        <row r="589">
          <cell r="R589" t="str">
            <v>Wyoming Post-Merger Pre-MSP QF</v>
          </cell>
          <cell r="S589">
            <v>4</v>
          </cell>
        </row>
        <row r="590">
          <cell r="R590" t="str">
            <v>Wyoming Post-MSP QF</v>
          </cell>
          <cell r="S590">
            <v>4</v>
          </cell>
        </row>
        <row r="591">
          <cell r="R591" t="str">
            <v>Wyoming Pre-Merger QF</v>
          </cell>
          <cell r="S591">
            <v>4</v>
          </cell>
        </row>
        <row r="592">
          <cell r="R592">
            <v>0</v>
          </cell>
          <cell r="S592">
            <v>0</v>
          </cell>
        </row>
        <row r="593">
          <cell r="R593">
            <v>0</v>
          </cell>
          <cell r="S593">
            <v>0</v>
          </cell>
        </row>
        <row r="594">
          <cell r="R594">
            <v>0</v>
          </cell>
          <cell r="S594">
            <v>0</v>
          </cell>
        </row>
        <row r="595">
          <cell r="R595">
            <v>0</v>
          </cell>
          <cell r="S595">
            <v>0</v>
          </cell>
        </row>
      </sheetData>
      <sheetData sheetId="6">
        <row r="258">
          <cell r="R258" t="str">
            <v>AMP Resources (Cove Fort)</v>
          </cell>
          <cell r="S258">
            <v>2</v>
          </cell>
        </row>
        <row r="259">
          <cell r="R259" t="str">
            <v>APGI 7X24 return</v>
          </cell>
          <cell r="S259">
            <v>6</v>
          </cell>
        </row>
        <row r="260">
          <cell r="R260" t="str">
            <v>APGI LLH return</v>
          </cell>
          <cell r="S260">
            <v>6</v>
          </cell>
        </row>
        <row r="261">
          <cell r="R261" t="str">
            <v>APS 6X16 at 4C</v>
          </cell>
          <cell r="S261">
            <v>3</v>
          </cell>
        </row>
        <row r="262">
          <cell r="R262" t="str">
            <v>APS 7X16 at 4C</v>
          </cell>
          <cell r="S262">
            <v>3</v>
          </cell>
        </row>
        <row r="263">
          <cell r="R263" t="str">
            <v>APS 7X16 at Mona</v>
          </cell>
          <cell r="S263">
            <v>3</v>
          </cell>
        </row>
        <row r="264">
          <cell r="R264" t="str">
            <v>APS Exchange</v>
          </cell>
          <cell r="S264">
            <v>6</v>
          </cell>
        </row>
        <row r="265">
          <cell r="R265" t="str">
            <v>APS Exchange deliver</v>
          </cell>
          <cell r="S265">
            <v>6</v>
          </cell>
        </row>
        <row r="266">
          <cell r="R266" t="str">
            <v>APS p207861</v>
          </cell>
          <cell r="S266">
            <v>6</v>
          </cell>
        </row>
        <row r="267">
          <cell r="R267" t="str">
            <v>APS s207860</v>
          </cell>
          <cell r="S267">
            <v>6</v>
          </cell>
        </row>
        <row r="268">
          <cell r="R268" t="str">
            <v>APS Supplemental Purchase coal</v>
          </cell>
          <cell r="S268">
            <v>2</v>
          </cell>
        </row>
        <row r="269">
          <cell r="R269" t="str">
            <v>APS Supplemental Purchase other</v>
          </cell>
          <cell r="S269">
            <v>2</v>
          </cell>
        </row>
        <row r="270">
          <cell r="R270" t="str">
            <v>Aquila hydro hedge</v>
          </cell>
          <cell r="S270">
            <v>2</v>
          </cell>
        </row>
        <row r="271">
          <cell r="R271" t="str">
            <v>Biomass (QF)</v>
          </cell>
          <cell r="S271">
            <v>4</v>
          </cell>
        </row>
        <row r="272">
          <cell r="R272" t="str">
            <v>Biomass Non-Generation</v>
          </cell>
          <cell r="S272">
            <v>4</v>
          </cell>
        </row>
        <row r="273">
          <cell r="R273" t="str">
            <v>Biomass One QF</v>
          </cell>
          <cell r="S273">
            <v>4</v>
          </cell>
        </row>
        <row r="274">
          <cell r="R274" t="str">
            <v>Black Hills</v>
          </cell>
          <cell r="S274">
            <v>1</v>
          </cell>
        </row>
        <row r="275">
          <cell r="R275" t="str">
            <v>Black Hills Losses</v>
          </cell>
          <cell r="S275">
            <v>1</v>
          </cell>
        </row>
        <row r="276">
          <cell r="R276" t="str">
            <v>Black Hills Reserve (CTs)</v>
          </cell>
          <cell r="S276">
            <v>6</v>
          </cell>
        </row>
        <row r="277">
          <cell r="R277" t="str">
            <v>Blanding</v>
          </cell>
          <cell r="S277">
            <v>1</v>
          </cell>
        </row>
        <row r="278">
          <cell r="R278" t="str">
            <v>Blanding Purchase</v>
          </cell>
          <cell r="S278">
            <v>2</v>
          </cell>
        </row>
        <row r="279">
          <cell r="R279" t="str">
            <v>Blue Mountain Wind QF</v>
          </cell>
          <cell r="S279">
            <v>4</v>
          </cell>
        </row>
        <row r="280">
          <cell r="R280" t="str">
            <v>BPA FC II delivery</v>
          </cell>
          <cell r="S280">
            <v>6</v>
          </cell>
        </row>
        <row r="281">
          <cell r="R281" t="str">
            <v>BPA FC II Generation</v>
          </cell>
          <cell r="S281">
            <v>6</v>
          </cell>
        </row>
        <row r="282">
          <cell r="R282" t="str">
            <v>BPA FC IV delivery</v>
          </cell>
          <cell r="S282">
            <v>6</v>
          </cell>
        </row>
        <row r="283">
          <cell r="R283" t="str">
            <v>BPA FC IV Generation</v>
          </cell>
          <cell r="S283">
            <v>6</v>
          </cell>
        </row>
        <row r="284">
          <cell r="R284" t="str">
            <v>BPA Flathead Sale</v>
          </cell>
          <cell r="S284">
            <v>1</v>
          </cell>
        </row>
        <row r="285">
          <cell r="R285" t="str">
            <v>BPA Hermiston Losses</v>
          </cell>
          <cell r="S285">
            <v>8</v>
          </cell>
        </row>
        <row r="286">
          <cell r="R286" t="str">
            <v>BPA Palisades return</v>
          </cell>
          <cell r="S286">
            <v>6</v>
          </cell>
        </row>
        <row r="287">
          <cell r="R287" t="str">
            <v>BPA Palisades storage</v>
          </cell>
          <cell r="S287">
            <v>6</v>
          </cell>
        </row>
        <row r="288">
          <cell r="R288" t="str">
            <v>BPA Peaking</v>
          </cell>
          <cell r="S288">
            <v>6</v>
          </cell>
        </row>
        <row r="289">
          <cell r="R289" t="str">
            <v>BPA Peaking Replacement</v>
          </cell>
          <cell r="S289">
            <v>6</v>
          </cell>
        </row>
        <row r="290">
          <cell r="R290" t="str">
            <v>BPA So. Idaho Exchange In</v>
          </cell>
          <cell r="S290">
            <v>6</v>
          </cell>
        </row>
        <row r="291">
          <cell r="R291" t="str">
            <v>BPA So. Idaho Exchange Out</v>
          </cell>
          <cell r="S291">
            <v>6</v>
          </cell>
        </row>
        <row r="292">
          <cell r="R292" t="str">
            <v>BPA Spring Energy</v>
          </cell>
          <cell r="S292">
            <v>6</v>
          </cell>
        </row>
        <row r="293">
          <cell r="R293" t="str">
            <v>BPA Spring Energy deliver</v>
          </cell>
          <cell r="S293">
            <v>6</v>
          </cell>
        </row>
        <row r="294">
          <cell r="R294" t="str">
            <v>BPA Summer Storage</v>
          </cell>
          <cell r="S294">
            <v>6</v>
          </cell>
        </row>
        <row r="295">
          <cell r="R295" t="str">
            <v>BPA Summer Storage return</v>
          </cell>
          <cell r="S295">
            <v>6</v>
          </cell>
        </row>
        <row r="296">
          <cell r="R296" t="str">
            <v>BPA Wind Sale</v>
          </cell>
          <cell r="S296">
            <v>1</v>
          </cell>
        </row>
        <row r="297">
          <cell r="R297" t="str">
            <v>Bridger Losses In</v>
          </cell>
          <cell r="S297">
            <v>8</v>
          </cell>
        </row>
        <row r="298">
          <cell r="R298" t="str">
            <v>Bridger Losses Out</v>
          </cell>
          <cell r="S298">
            <v>8</v>
          </cell>
        </row>
        <row r="299">
          <cell r="R299" t="str">
            <v>Bridger Losses Out</v>
          </cell>
          <cell r="S299">
            <v>8</v>
          </cell>
        </row>
        <row r="300">
          <cell r="R300" t="str">
            <v>Cal ISO East - Four Corners Purchase</v>
          </cell>
          <cell r="S300">
            <v>13</v>
          </cell>
        </row>
        <row r="301">
          <cell r="R301" t="str">
            <v>Cal ISO East - Four Corners Sale</v>
          </cell>
          <cell r="S301">
            <v>12</v>
          </cell>
        </row>
        <row r="302">
          <cell r="R302" t="str">
            <v>Cal ISO East - Mona Purchase</v>
          </cell>
          <cell r="S302">
            <v>13</v>
          </cell>
        </row>
        <row r="303">
          <cell r="R303" t="str">
            <v>Cal ISO East - Mona Sale</v>
          </cell>
          <cell r="S303">
            <v>12</v>
          </cell>
        </row>
        <row r="304">
          <cell r="R304" t="str">
            <v>Cal ISO West - COB Purchase</v>
          </cell>
          <cell r="S304">
            <v>13</v>
          </cell>
        </row>
        <row r="305">
          <cell r="R305" t="str">
            <v>Cal ISO West - COB Sale</v>
          </cell>
          <cell r="S305">
            <v>12</v>
          </cell>
        </row>
        <row r="306">
          <cell r="R306" t="str">
            <v>California QF</v>
          </cell>
          <cell r="S306">
            <v>4</v>
          </cell>
        </row>
        <row r="307">
          <cell r="R307" t="str">
            <v>California Pre-MSP QF</v>
          </cell>
          <cell r="S307">
            <v>4</v>
          </cell>
        </row>
        <row r="308">
          <cell r="R308" t="str">
            <v>California Post-Merger Pre-MSP QF</v>
          </cell>
          <cell r="S308">
            <v>4</v>
          </cell>
        </row>
        <row r="309">
          <cell r="R309" t="str">
            <v>California Post-MSP QF</v>
          </cell>
          <cell r="S309">
            <v>4</v>
          </cell>
        </row>
        <row r="310">
          <cell r="R310" t="str">
            <v>California Pre-Merger QF</v>
          </cell>
          <cell r="S310">
            <v>4</v>
          </cell>
        </row>
        <row r="311">
          <cell r="R311" t="str">
            <v>Canadian Entitlement CEAEA</v>
          </cell>
          <cell r="S311">
            <v>5</v>
          </cell>
        </row>
        <row r="312">
          <cell r="R312" t="str">
            <v>Cargill p483225</v>
          </cell>
          <cell r="S312">
            <v>6</v>
          </cell>
        </row>
        <row r="313">
          <cell r="R313" t="str">
            <v>Cargill p485290</v>
          </cell>
          <cell r="S313">
            <v>6</v>
          </cell>
        </row>
        <row r="314">
          <cell r="R314" t="str">
            <v>Cargill s483226</v>
          </cell>
          <cell r="S314">
            <v>6</v>
          </cell>
        </row>
        <row r="315">
          <cell r="R315" t="str">
            <v>Cargill s485289</v>
          </cell>
          <cell r="S315">
            <v>6</v>
          </cell>
        </row>
        <row r="316">
          <cell r="R316" t="str">
            <v>Chehalis Station Service</v>
          </cell>
          <cell r="S316">
            <v>2</v>
          </cell>
        </row>
        <row r="317">
          <cell r="R317" t="str">
            <v>Chelan - Rocky Reach</v>
          </cell>
          <cell r="S317">
            <v>5</v>
          </cell>
        </row>
        <row r="318">
          <cell r="R318" t="str">
            <v>Chevron Wind QF</v>
          </cell>
          <cell r="S318">
            <v>4</v>
          </cell>
        </row>
        <row r="319">
          <cell r="R319" t="str">
            <v>Clark Displacement</v>
          </cell>
          <cell r="S319">
            <v>2</v>
          </cell>
        </row>
        <row r="320">
          <cell r="R320" t="str">
            <v>Clark Displacement Buy Back</v>
          </cell>
          <cell r="S320">
            <v>2</v>
          </cell>
        </row>
        <row r="321">
          <cell r="R321" t="str">
            <v>Clark River Road reserve</v>
          </cell>
          <cell r="S321">
            <v>2</v>
          </cell>
        </row>
        <row r="322">
          <cell r="R322" t="str">
            <v>CLARK S&amp;I</v>
          </cell>
          <cell r="S322">
            <v>2</v>
          </cell>
        </row>
        <row r="323">
          <cell r="R323" t="str">
            <v>Clark S&amp;I Base Capacity</v>
          </cell>
          <cell r="S323">
            <v>2</v>
          </cell>
        </row>
        <row r="324">
          <cell r="R324" t="str">
            <v>CLARK Storage &amp; Integration</v>
          </cell>
          <cell r="S324">
            <v>2</v>
          </cell>
        </row>
        <row r="325">
          <cell r="R325" t="str">
            <v>Clay Basin Gas Storage</v>
          </cell>
          <cell r="S325">
            <v>11</v>
          </cell>
        </row>
        <row r="326">
          <cell r="R326" t="str">
            <v>Co-Gen II QF</v>
          </cell>
          <cell r="S326">
            <v>4</v>
          </cell>
        </row>
        <row r="327">
          <cell r="R327" t="str">
            <v>Combine Hills</v>
          </cell>
          <cell r="S327">
            <v>2</v>
          </cell>
        </row>
        <row r="328">
          <cell r="R328" t="str">
            <v>Constellation p257677</v>
          </cell>
          <cell r="S328">
            <v>2</v>
          </cell>
        </row>
        <row r="329">
          <cell r="R329" t="str">
            <v>Constellation p257678</v>
          </cell>
          <cell r="S329">
            <v>2</v>
          </cell>
        </row>
        <row r="330">
          <cell r="R330" t="str">
            <v>Constellation p268849</v>
          </cell>
          <cell r="S330">
            <v>2</v>
          </cell>
        </row>
        <row r="331">
          <cell r="R331" t="str">
            <v>Cowlitz Swift deliver</v>
          </cell>
          <cell r="S331">
            <v>6</v>
          </cell>
        </row>
        <row r="332">
          <cell r="R332" t="str">
            <v>D.R. Johnson (QF)</v>
          </cell>
          <cell r="S332">
            <v>4</v>
          </cell>
        </row>
        <row r="333">
          <cell r="R333" t="str">
            <v>Deseret G&amp;T Expansion</v>
          </cell>
          <cell r="S333">
            <v>2</v>
          </cell>
        </row>
        <row r="334">
          <cell r="R334" t="str">
            <v>Deseret Purchase</v>
          </cell>
          <cell r="S334">
            <v>2</v>
          </cell>
        </row>
        <row r="335">
          <cell r="R335" t="str">
            <v>Douglas - Wells</v>
          </cell>
          <cell r="S335">
            <v>5</v>
          </cell>
        </row>
        <row r="336">
          <cell r="R336" t="str">
            <v>Douglas County Forest Products QF</v>
          </cell>
          <cell r="S336">
            <v>4</v>
          </cell>
        </row>
        <row r="337">
          <cell r="R337" t="str">
            <v>Douglas PUD - Lands Energy Share</v>
          </cell>
          <cell r="S337">
            <v>5</v>
          </cell>
        </row>
        <row r="338">
          <cell r="R338" t="str">
            <v>Douglas PUD Settlement</v>
          </cell>
          <cell r="S338">
            <v>2</v>
          </cell>
        </row>
        <row r="339">
          <cell r="R339" t="str">
            <v>DSM Cool Keeper Reserve</v>
          </cell>
          <cell r="S339">
            <v>8</v>
          </cell>
        </row>
        <row r="340">
          <cell r="R340" t="str">
            <v>DSM Idaho Irrigation</v>
          </cell>
          <cell r="S340">
            <v>8</v>
          </cell>
        </row>
        <row r="341">
          <cell r="R341" t="str">
            <v>DSM Idaho Irrigation Shifted</v>
          </cell>
          <cell r="S341">
            <v>8</v>
          </cell>
        </row>
        <row r="342">
          <cell r="R342" t="str">
            <v>DSM Utah Irrigation</v>
          </cell>
          <cell r="S342">
            <v>8</v>
          </cell>
        </row>
        <row r="343">
          <cell r="R343" t="str">
            <v>DSM Utah Irrigation Shifted</v>
          </cell>
          <cell r="S343">
            <v>8</v>
          </cell>
        </row>
        <row r="344">
          <cell r="R344" t="str">
            <v>Duke HLH</v>
          </cell>
          <cell r="S344">
            <v>2</v>
          </cell>
        </row>
        <row r="345">
          <cell r="R345" t="str">
            <v>Duke p99206</v>
          </cell>
          <cell r="S345">
            <v>2</v>
          </cell>
        </row>
        <row r="346">
          <cell r="R346" t="str">
            <v>Dunlap I Wind</v>
          </cell>
          <cell r="S346">
            <v>9</v>
          </cell>
        </row>
        <row r="347">
          <cell r="R347" t="str">
            <v>East Control Area Sale</v>
          </cell>
          <cell r="S347">
            <v>1</v>
          </cell>
        </row>
        <row r="348">
          <cell r="R348" t="str">
            <v>Electric Swaps - East</v>
          </cell>
          <cell r="S348">
            <v>13</v>
          </cell>
        </row>
        <row r="349">
          <cell r="R349" t="str">
            <v>Electric Swaps - East Buy</v>
          </cell>
          <cell r="S349">
            <v>13</v>
          </cell>
        </row>
        <row r="350">
          <cell r="R350" t="str">
            <v>Electric Swaps - East Sell</v>
          </cell>
          <cell r="S350">
            <v>12</v>
          </cell>
        </row>
        <row r="351">
          <cell r="R351" t="str">
            <v>Electric Swaps - West</v>
          </cell>
          <cell r="S351">
            <v>13</v>
          </cell>
        </row>
        <row r="352">
          <cell r="R352" t="str">
            <v>Electric Swaps - West Buy</v>
          </cell>
          <cell r="S352">
            <v>13</v>
          </cell>
        </row>
        <row r="353">
          <cell r="R353" t="str">
            <v>Electric Swaps - West Sell</v>
          </cell>
          <cell r="S353">
            <v>12</v>
          </cell>
        </row>
        <row r="354">
          <cell r="R354" t="str">
            <v>Evergreen BioPower QF</v>
          </cell>
          <cell r="S354">
            <v>4</v>
          </cell>
        </row>
        <row r="355">
          <cell r="R355" t="str">
            <v>EWEB FC I delivery</v>
          </cell>
          <cell r="S355">
            <v>6</v>
          </cell>
        </row>
        <row r="356">
          <cell r="R356" t="str">
            <v>EWEB FC I Generation</v>
          </cell>
          <cell r="S356">
            <v>6</v>
          </cell>
        </row>
        <row r="357">
          <cell r="R357" t="str">
            <v>EWEB/BPA Wind Sale</v>
          </cell>
          <cell r="S357">
            <v>6</v>
          </cell>
        </row>
        <row r="358">
          <cell r="R358" t="str">
            <v>Excess Gas Sales</v>
          </cell>
          <cell r="S358">
            <v>11</v>
          </cell>
        </row>
        <row r="359">
          <cell r="R359" t="str">
            <v>ExxonMobil QF</v>
          </cell>
          <cell r="S359">
            <v>4</v>
          </cell>
        </row>
        <row r="360">
          <cell r="R360" t="str">
            <v>ExxonMobil QF</v>
          </cell>
          <cell r="S360">
            <v>4</v>
          </cell>
        </row>
        <row r="361">
          <cell r="R361" t="str">
            <v>Five Pine Wind QF</v>
          </cell>
          <cell r="S361">
            <v>4</v>
          </cell>
        </row>
        <row r="362">
          <cell r="R362" t="str">
            <v>Flathead &amp; ENI Sale</v>
          </cell>
          <cell r="S362">
            <v>1</v>
          </cell>
        </row>
        <row r="363">
          <cell r="R363" t="str">
            <v>Foote Creek I Generation</v>
          </cell>
          <cell r="S363">
            <v>9</v>
          </cell>
        </row>
        <row r="364">
          <cell r="R364" t="str">
            <v>Fort James (CoGen)</v>
          </cell>
          <cell r="S364">
            <v>2</v>
          </cell>
        </row>
        <row r="365">
          <cell r="R365" t="str">
            <v>Gas Swaps</v>
          </cell>
          <cell r="S365">
            <v>11</v>
          </cell>
        </row>
        <row r="366">
          <cell r="R366" t="str">
            <v>Gas Physical - East</v>
          </cell>
          <cell r="S366">
            <v>11</v>
          </cell>
        </row>
        <row r="367">
          <cell r="R367" t="str">
            <v>Gas Physical - West</v>
          </cell>
          <cell r="S367">
            <v>11</v>
          </cell>
        </row>
        <row r="368">
          <cell r="R368" t="str">
            <v>Gas Physical - Chehalis</v>
          </cell>
          <cell r="S368">
            <v>11</v>
          </cell>
        </row>
        <row r="369">
          <cell r="R369" t="str">
            <v>Gas Physical - Existing East</v>
          </cell>
          <cell r="S369">
            <v>11</v>
          </cell>
        </row>
        <row r="370">
          <cell r="R370" t="str">
            <v>Gas Physical - Hermiston</v>
          </cell>
          <cell r="S370">
            <v>11</v>
          </cell>
        </row>
        <row r="371">
          <cell r="R371" t="str">
            <v>Gas Physical - New East</v>
          </cell>
          <cell r="S371">
            <v>11</v>
          </cell>
        </row>
        <row r="372">
          <cell r="R372" t="str">
            <v>Gas Swaps - East</v>
          </cell>
          <cell r="S372">
            <v>11</v>
          </cell>
        </row>
        <row r="373">
          <cell r="R373" t="str">
            <v>Gas Swaps - West</v>
          </cell>
          <cell r="S373">
            <v>11</v>
          </cell>
        </row>
        <row r="374">
          <cell r="R374" t="str">
            <v>Gas Swaps - Chehalis</v>
          </cell>
          <cell r="S374">
            <v>11</v>
          </cell>
        </row>
        <row r="375">
          <cell r="R375" t="str">
            <v>Gas Swaps - Existing East</v>
          </cell>
          <cell r="S375">
            <v>11</v>
          </cell>
        </row>
        <row r="376">
          <cell r="R376" t="str">
            <v>Gas Swaps - Hermiston</v>
          </cell>
          <cell r="S376">
            <v>11</v>
          </cell>
        </row>
        <row r="377">
          <cell r="R377" t="str">
            <v>Gas Swaps - New East</v>
          </cell>
          <cell r="S377">
            <v>11</v>
          </cell>
        </row>
        <row r="378">
          <cell r="R378" t="str">
            <v>Gem State (City of Idaho Falls)</v>
          </cell>
          <cell r="S378">
            <v>2</v>
          </cell>
        </row>
        <row r="379">
          <cell r="R379" t="str">
            <v>Gem State Power Cost</v>
          </cell>
          <cell r="S379">
            <v>2</v>
          </cell>
        </row>
        <row r="380">
          <cell r="R380" t="str">
            <v>Glenrock Wind</v>
          </cell>
          <cell r="S380">
            <v>9</v>
          </cell>
        </row>
        <row r="381">
          <cell r="R381" t="str">
            <v>Glenrock III Wind</v>
          </cell>
          <cell r="S381">
            <v>9</v>
          </cell>
        </row>
        <row r="382">
          <cell r="R382" t="str">
            <v>Goodnoe Wind</v>
          </cell>
          <cell r="S382">
            <v>2</v>
          </cell>
        </row>
        <row r="383">
          <cell r="R383" t="str">
            <v>Grant - Priest Rapids</v>
          </cell>
          <cell r="S383">
            <v>5</v>
          </cell>
        </row>
        <row r="384">
          <cell r="R384" t="str">
            <v>Grant - Wanapum</v>
          </cell>
          <cell r="S384">
            <v>5</v>
          </cell>
        </row>
        <row r="385">
          <cell r="R385" t="str">
            <v>Grant County</v>
          </cell>
          <cell r="S385">
            <v>2</v>
          </cell>
        </row>
        <row r="386">
          <cell r="R386" t="str">
            <v>Grant Displacement</v>
          </cell>
          <cell r="S386">
            <v>5</v>
          </cell>
        </row>
        <row r="387">
          <cell r="R387" t="str">
            <v>Grant Meaningful Priority</v>
          </cell>
          <cell r="S387">
            <v>5</v>
          </cell>
        </row>
        <row r="388">
          <cell r="R388" t="str">
            <v>Grant Reasonable</v>
          </cell>
          <cell r="S388">
            <v>5</v>
          </cell>
        </row>
        <row r="389">
          <cell r="R389" t="str">
            <v>Grant Power Auction</v>
          </cell>
          <cell r="S389">
            <v>5</v>
          </cell>
        </row>
        <row r="390">
          <cell r="R390" t="str">
            <v>High Plains Wind</v>
          </cell>
          <cell r="S390">
            <v>9</v>
          </cell>
        </row>
        <row r="391">
          <cell r="R391" t="str">
            <v>High Plateau Wind QF</v>
          </cell>
          <cell r="S391">
            <v>4</v>
          </cell>
        </row>
        <row r="392">
          <cell r="R392" t="str">
            <v>Hermiston Purchase</v>
          </cell>
          <cell r="S392">
            <v>2</v>
          </cell>
        </row>
        <row r="393">
          <cell r="R393" t="str">
            <v>Hurricane Purchase</v>
          </cell>
          <cell r="S393">
            <v>2</v>
          </cell>
        </row>
        <row r="394">
          <cell r="R394" t="str">
            <v>Hurricane Sale</v>
          </cell>
          <cell r="S394">
            <v>1</v>
          </cell>
        </row>
        <row r="395">
          <cell r="R395" t="str">
            <v>Idaho Power P278538</v>
          </cell>
          <cell r="S395">
            <v>2</v>
          </cell>
        </row>
        <row r="396">
          <cell r="R396" t="str">
            <v>Idaho Power P278538 HLH</v>
          </cell>
          <cell r="S396">
            <v>2</v>
          </cell>
        </row>
        <row r="397">
          <cell r="R397" t="str">
            <v>Idaho Power P278538 LLH</v>
          </cell>
          <cell r="S397">
            <v>2</v>
          </cell>
        </row>
        <row r="398">
          <cell r="R398" t="str">
            <v>Idaho Power RTSA Purchase</v>
          </cell>
          <cell r="S398">
            <v>2</v>
          </cell>
        </row>
        <row r="399">
          <cell r="R399" t="str">
            <v>Idaho Power RTSA return</v>
          </cell>
          <cell r="S399">
            <v>8</v>
          </cell>
        </row>
        <row r="400">
          <cell r="R400" t="str">
            <v>Idaho QF</v>
          </cell>
          <cell r="S400">
            <v>4</v>
          </cell>
        </row>
        <row r="401">
          <cell r="R401" t="str">
            <v>Idaho Pre-MSP QF</v>
          </cell>
          <cell r="S401">
            <v>4</v>
          </cell>
        </row>
        <row r="402">
          <cell r="R402" t="str">
            <v>Idaho Post-Merger Pre-MSP QF</v>
          </cell>
          <cell r="S402">
            <v>4</v>
          </cell>
        </row>
        <row r="403">
          <cell r="R403" t="str">
            <v>Idaho Post-MSP QF</v>
          </cell>
          <cell r="S403">
            <v>4</v>
          </cell>
        </row>
        <row r="404">
          <cell r="R404" t="str">
            <v>Idaho Pre-Merger QF</v>
          </cell>
          <cell r="S404">
            <v>4</v>
          </cell>
        </row>
        <row r="405">
          <cell r="R405" t="str">
            <v>IPP Purchase</v>
          </cell>
          <cell r="S405">
            <v>2</v>
          </cell>
        </row>
        <row r="406">
          <cell r="R406" t="str">
            <v>IPP Sale (LADWP)</v>
          </cell>
          <cell r="S406">
            <v>1</v>
          </cell>
        </row>
        <row r="407">
          <cell r="R407" t="str">
            <v>IRP - DSM East Irrigation Ld Control</v>
          </cell>
          <cell r="S407">
            <v>7</v>
          </cell>
        </row>
        <row r="408">
          <cell r="R408" t="str">
            <v>IRP - DSM East Irrigation Ld Control - Return</v>
          </cell>
          <cell r="S408">
            <v>7</v>
          </cell>
        </row>
        <row r="409">
          <cell r="R409" t="str">
            <v>IRP - DSM East Summer Ld Control</v>
          </cell>
          <cell r="S409">
            <v>7</v>
          </cell>
        </row>
        <row r="410">
          <cell r="R410" t="str">
            <v>IRP - DSM East Summer Ld Control - Return</v>
          </cell>
          <cell r="S410">
            <v>7</v>
          </cell>
        </row>
        <row r="411">
          <cell r="R411" t="str">
            <v>IRP - DSM West Irrigation Ld Control</v>
          </cell>
          <cell r="S411">
            <v>7</v>
          </cell>
        </row>
        <row r="412">
          <cell r="R412" t="str">
            <v>IRP - DSM West Irrigation Ld Control - Return</v>
          </cell>
          <cell r="S412">
            <v>7</v>
          </cell>
        </row>
        <row r="413">
          <cell r="R413" t="str">
            <v>IRP - FOT Four Corners</v>
          </cell>
          <cell r="S413">
            <v>7</v>
          </cell>
        </row>
        <row r="414">
          <cell r="R414" t="str">
            <v>IRP - FOT Mid-C</v>
          </cell>
          <cell r="S414">
            <v>7</v>
          </cell>
        </row>
        <row r="415">
          <cell r="R415" t="str">
            <v>IRP - FOT West Main</v>
          </cell>
          <cell r="S415">
            <v>7</v>
          </cell>
        </row>
        <row r="416">
          <cell r="R416" t="str">
            <v>IRP - Wind Mid-C</v>
          </cell>
          <cell r="S416">
            <v>7</v>
          </cell>
        </row>
        <row r="417">
          <cell r="R417" t="str">
            <v>IRP - Wind Walla Walla</v>
          </cell>
          <cell r="S417">
            <v>7</v>
          </cell>
        </row>
        <row r="418">
          <cell r="R418" t="str">
            <v>IRP - Wind Wyoming SE</v>
          </cell>
          <cell r="S418">
            <v>7</v>
          </cell>
        </row>
        <row r="419">
          <cell r="R419" t="str">
            <v>IRP - Wind Wyoming SW</v>
          </cell>
          <cell r="S419">
            <v>7</v>
          </cell>
        </row>
        <row r="420">
          <cell r="R420" t="str">
            <v>IRP - Wind Yakima</v>
          </cell>
          <cell r="S420">
            <v>7</v>
          </cell>
        </row>
        <row r="421">
          <cell r="R421" t="str">
            <v>Kennecott Generation Adjustment</v>
          </cell>
          <cell r="S421">
            <v>8</v>
          </cell>
        </row>
        <row r="422">
          <cell r="R422" t="str">
            <v>Kennecott Incentive</v>
          </cell>
          <cell r="S422">
            <v>2</v>
          </cell>
        </row>
        <row r="423">
          <cell r="R423" t="str">
            <v>Kennecott Incentive (Historical)</v>
          </cell>
          <cell r="S423">
            <v>2</v>
          </cell>
        </row>
        <row r="424">
          <cell r="R424" t="str">
            <v>Kennecott QF</v>
          </cell>
          <cell r="S424">
            <v>4</v>
          </cell>
        </row>
        <row r="425">
          <cell r="R425" t="str">
            <v>Kennecott Refinery QF</v>
          </cell>
          <cell r="S425">
            <v>4</v>
          </cell>
        </row>
        <row r="426">
          <cell r="R426" t="str">
            <v>Kennecott Smelter QF</v>
          </cell>
          <cell r="S426">
            <v>4</v>
          </cell>
        </row>
        <row r="427">
          <cell r="R427" t="str">
            <v>LADWP s491300</v>
          </cell>
          <cell r="S427">
            <v>1</v>
          </cell>
        </row>
        <row r="428">
          <cell r="R428" t="str">
            <v>LADWP s491301</v>
          </cell>
          <cell r="S428">
            <v>1</v>
          </cell>
        </row>
        <row r="429">
          <cell r="R429" t="str">
            <v>LADWP p491303</v>
          </cell>
          <cell r="S429">
            <v>2</v>
          </cell>
        </row>
        <row r="430">
          <cell r="R430" t="str">
            <v>LADWP s491303</v>
          </cell>
          <cell r="S430">
            <v>2</v>
          </cell>
        </row>
        <row r="431">
          <cell r="R431" t="str">
            <v>LADWP p491304</v>
          </cell>
          <cell r="S431">
            <v>2</v>
          </cell>
        </row>
        <row r="432">
          <cell r="R432" t="str">
            <v>LADWP s491304</v>
          </cell>
          <cell r="S432">
            <v>2</v>
          </cell>
        </row>
        <row r="433">
          <cell r="R433" t="str">
            <v>Leaning Juniper 1</v>
          </cell>
          <cell r="S433">
            <v>2</v>
          </cell>
        </row>
        <row r="434">
          <cell r="R434" t="str">
            <v>Lewis River Loss of Efficiency</v>
          </cell>
          <cell r="S434">
            <v>8</v>
          </cell>
        </row>
        <row r="435">
          <cell r="R435" t="str">
            <v>Lewis River Motoring Loss</v>
          </cell>
          <cell r="S435">
            <v>8</v>
          </cell>
        </row>
        <row r="436">
          <cell r="R436" t="str">
            <v>Lower Ridge Wind QF</v>
          </cell>
          <cell r="S436">
            <v>4</v>
          </cell>
        </row>
        <row r="437">
          <cell r="R437" t="str">
            <v>MagCorp Buythrough</v>
          </cell>
          <cell r="S437">
            <v>8</v>
          </cell>
        </row>
        <row r="438">
          <cell r="R438" t="str">
            <v>MagCorp Buythrough Winter</v>
          </cell>
          <cell r="S438">
            <v>8</v>
          </cell>
        </row>
        <row r="439">
          <cell r="R439" t="str">
            <v>MagCorp Curtailment</v>
          </cell>
          <cell r="S439">
            <v>8</v>
          </cell>
        </row>
        <row r="440">
          <cell r="R440" t="str">
            <v>MagCorp Curtailment (Historical)</v>
          </cell>
          <cell r="S440">
            <v>8</v>
          </cell>
        </row>
        <row r="441">
          <cell r="R441" t="str">
            <v>MagCorp Curtailment Winter</v>
          </cell>
          <cell r="S441">
            <v>8</v>
          </cell>
        </row>
        <row r="442">
          <cell r="R442" t="str">
            <v>MagCorp Curtailment Winter (Historical)</v>
          </cell>
          <cell r="S442">
            <v>8</v>
          </cell>
        </row>
        <row r="443">
          <cell r="R443" t="str">
            <v>Marengo</v>
          </cell>
          <cell r="S443">
            <v>9</v>
          </cell>
        </row>
        <row r="444">
          <cell r="R444" t="str">
            <v>Marengo I</v>
          </cell>
          <cell r="S444">
            <v>9</v>
          </cell>
        </row>
        <row r="445">
          <cell r="R445" t="str">
            <v>Marengo II</v>
          </cell>
          <cell r="S445">
            <v>9</v>
          </cell>
        </row>
        <row r="446">
          <cell r="R446" t="str">
            <v>McFadden Ridge Wind</v>
          </cell>
          <cell r="S446">
            <v>9</v>
          </cell>
        </row>
        <row r="447">
          <cell r="R447" t="str">
            <v>Monsanto Curtailment</v>
          </cell>
          <cell r="S447">
            <v>8</v>
          </cell>
        </row>
        <row r="448">
          <cell r="R448" t="str">
            <v>Monsanto Buythrough</v>
          </cell>
          <cell r="S448">
            <v>8</v>
          </cell>
        </row>
        <row r="449">
          <cell r="R449" t="str">
            <v>Monsanto Curtailment (Historical)</v>
          </cell>
          <cell r="S449">
            <v>2</v>
          </cell>
        </row>
        <row r="450">
          <cell r="R450" t="str">
            <v>Monsanto Excess Demand</v>
          </cell>
          <cell r="S450">
            <v>8</v>
          </cell>
        </row>
        <row r="451">
          <cell r="R451" t="str">
            <v>Morgan Stanley p189046</v>
          </cell>
          <cell r="S451">
            <v>2</v>
          </cell>
        </row>
        <row r="452">
          <cell r="R452" t="str">
            <v>Morgan Stanley p196538</v>
          </cell>
          <cell r="S452">
            <v>3</v>
          </cell>
        </row>
        <row r="453">
          <cell r="R453" t="str">
            <v>Morgan Stanley p206006</v>
          </cell>
          <cell r="S453">
            <v>3</v>
          </cell>
        </row>
        <row r="454">
          <cell r="R454" t="str">
            <v>Morgan Stanley p206008</v>
          </cell>
          <cell r="S454">
            <v>3</v>
          </cell>
        </row>
        <row r="455">
          <cell r="R455" t="str">
            <v>Morgan Stanley p207863</v>
          </cell>
          <cell r="S455">
            <v>6</v>
          </cell>
        </row>
        <row r="456">
          <cell r="R456" t="str">
            <v>Morgan Stanley p244840</v>
          </cell>
          <cell r="S456">
            <v>3</v>
          </cell>
        </row>
        <row r="457">
          <cell r="R457" t="str">
            <v>Morgan Stanley p244841</v>
          </cell>
          <cell r="S457">
            <v>3</v>
          </cell>
        </row>
        <row r="458">
          <cell r="R458" t="str">
            <v>Morgan Stanley p272153</v>
          </cell>
          <cell r="S458">
            <v>2</v>
          </cell>
        </row>
        <row r="459">
          <cell r="R459" t="str">
            <v>Morgan Stanley p272154</v>
          </cell>
          <cell r="S459">
            <v>2</v>
          </cell>
        </row>
        <row r="460">
          <cell r="R460" t="str">
            <v>Morgan Stanley p272156</v>
          </cell>
          <cell r="S460">
            <v>2</v>
          </cell>
        </row>
        <row r="461">
          <cell r="R461" t="str">
            <v>Morgan Stanley p272157</v>
          </cell>
          <cell r="S461">
            <v>2</v>
          </cell>
        </row>
        <row r="462">
          <cell r="R462" t="str">
            <v>Morgan Stanley p272158</v>
          </cell>
          <cell r="S462">
            <v>2</v>
          </cell>
        </row>
        <row r="463">
          <cell r="R463" t="str">
            <v>Morgan Stanley s207862</v>
          </cell>
          <cell r="S463">
            <v>2</v>
          </cell>
        </row>
        <row r="464">
          <cell r="R464" t="str">
            <v>Mountain Wind 1 QF</v>
          </cell>
          <cell r="S464">
            <v>4</v>
          </cell>
        </row>
        <row r="465">
          <cell r="R465" t="str">
            <v>Mountain Wind 2 QF</v>
          </cell>
          <cell r="S465">
            <v>4</v>
          </cell>
        </row>
        <row r="466">
          <cell r="R466" t="str">
            <v>Mule Hollow Wind QF</v>
          </cell>
          <cell r="S466">
            <v>4</v>
          </cell>
        </row>
        <row r="467">
          <cell r="R467" t="str">
            <v>NCPA p309009</v>
          </cell>
          <cell r="S467">
            <v>6</v>
          </cell>
        </row>
        <row r="468">
          <cell r="R468" t="str">
            <v>NCPA s309008</v>
          </cell>
          <cell r="S468">
            <v>6</v>
          </cell>
        </row>
        <row r="469">
          <cell r="R469" t="str">
            <v>Nebo Capacity Payment</v>
          </cell>
          <cell r="S469">
            <v>2</v>
          </cell>
        </row>
        <row r="470">
          <cell r="R470" t="str">
            <v>Non-Owned East - Obligation</v>
          </cell>
          <cell r="S470">
            <v>2</v>
          </cell>
        </row>
        <row r="471">
          <cell r="R471" t="str">
            <v>Non-Owned East - Offset</v>
          </cell>
          <cell r="S471">
            <v>2</v>
          </cell>
        </row>
        <row r="472">
          <cell r="R472" t="str">
            <v>Non-Owned West - Obligation</v>
          </cell>
          <cell r="S472">
            <v>2</v>
          </cell>
        </row>
        <row r="473">
          <cell r="R473" t="str">
            <v>Non-Owned West - Offset</v>
          </cell>
          <cell r="S473">
            <v>2</v>
          </cell>
        </row>
        <row r="474">
          <cell r="R474" t="str">
            <v>Non-Owned East Wind - Obligation</v>
          </cell>
          <cell r="S474">
            <v>2</v>
          </cell>
        </row>
        <row r="475">
          <cell r="R475" t="str">
            <v>Non-Owned East Wind - Offset</v>
          </cell>
          <cell r="S475">
            <v>2</v>
          </cell>
        </row>
        <row r="476">
          <cell r="R476" t="str">
            <v>Non-Owned West Wind - Obligation</v>
          </cell>
          <cell r="S476">
            <v>2</v>
          </cell>
        </row>
        <row r="477">
          <cell r="R477" t="str">
            <v>Non-Owned West Wind - Offset</v>
          </cell>
          <cell r="S477">
            <v>2</v>
          </cell>
        </row>
        <row r="478">
          <cell r="R478" t="str">
            <v>North Point Wind QF</v>
          </cell>
          <cell r="S478">
            <v>4</v>
          </cell>
        </row>
        <row r="479">
          <cell r="R479" t="str">
            <v>NUCOR</v>
          </cell>
          <cell r="S479">
            <v>2</v>
          </cell>
        </row>
        <row r="480">
          <cell r="R480" t="str">
            <v>NUCOR (De-rate)</v>
          </cell>
          <cell r="S480">
            <v>2</v>
          </cell>
        </row>
        <row r="481">
          <cell r="R481" t="str">
            <v>NVE s523485</v>
          </cell>
          <cell r="S481">
            <v>1</v>
          </cell>
        </row>
        <row r="482">
          <cell r="R482" t="str">
            <v>NVE s811499</v>
          </cell>
          <cell r="S482">
            <v>1</v>
          </cell>
        </row>
        <row r="483">
          <cell r="R483" t="str">
            <v>Oregon QF</v>
          </cell>
          <cell r="S483">
            <v>4</v>
          </cell>
        </row>
        <row r="484">
          <cell r="R484" t="str">
            <v>Oregon Pre-MSP QF</v>
          </cell>
          <cell r="S484">
            <v>4</v>
          </cell>
        </row>
        <row r="485">
          <cell r="R485" t="str">
            <v>Oregon Post-Merger Pre-MSP QF</v>
          </cell>
          <cell r="S485">
            <v>4</v>
          </cell>
        </row>
        <row r="486">
          <cell r="R486" t="str">
            <v>Oregon Post-MSP QF</v>
          </cell>
          <cell r="S486">
            <v>4</v>
          </cell>
        </row>
        <row r="487">
          <cell r="R487" t="str">
            <v>Oregon Pre-Merger QF</v>
          </cell>
          <cell r="S487">
            <v>4</v>
          </cell>
        </row>
        <row r="488">
          <cell r="R488" t="str">
            <v>Oregon Wind Farm QF</v>
          </cell>
          <cell r="S488">
            <v>4</v>
          </cell>
        </row>
        <row r="489">
          <cell r="R489" t="str">
            <v>P4 Production</v>
          </cell>
          <cell r="S489">
            <v>2</v>
          </cell>
        </row>
        <row r="490">
          <cell r="R490" t="str">
            <v>P4 Production (De-rate)</v>
          </cell>
          <cell r="S490">
            <v>1</v>
          </cell>
        </row>
        <row r="491">
          <cell r="R491" t="str">
            <v>Pacific Gas and Electric s524491</v>
          </cell>
          <cell r="S491">
            <v>1</v>
          </cell>
        </row>
        <row r="492">
          <cell r="R492" t="str">
            <v>PGE Cove</v>
          </cell>
          <cell r="S492">
            <v>2</v>
          </cell>
        </row>
        <row r="493">
          <cell r="R493" t="str">
            <v>Pine City Wind QF</v>
          </cell>
          <cell r="S493">
            <v>4</v>
          </cell>
        </row>
        <row r="494">
          <cell r="R494" t="str">
            <v>Pioneer Wind Park I QF</v>
          </cell>
          <cell r="S494">
            <v>4</v>
          </cell>
        </row>
        <row r="495">
          <cell r="R495" t="str">
            <v>Pioneer Wind Park II QF</v>
          </cell>
          <cell r="S495">
            <v>4</v>
          </cell>
        </row>
        <row r="496">
          <cell r="R496" t="str">
            <v>Pipeline Chehalis - Lateral</v>
          </cell>
          <cell r="S496">
            <v>11</v>
          </cell>
        </row>
        <row r="497">
          <cell r="R497" t="str">
            <v>Pipeline Chehalis - Main</v>
          </cell>
          <cell r="S497">
            <v>11</v>
          </cell>
        </row>
        <row r="498">
          <cell r="R498" t="str">
            <v>Pipeline Currant Creek Lateral</v>
          </cell>
          <cell r="S498">
            <v>11</v>
          </cell>
        </row>
        <row r="499">
          <cell r="R499" t="str">
            <v>Pipeline Hermiston Owned</v>
          </cell>
          <cell r="S499">
            <v>11</v>
          </cell>
        </row>
        <row r="500">
          <cell r="R500" t="str">
            <v>Pipeline Kern River Gas</v>
          </cell>
          <cell r="S500">
            <v>11</v>
          </cell>
        </row>
        <row r="501">
          <cell r="R501" t="str">
            <v>Pipeline Lake Side Lateral</v>
          </cell>
          <cell r="S501">
            <v>11</v>
          </cell>
        </row>
        <row r="502">
          <cell r="R502" t="str">
            <v>Pipeline Naughton</v>
          </cell>
          <cell r="S502">
            <v>14</v>
          </cell>
        </row>
        <row r="503">
          <cell r="R503" t="str">
            <v>Pipeline Reservation Fees</v>
          </cell>
          <cell r="S503">
            <v>11</v>
          </cell>
        </row>
        <row r="504">
          <cell r="R504" t="str">
            <v>Pipeline Southern System Expansion</v>
          </cell>
          <cell r="S504">
            <v>11</v>
          </cell>
        </row>
        <row r="505">
          <cell r="R505" t="str">
            <v>Power County North Wind QF p575612</v>
          </cell>
          <cell r="S505">
            <v>4</v>
          </cell>
        </row>
        <row r="506">
          <cell r="R506" t="str">
            <v>Power County South Wind QF p575614</v>
          </cell>
          <cell r="S506">
            <v>4</v>
          </cell>
        </row>
        <row r="507">
          <cell r="R507" t="str">
            <v>PSCo Exchange</v>
          </cell>
          <cell r="S507">
            <v>6</v>
          </cell>
        </row>
        <row r="508">
          <cell r="R508" t="str">
            <v>PSCo Exchange deliver</v>
          </cell>
          <cell r="S508">
            <v>6</v>
          </cell>
        </row>
        <row r="509">
          <cell r="R509" t="str">
            <v>PSCo FC III delivery</v>
          </cell>
          <cell r="S509">
            <v>6</v>
          </cell>
        </row>
        <row r="510">
          <cell r="R510" t="str">
            <v>PSCo FC III Generation</v>
          </cell>
          <cell r="S510">
            <v>6</v>
          </cell>
        </row>
        <row r="511">
          <cell r="R511" t="str">
            <v>PSCo Sale summer</v>
          </cell>
          <cell r="S511">
            <v>1</v>
          </cell>
        </row>
        <row r="512">
          <cell r="R512" t="str">
            <v>PSCo Sale winter</v>
          </cell>
          <cell r="S512">
            <v>1</v>
          </cell>
        </row>
        <row r="513">
          <cell r="R513" t="str">
            <v>Redding Exchange In</v>
          </cell>
          <cell r="S513">
            <v>6</v>
          </cell>
        </row>
        <row r="514">
          <cell r="R514" t="str">
            <v>Redding Exchange Out</v>
          </cell>
          <cell r="S514">
            <v>6</v>
          </cell>
        </row>
        <row r="515">
          <cell r="R515" t="str">
            <v>Ramp Loss East</v>
          </cell>
          <cell r="S515">
            <v>8</v>
          </cell>
        </row>
        <row r="516">
          <cell r="R516" t="str">
            <v>Ramp Loss West</v>
          </cell>
          <cell r="S516">
            <v>8</v>
          </cell>
        </row>
        <row r="517">
          <cell r="R517" t="str">
            <v>Rock River I</v>
          </cell>
          <cell r="S517">
            <v>2</v>
          </cell>
        </row>
        <row r="518">
          <cell r="R518" t="str">
            <v>Rolling Hills Wind</v>
          </cell>
          <cell r="S518">
            <v>9</v>
          </cell>
        </row>
        <row r="519">
          <cell r="R519" t="str">
            <v>Roseburg Dillard QF</v>
          </cell>
          <cell r="S519">
            <v>4</v>
          </cell>
        </row>
        <row r="520">
          <cell r="R520" t="str">
            <v>Roseburg Forest Products</v>
          </cell>
          <cell r="S520">
            <v>2</v>
          </cell>
        </row>
        <row r="521">
          <cell r="R521" t="str">
            <v>Salt River Project</v>
          </cell>
          <cell r="S521">
            <v>1</v>
          </cell>
        </row>
        <row r="522">
          <cell r="R522" t="str">
            <v>SCE Settlement</v>
          </cell>
          <cell r="S522">
            <v>1</v>
          </cell>
        </row>
        <row r="523">
          <cell r="R523" t="str">
            <v>Schwendiman QF</v>
          </cell>
          <cell r="S523">
            <v>4</v>
          </cell>
        </row>
        <row r="524">
          <cell r="R524" t="str">
            <v>SCE s513948</v>
          </cell>
          <cell r="S524">
            <v>1</v>
          </cell>
        </row>
        <row r="525">
          <cell r="R525" t="str">
            <v>SCL State Line delivery</v>
          </cell>
          <cell r="S525">
            <v>6</v>
          </cell>
        </row>
        <row r="526">
          <cell r="R526" t="str">
            <v>SCL State Line delivery LLH</v>
          </cell>
          <cell r="S526">
            <v>6</v>
          </cell>
        </row>
        <row r="527">
          <cell r="R527" t="str">
            <v>SCL State Line generation</v>
          </cell>
          <cell r="S527">
            <v>6</v>
          </cell>
        </row>
        <row r="528">
          <cell r="R528" t="str">
            <v>SCL State Line reserves</v>
          </cell>
          <cell r="S528">
            <v>6</v>
          </cell>
        </row>
        <row r="529">
          <cell r="R529" t="str">
            <v>SDGE s513949</v>
          </cell>
          <cell r="S529">
            <v>1</v>
          </cell>
        </row>
        <row r="530">
          <cell r="R530" t="str">
            <v>Seven Mile Wind</v>
          </cell>
          <cell r="S530">
            <v>9</v>
          </cell>
        </row>
        <row r="531">
          <cell r="R531" t="str">
            <v>Seven Mile II Wind</v>
          </cell>
          <cell r="S531">
            <v>9</v>
          </cell>
        </row>
        <row r="532">
          <cell r="R532" t="str">
            <v>Shell p489963</v>
          </cell>
          <cell r="S532">
            <v>6</v>
          </cell>
        </row>
        <row r="533">
          <cell r="R533" t="str">
            <v>Shell s489962</v>
          </cell>
          <cell r="S533">
            <v>6</v>
          </cell>
        </row>
        <row r="534">
          <cell r="R534" t="str">
            <v>Sierra Pacific II</v>
          </cell>
          <cell r="S534">
            <v>1</v>
          </cell>
        </row>
        <row r="535">
          <cell r="R535" t="str">
            <v>Simplot Phosphates</v>
          </cell>
          <cell r="S535">
            <v>4</v>
          </cell>
        </row>
        <row r="536">
          <cell r="R536" t="str">
            <v>Small Purchases east</v>
          </cell>
          <cell r="S536">
            <v>2</v>
          </cell>
        </row>
        <row r="537">
          <cell r="R537" t="str">
            <v>Small Purchases west</v>
          </cell>
          <cell r="S537">
            <v>2</v>
          </cell>
        </row>
        <row r="538">
          <cell r="R538" t="str">
            <v>SMUD</v>
          </cell>
          <cell r="S538">
            <v>1</v>
          </cell>
        </row>
        <row r="539">
          <cell r="R539" t="str">
            <v>SMUD Provisional</v>
          </cell>
          <cell r="S539">
            <v>1</v>
          </cell>
        </row>
        <row r="540">
          <cell r="R540" t="str">
            <v>SMUD Monthly</v>
          </cell>
          <cell r="S540">
            <v>1</v>
          </cell>
        </row>
        <row r="541">
          <cell r="R541" t="str">
            <v>Spanish Fork Wind 2 QF</v>
          </cell>
          <cell r="S541">
            <v>4</v>
          </cell>
        </row>
        <row r="542">
          <cell r="R542" t="str">
            <v>Station Service East</v>
          </cell>
          <cell r="S542">
            <v>8</v>
          </cell>
        </row>
        <row r="543">
          <cell r="R543" t="str">
            <v>Station Service West</v>
          </cell>
          <cell r="S543">
            <v>8</v>
          </cell>
        </row>
        <row r="544">
          <cell r="R544" t="str">
            <v>STF Index Trades - Buy - East</v>
          </cell>
          <cell r="S544">
            <v>13</v>
          </cell>
        </row>
        <row r="545">
          <cell r="R545" t="str">
            <v>STF Index Trades - Buy - West</v>
          </cell>
          <cell r="S545">
            <v>13</v>
          </cell>
        </row>
        <row r="546">
          <cell r="R546" t="str">
            <v>STF Index Trades - Sell - East</v>
          </cell>
          <cell r="S546">
            <v>12</v>
          </cell>
        </row>
        <row r="547">
          <cell r="R547" t="str">
            <v>STF Index Trades - Sell - West</v>
          </cell>
          <cell r="S547">
            <v>12</v>
          </cell>
        </row>
        <row r="548">
          <cell r="R548" t="str">
            <v>STF Trading Margin</v>
          </cell>
          <cell r="S548">
            <v>12</v>
          </cell>
        </row>
        <row r="549">
          <cell r="R549" t="str">
            <v>Sunnyside (QF) additional</v>
          </cell>
          <cell r="S549">
            <v>4</v>
          </cell>
        </row>
        <row r="550">
          <cell r="R550" t="str">
            <v>Sunnyside (QF) base</v>
          </cell>
          <cell r="S550">
            <v>4</v>
          </cell>
        </row>
        <row r="551">
          <cell r="R551" t="str">
            <v>Tesoro QF</v>
          </cell>
          <cell r="S551">
            <v>4</v>
          </cell>
        </row>
        <row r="552">
          <cell r="R552" t="str">
            <v>Three Buttes Wind</v>
          </cell>
          <cell r="S552">
            <v>2</v>
          </cell>
        </row>
        <row r="553">
          <cell r="R553" t="str">
            <v>Threemile Canyon Wind QF p500139</v>
          </cell>
          <cell r="S553">
            <v>4</v>
          </cell>
        </row>
        <row r="554">
          <cell r="R554" t="str">
            <v>Top of the World Wind p522807</v>
          </cell>
          <cell r="S554">
            <v>2</v>
          </cell>
        </row>
        <row r="555">
          <cell r="R555" t="str">
            <v>Top of the World Wind p575862</v>
          </cell>
          <cell r="S555">
            <v>2</v>
          </cell>
        </row>
        <row r="556">
          <cell r="R556" t="str">
            <v>TransAlta p371343</v>
          </cell>
          <cell r="S556">
            <v>6</v>
          </cell>
        </row>
        <row r="557">
          <cell r="R557" t="str">
            <v>TransAlta Purchase Flat</v>
          </cell>
          <cell r="S557">
            <v>2</v>
          </cell>
        </row>
        <row r="558">
          <cell r="R558" t="str">
            <v>TransAlta Purchase Index</v>
          </cell>
          <cell r="S558">
            <v>2</v>
          </cell>
        </row>
        <row r="559">
          <cell r="R559" t="str">
            <v>TransAlta s371344</v>
          </cell>
          <cell r="S559">
            <v>6</v>
          </cell>
        </row>
        <row r="560">
          <cell r="R560" t="str">
            <v>Transmission East</v>
          </cell>
          <cell r="S560">
            <v>10</v>
          </cell>
        </row>
        <row r="561">
          <cell r="R561" t="str">
            <v>Transmission West</v>
          </cell>
          <cell r="S561">
            <v>10</v>
          </cell>
        </row>
        <row r="562">
          <cell r="R562" t="str">
            <v>Tri-State Exchange</v>
          </cell>
          <cell r="S562">
            <v>6</v>
          </cell>
        </row>
        <row r="563">
          <cell r="R563" t="str">
            <v>Tri-State Exchange return</v>
          </cell>
          <cell r="S563">
            <v>6</v>
          </cell>
        </row>
        <row r="564">
          <cell r="R564" t="str">
            <v>Tri-State Purchase</v>
          </cell>
          <cell r="S564">
            <v>2</v>
          </cell>
        </row>
        <row r="565">
          <cell r="R565" t="str">
            <v>UAMPS s223863</v>
          </cell>
          <cell r="S565">
            <v>1</v>
          </cell>
        </row>
        <row r="566">
          <cell r="R566" t="str">
            <v>UAMPS s404236</v>
          </cell>
          <cell r="S566">
            <v>1</v>
          </cell>
        </row>
        <row r="567">
          <cell r="R567" t="str">
            <v>UBS AG 6X16 at 4C</v>
          </cell>
          <cell r="S567">
            <v>3</v>
          </cell>
        </row>
        <row r="568">
          <cell r="R568" t="str">
            <v>UBS p223199</v>
          </cell>
          <cell r="S568">
            <v>3</v>
          </cell>
        </row>
        <row r="569">
          <cell r="R569" t="str">
            <v>UBS p268848</v>
          </cell>
          <cell r="S569">
            <v>3</v>
          </cell>
        </row>
        <row r="570">
          <cell r="R570" t="str">
            <v>UBS p268850</v>
          </cell>
          <cell r="S570">
            <v>3</v>
          </cell>
        </row>
        <row r="571">
          <cell r="R571" t="str">
            <v>UMPA II</v>
          </cell>
          <cell r="S571">
            <v>1</v>
          </cell>
        </row>
        <row r="572">
          <cell r="R572" t="str">
            <v>US Magnesium QF</v>
          </cell>
          <cell r="S572">
            <v>4</v>
          </cell>
        </row>
        <row r="573">
          <cell r="R573" t="str">
            <v>US Magnesium Reserve</v>
          </cell>
          <cell r="S573">
            <v>2</v>
          </cell>
        </row>
        <row r="574">
          <cell r="R574" t="str">
            <v>Utah QF</v>
          </cell>
          <cell r="S574">
            <v>4</v>
          </cell>
        </row>
        <row r="575">
          <cell r="R575" t="str">
            <v>Utah Pre-MSP QF</v>
          </cell>
          <cell r="S575">
            <v>4</v>
          </cell>
        </row>
        <row r="576">
          <cell r="R576" t="str">
            <v>Utah Post-Merger Pre-MSP QF</v>
          </cell>
          <cell r="S576">
            <v>4</v>
          </cell>
        </row>
        <row r="577">
          <cell r="R577" t="str">
            <v>Utah Post-MSP QF</v>
          </cell>
          <cell r="S577">
            <v>4</v>
          </cell>
        </row>
        <row r="578">
          <cell r="R578" t="str">
            <v>Utah Pre-Merger QF</v>
          </cell>
          <cell r="S578">
            <v>4</v>
          </cell>
        </row>
        <row r="579">
          <cell r="R579" t="str">
            <v>Washington QF</v>
          </cell>
          <cell r="S579">
            <v>4</v>
          </cell>
        </row>
        <row r="580">
          <cell r="R580" t="str">
            <v>Washington Pre-MSP QF</v>
          </cell>
          <cell r="S580">
            <v>4</v>
          </cell>
        </row>
        <row r="581">
          <cell r="R581" t="str">
            <v>Washington Post-Merger Pre-MSP QF</v>
          </cell>
          <cell r="S581">
            <v>4</v>
          </cell>
        </row>
        <row r="582">
          <cell r="R582" t="str">
            <v>Washington Post-MSP QF</v>
          </cell>
          <cell r="S582">
            <v>4</v>
          </cell>
        </row>
        <row r="583">
          <cell r="R583" t="str">
            <v>Washington Pre-Merger QF</v>
          </cell>
          <cell r="S583">
            <v>4</v>
          </cell>
        </row>
        <row r="584">
          <cell r="R584" t="str">
            <v>West Valley Toll</v>
          </cell>
          <cell r="S584">
            <v>2</v>
          </cell>
        </row>
        <row r="585">
          <cell r="R585" t="str">
            <v>Weyerhaeuser QF</v>
          </cell>
          <cell r="S585">
            <v>4</v>
          </cell>
        </row>
        <row r="586">
          <cell r="R586" t="str">
            <v>Weyerhaeuser Reserve</v>
          </cell>
          <cell r="S586">
            <v>2</v>
          </cell>
        </row>
        <row r="587">
          <cell r="R587" t="str">
            <v>Wolverine Creek</v>
          </cell>
          <cell r="S587">
            <v>2</v>
          </cell>
        </row>
        <row r="588">
          <cell r="R588" t="str">
            <v>Wyoming QF</v>
          </cell>
          <cell r="S588">
            <v>4</v>
          </cell>
        </row>
        <row r="589">
          <cell r="R589" t="str">
            <v>Wyoming Pre-MSP QF</v>
          </cell>
          <cell r="S589">
            <v>4</v>
          </cell>
        </row>
        <row r="590">
          <cell r="R590" t="str">
            <v>Wyoming Post-Merger Pre-MSP QF</v>
          </cell>
          <cell r="S590">
            <v>4</v>
          </cell>
        </row>
        <row r="591">
          <cell r="R591" t="str">
            <v>Wyoming Post-MSP QF</v>
          </cell>
          <cell r="S591">
            <v>4</v>
          </cell>
        </row>
        <row r="592">
          <cell r="R592" t="str">
            <v>Wyoming Pre-Merger QF</v>
          </cell>
          <cell r="S592">
            <v>4</v>
          </cell>
        </row>
        <row r="593">
          <cell r="R593">
            <v>0</v>
          </cell>
          <cell r="S593">
            <v>0</v>
          </cell>
        </row>
        <row r="594">
          <cell r="R594">
            <v>0</v>
          </cell>
          <cell r="S594">
            <v>0</v>
          </cell>
        </row>
        <row r="595">
          <cell r="R595">
            <v>0</v>
          </cell>
          <cell r="S595">
            <v>0</v>
          </cell>
        </row>
        <row r="596">
          <cell r="R596">
            <v>0</v>
          </cell>
          <cell r="S596">
            <v>0</v>
          </cell>
        </row>
      </sheetData>
      <sheetData sheetId="7"/>
      <sheetData sheetId="8"/>
      <sheetData sheetId="9"/>
      <sheetData sheetId="10">
        <row r="41">
          <cell r="A41">
            <v>37196</v>
          </cell>
          <cell r="B41">
            <v>0.44227329059218473</v>
          </cell>
          <cell r="C41">
            <v>0.61387460599846122</v>
          </cell>
          <cell r="D41">
            <v>0</v>
          </cell>
          <cell r="E41">
            <v>0</v>
          </cell>
        </row>
        <row r="42">
          <cell r="A42">
            <v>37561</v>
          </cell>
          <cell r="B42">
            <v>0.46217558866883307</v>
          </cell>
          <cell r="C42">
            <v>0.6476377093283765</v>
          </cell>
          <cell r="D42">
            <v>0</v>
          </cell>
          <cell r="E42">
            <v>0</v>
          </cell>
        </row>
        <row r="43">
          <cell r="A43">
            <v>37926</v>
          </cell>
          <cell r="B43">
            <v>0.48297349015893043</v>
          </cell>
          <cell r="C43">
            <v>0.68325778334143727</v>
          </cell>
          <cell r="D43">
            <v>0</v>
          </cell>
          <cell r="E43">
            <v>0</v>
          </cell>
        </row>
        <row r="44">
          <cell r="A44">
            <v>38292</v>
          </cell>
          <cell r="B44">
            <v>0.50470729721608232</v>
          </cell>
          <cell r="C44">
            <v>0.72083696142521614</v>
          </cell>
          <cell r="D44">
            <v>0</v>
          </cell>
          <cell r="E44">
            <v>0</v>
          </cell>
        </row>
        <row r="45">
          <cell r="A45">
            <v>38657</v>
          </cell>
          <cell r="B45">
            <v>0.52741912559080595</v>
          </cell>
          <cell r="C45">
            <v>0.76048299430360311</v>
          </cell>
          <cell r="D45">
            <v>0</v>
          </cell>
          <cell r="E45">
            <v>0</v>
          </cell>
        </row>
        <row r="46">
          <cell r="A46">
            <v>39022</v>
          </cell>
          <cell r="B46">
            <v>0.55115298624239217</v>
          </cell>
          <cell r="C46">
            <v>0.80230955899030121</v>
          </cell>
          <cell r="D46">
            <v>0</v>
          </cell>
          <cell r="E46">
            <v>0</v>
          </cell>
        </row>
        <row r="47">
          <cell r="A47">
            <v>39387</v>
          </cell>
          <cell r="B47">
            <v>0.57595487062329975</v>
          </cell>
          <cell r="C47">
            <v>0.84643658473476779</v>
          </cell>
          <cell r="D47">
            <v>0</v>
          </cell>
          <cell r="E47">
            <v>0</v>
          </cell>
        </row>
        <row r="48">
          <cell r="A48">
            <v>39753</v>
          </cell>
          <cell r="B48">
            <v>0.6018728398013482</v>
          </cell>
          <cell r="C48">
            <v>0.8929905968951799</v>
          </cell>
          <cell r="D48">
            <v>0</v>
          </cell>
          <cell r="E48">
            <v>0</v>
          </cell>
        </row>
        <row r="49">
          <cell r="A49">
            <v>40118</v>
          </cell>
          <cell r="B49">
            <v>0.62895711759240869</v>
          </cell>
          <cell r="C49">
            <v>0.94210507972441482</v>
          </cell>
          <cell r="D49">
            <v>0</v>
          </cell>
          <cell r="E49">
            <v>0</v>
          </cell>
        </row>
        <row r="50">
          <cell r="A50">
            <v>40483</v>
          </cell>
          <cell r="B50">
            <v>0.65726018788406704</v>
          </cell>
          <cell r="C50">
            <v>0.99392085910925754</v>
          </cell>
          <cell r="D50">
            <v>0</v>
          </cell>
          <cell r="E50">
            <v>0</v>
          </cell>
        </row>
        <row r="51">
          <cell r="A51">
            <v>40848</v>
          </cell>
          <cell r="B51">
            <v>0.68683689633884992</v>
          </cell>
          <cell r="C51">
            <v>0</v>
          </cell>
          <cell r="D51">
            <v>0</v>
          </cell>
          <cell r="E51">
            <v>0</v>
          </cell>
        </row>
        <row r="52">
          <cell r="A52">
            <v>41214</v>
          </cell>
          <cell r="B52">
            <v>0.7177445566740982</v>
          </cell>
          <cell r="C52">
            <v>0</v>
          </cell>
          <cell r="D52">
            <v>0</v>
          </cell>
          <cell r="E52">
            <v>0</v>
          </cell>
        </row>
        <row r="53">
          <cell r="A53">
            <v>41579</v>
          </cell>
          <cell r="B53">
            <v>0.75004306172443236</v>
          </cell>
          <cell r="C53">
            <v>0</v>
          </cell>
          <cell r="D53">
            <v>0</v>
          </cell>
          <cell r="E53">
            <v>0</v>
          </cell>
        </row>
        <row r="54">
          <cell r="A54">
            <v>41944</v>
          </cell>
          <cell r="B54">
            <v>0.78379499950203191</v>
          </cell>
          <cell r="C54">
            <v>0</v>
          </cell>
          <cell r="D54">
            <v>0</v>
          </cell>
          <cell r="E54">
            <v>0</v>
          </cell>
        </row>
        <row r="55">
          <cell r="A55">
            <v>42309</v>
          </cell>
          <cell r="B55">
            <v>0.81906577447962303</v>
          </cell>
          <cell r="C55">
            <v>0</v>
          </cell>
          <cell r="D55">
            <v>0</v>
          </cell>
          <cell r="E55">
            <v>0</v>
          </cell>
        </row>
        <row r="56">
          <cell r="A56">
            <v>42675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"/>
      <sheetName val="kWh"/>
      <sheetName val="Customers"/>
      <sheetName val="Cognos_Run"/>
      <sheetName val="Pre Period"/>
      <sheetName val="Post Period"/>
      <sheetName val="Shifts bw Sch"/>
      <sheetName val="Invoice"/>
      <sheetName val="_305F_ID200303_b"/>
      <sheetName val="_305F_ID200303_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T1"/>
      <sheetName val="RevT2"/>
      <sheetName val="Inputs"/>
      <sheetName val="Spec Conts"/>
      <sheetName val="Table 1"/>
      <sheetName val="Table 2"/>
      <sheetName val="Back-up"/>
      <sheetName val="Actual"/>
      <sheetName val="Unbilled"/>
      <sheetName val="Weather"/>
      <sheetName val="Weather Present"/>
      <sheetName val="Blocking"/>
      <sheetName val="TableA"/>
      <sheetName val="Franchise Tax"/>
      <sheetName val="Table1 check"/>
      <sheetName val="Table2 check"/>
      <sheetName val="Spec Cont"/>
      <sheetName val="KN ENERGY"/>
      <sheetName val="Table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/>
      <sheetData sheetId="18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Facto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>
        <row r="9">
          <cell r="D9">
            <v>0.75</v>
          </cell>
        </row>
        <row r="11">
          <cell r="Y11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2">
          <cell r="G12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Facto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>
        <row r="9">
          <cell r="D9">
            <v>0.75</v>
          </cell>
        </row>
        <row r="11">
          <cell r="Y11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2">
          <cell r="G12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st=West"/>
      <sheetName val="East=West (5 yr)"/>
      <sheetName val="EstFT"/>
      <sheetName val="Est"/>
      <sheetName val="Summary"/>
      <sheetName val="Summary (II)"/>
      <sheetName val="Consolidated"/>
      <sheetName val="Table A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SAPCHKREQ"/>
      <sheetName val="Macros"/>
      <sheetName val="E220"/>
      <sheetName val="E220A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able"/>
      <sheetName val="Unit Costs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Variables Table"/>
      <sheetName val="Download JAM"/>
      <sheetName val="Functional Allocation Factors"/>
      <sheetName val="Functional  Factor Table"/>
      <sheetName val="Functional Dist Factor Table"/>
      <sheetName val="Functional Study"/>
      <sheetName val="COS Allocation Factors"/>
      <sheetName val="COS Factor Table"/>
      <sheetName val="COS WorkArea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Error Check"/>
      <sheetName val="Message"/>
      <sheetName val="Dialog"/>
      <sheetName val="MacroBuilder"/>
      <sheetName val="Print Module"/>
      <sheetName val="Menu_Options"/>
      <sheetName val="Menu_Unbund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01"/>
      <sheetName val="JAN01WA"/>
      <sheetName val="Master"/>
      <sheetName val="Table"/>
      <sheetName val="Scheds"/>
      <sheetName val="WA SBC"/>
      <sheetName val="WA Centralia"/>
      <sheetName val="WA Deferred"/>
    </sheetNames>
    <sheetDataSet>
      <sheetData sheetId="0"/>
      <sheetData sheetId="1"/>
      <sheetData sheetId="2"/>
      <sheetData sheetId="3" refreshError="1">
        <row r="2">
          <cell r="R2">
            <v>1</v>
          </cell>
          <cell r="S2" t="str">
            <v>January</v>
          </cell>
        </row>
        <row r="3">
          <cell r="R3">
            <v>2</v>
          </cell>
          <cell r="S3" t="str">
            <v>February</v>
          </cell>
        </row>
        <row r="4">
          <cell r="R4">
            <v>3</v>
          </cell>
          <cell r="S4" t="str">
            <v>March</v>
          </cell>
        </row>
        <row r="5">
          <cell r="R5">
            <v>4</v>
          </cell>
          <cell r="S5" t="str">
            <v>April</v>
          </cell>
        </row>
        <row r="6">
          <cell r="R6">
            <v>5</v>
          </cell>
          <cell r="S6" t="str">
            <v>May</v>
          </cell>
        </row>
        <row r="7">
          <cell r="R7">
            <v>6</v>
          </cell>
          <cell r="S7" t="str">
            <v>June</v>
          </cell>
        </row>
        <row r="8">
          <cell r="R8">
            <v>7</v>
          </cell>
          <cell r="S8" t="str">
            <v>July</v>
          </cell>
        </row>
        <row r="9">
          <cell r="R9">
            <v>8</v>
          </cell>
          <cell r="S9" t="str">
            <v>August</v>
          </cell>
        </row>
        <row r="10">
          <cell r="R10">
            <v>9</v>
          </cell>
          <cell r="S10" t="str">
            <v>September</v>
          </cell>
        </row>
        <row r="11">
          <cell r="R11">
            <v>10</v>
          </cell>
          <cell r="S11" t="str">
            <v>October</v>
          </cell>
        </row>
        <row r="12">
          <cell r="R12">
            <v>11</v>
          </cell>
          <cell r="S12" t="str">
            <v>November</v>
          </cell>
        </row>
        <row r="13">
          <cell r="R13">
            <v>12</v>
          </cell>
          <cell r="S13" t="str">
            <v>December</v>
          </cell>
        </row>
      </sheetData>
      <sheetData sheetId="4"/>
      <sheetData sheetId="5" refreshError="1">
        <row r="40">
          <cell r="D40">
            <v>165489017.34000003</v>
          </cell>
          <cell r="E40">
            <v>372014853</v>
          </cell>
          <cell r="F40">
            <v>328275526</v>
          </cell>
          <cell r="G40">
            <v>307956109</v>
          </cell>
          <cell r="H40">
            <v>297004741</v>
          </cell>
          <cell r="I40">
            <v>299080847</v>
          </cell>
          <cell r="J40">
            <v>330097222</v>
          </cell>
          <cell r="K40">
            <v>329996296</v>
          </cell>
          <cell r="L40">
            <v>331533822</v>
          </cell>
          <cell r="M40">
            <v>321655581</v>
          </cell>
          <cell r="N40">
            <v>315539410</v>
          </cell>
          <cell r="O40">
            <v>0</v>
          </cell>
        </row>
      </sheetData>
      <sheetData sheetId="6"/>
      <sheetData sheetId="7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paper Index"/>
      <sheetName val="Table 1"/>
      <sheetName val="(Exh.1) A1 Scalar Method"/>
      <sheetName val="(Exh.2)09-035-15 Comm Ord Methd"/>
      <sheetName val="(Exh.3) A2 Method"/>
      <sheetName val="(Exh.4) A3 Method"/>
      <sheetName val="(5.1) UT Allocated Actual NPC"/>
      <sheetName val="(5.2) Adj Actual NPC by Cat"/>
      <sheetName val="(5.3) Adj Actual NPC"/>
      <sheetName val="(5.4) Adjustments"/>
      <sheetName val="(5.5) Actual NPC"/>
      <sheetName val="(6.1) Prorated Base NPC"/>
      <sheetName val="(6.2) Allctd Base NPC (GRC12)"/>
      <sheetName val="(6.3) Base NPC by Cat (GRC12)"/>
      <sheetName val="(6.4) Base UTGRC12 Stlmt NPC"/>
      <sheetName val="(7.1) Wheeling Revenues"/>
      <sheetName val="(8.1) Actual Factors"/>
      <sheetName val="(8.2) Dynamic Scalar"/>
      <sheetName val="(8.3) Utah Sale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7">
          <cell r="F7">
            <v>41061</v>
          </cell>
          <cell r="G7">
            <v>41091</v>
          </cell>
          <cell r="H7">
            <v>41122</v>
          </cell>
          <cell r="I7">
            <v>41153</v>
          </cell>
          <cell r="J7">
            <v>41183</v>
          </cell>
          <cell r="K7">
            <v>41214</v>
          </cell>
          <cell r="L7">
            <v>41244</v>
          </cell>
          <cell r="M7">
            <v>41275</v>
          </cell>
          <cell r="N7">
            <v>41306</v>
          </cell>
          <cell r="O7">
            <v>41334</v>
          </cell>
          <cell r="P7">
            <v>41365</v>
          </cell>
          <cell r="Q7">
            <v>41395</v>
          </cell>
        </row>
      </sheetData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paper Index"/>
      <sheetName val="Table 1"/>
      <sheetName val="(Exh.1) A1 Scalar Method"/>
      <sheetName val="(Exh.2)09-03-15 Comm Ord Method"/>
      <sheetName val="(Exh.3) A2 Method"/>
      <sheetName val="(Exh.4) A3 Method"/>
      <sheetName val="(5.1) UT Allocated Actual NPC"/>
      <sheetName val="(5.2) Adj Actual NPC by Cat"/>
      <sheetName val="(5.3) Adj Actual NPC"/>
      <sheetName val="(5.4) Adjustments"/>
      <sheetName val="(5.5) Actual NPC"/>
      <sheetName val="(6.1) Prorated Base NPC"/>
      <sheetName val="(6.2) Allcted Base NPC (GRC11)"/>
      <sheetName val="(4.3) Base NPC by Cat (GRC11)"/>
      <sheetName val="(6.4) Base UTGRC11 Stlmt NPC"/>
      <sheetName val="(6.5) Allctd Base NPC (GRC12)"/>
      <sheetName val="(6.6) Base NPC by Cat (GRC12)"/>
      <sheetName val="(6.7) Base UTGRC12 Stlmt NPC"/>
      <sheetName val="(7.1) Wheeling Revenues"/>
      <sheetName val="(8.1) Actual Factors"/>
      <sheetName val="(8.2) Dynamic Scalar"/>
      <sheetName val="(8.3) Utah Sales"/>
      <sheetName val="Check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7">
          <cell r="F7">
            <v>41061</v>
          </cell>
          <cell r="G7">
            <v>41091</v>
          </cell>
          <cell r="H7">
            <v>41122</v>
          </cell>
          <cell r="I7">
            <v>41153</v>
          </cell>
          <cell r="J7">
            <v>41183</v>
          </cell>
          <cell r="K7">
            <v>41214</v>
          </cell>
          <cell r="L7">
            <v>41244</v>
          </cell>
          <cell r="M7">
            <v>41275</v>
          </cell>
          <cell r="N7">
            <v>41306</v>
          </cell>
          <cell r="O7">
            <v>41334</v>
          </cell>
          <cell r="P7">
            <v>41365</v>
          </cell>
          <cell r="Q7">
            <v>41395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"/>
      <sheetName val="Function"/>
      <sheetName val="Function1149"/>
      <sheetName val="Report"/>
      <sheetName val="Results"/>
      <sheetName val="NRO"/>
      <sheetName val="ADJ"/>
      <sheetName val="UTCR"/>
      <sheetName val="URO"/>
      <sheetName val="Unadj Data for RAM"/>
      <sheetName val="CWC"/>
      <sheetName val="Inputs"/>
      <sheetName val="Adjustments"/>
      <sheetName val="Adj Summary"/>
      <sheetName val="UIEC Summary"/>
      <sheetName val="UAE Summary"/>
      <sheetName val="AARP Summary"/>
      <sheetName val="Revised(2) DPU Summary"/>
      <sheetName val="Revised DPU Summary"/>
      <sheetName val="DPU Summary"/>
      <sheetName val="Revised Inputs"/>
      <sheetName val="Variables"/>
      <sheetName val="Factors"/>
      <sheetName val="Embedded Cost"/>
      <sheetName val="Check"/>
      <sheetName val="WelcomeDialog"/>
      <sheetName val="Mac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ess"/>
      <sheetName val="xxxxxxxxx FYI"/>
      <sheetName val="Introduction"/>
      <sheetName val="Variables"/>
      <sheetName val="Cover"/>
      <sheetName val="Table of Cnts"/>
      <sheetName val="Table 1"/>
      <sheetName val="Table 2"/>
      <sheetName val="Table 3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1 Year MC"/>
      <sheetName val="Capacity"/>
      <sheetName val="Energy"/>
      <sheetName val="Transm1"/>
      <sheetName val="Transm2"/>
      <sheetName val="Tran_OM"/>
      <sheetName val="TransLF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XFMR 4"/>
      <sheetName val="XFMR 5"/>
      <sheetName val="Dist OM"/>
      <sheetName val="Meters 1"/>
      <sheetName val="Meters 2"/>
      <sheetName val="Meters 2a"/>
      <sheetName val="Meters 3"/>
      <sheetName val="Meters 4"/>
      <sheetName val="Meters 5"/>
      <sheetName val="Services 1"/>
      <sheetName val="Services 2"/>
      <sheetName val="Services 2a"/>
      <sheetName val="Services 3"/>
      <sheetName val="Cust Exp Sum"/>
      <sheetName val="Cust Exp Year"/>
      <sheetName val="Acct 902"/>
      <sheetName val="Acct 903"/>
      <sheetName val="AG Expenses"/>
      <sheetName val="Charge 1"/>
      <sheetName val="Charge 2"/>
      <sheetName val="Charge 3"/>
      <sheetName val="Charge 4"/>
      <sheetName val="Charge 5"/>
      <sheetName val="Charge 6"/>
      <sheetName val="Losses"/>
      <sheetName val="Cust Data 1"/>
      <sheetName val="Cust Data 2"/>
      <sheetName val="Cust Data 3"/>
      <sheetName val="Cust Data 4"/>
      <sheetName val="Cust Data 5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>
        <row r="14">
          <cell r="E14">
            <v>2002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 refreshError="1"/>
      <sheetData sheetId="59"/>
      <sheetData sheetId="60" refreshError="1"/>
      <sheetData sheetId="61" refreshError="1"/>
      <sheetData sheetId="62" refreshError="1"/>
      <sheetData sheetId="63" refreshError="1"/>
      <sheetData sheetId="6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B22" t="str">
            <v>27</v>
          </cell>
          <cell r="G22">
            <v>1931963666</v>
          </cell>
          <cell r="J22">
            <v>1056426642</v>
          </cell>
        </row>
        <row r="23">
          <cell r="B23" t="str">
            <v>36</v>
          </cell>
          <cell r="G23">
            <v>70121</v>
          </cell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able - Earned"/>
      <sheetName val="Summary Table - Target"/>
      <sheetName val="Unit Costs -  Earned"/>
      <sheetName val="Unit Costs - Target"/>
      <sheetName val="Sheet1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Facto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4">
          <cell r="C4" t="str">
            <v>Rocky Mountain Power</v>
          </cell>
        </row>
        <row r="6">
          <cell r="L6">
            <v>7.9056474297646423E-2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Facto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4">
          <cell r="C4" t="str">
            <v>Rocky Mountain Power</v>
          </cell>
        </row>
        <row r="6">
          <cell r="L6">
            <v>7.9056474297646423E-2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ver"/>
      <sheetName val="Table of Cnts"/>
      <sheetName val="Variables"/>
      <sheetName val="Table 1"/>
      <sheetName val="Table 2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5 Year MC"/>
      <sheetName val="1 Year MC"/>
      <sheetName val="Streetlight 1"/>
      <sheetName val="Streetlight 2"/>
      <sheetName val="Streetlight 3"/>
      <sheetName val="Streetlight 4"/>
      <sheetName val="Capacity"/>
      <sheetName val="Energy"/>
      <sheetName val="Transm1"/>
      <sheetName val="Transm2"/>
      <sheetName val="TranGrowth"/>
      <sheetName val="TranIndex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Meters 5"/>
      <sheetName val="Services 1"/>
      <sheetName val="Services 2"/>
      <sheetName val="Services 3"/>
      <sheetName val="Cust Exp Sum"/>
      <sheetName val="Cust Exp Year"/>
      <sheetName val="Exp Acct 902"/>
      <sheetName val="Exp Acct 903"/>
      <sheetName val="AG Expenses"/>
      <sheetName val="Charge 1"/>
      <sheetName val="Charge 2"/>
      <sheetName val="Charge 3"/>
      <sheetName val="Charge 4"/>
      <sheetName val="Charge 5"/>
      <sheetName val="Losses"/>
      <sheetName val="Cust Data 1"/>
      <sheetName val="Cust Data 2"/>
      <sheetName val="Cust Data 3"/>
      <sheetName val="Cust Data 4"/>
      <sheetName val="Index"/>
      <sheetName val="SumTable"/>
      <sheetName val="Mod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>
        <row r="1">
          <cell r="A1" t="str">
            <v>Transm2</v>
          </cell>
        </row>
        <row r="2">
          <cell r="A2" t="str">
            <v>PacifiCorp</v>
          </cell>
        </row>
        <row r="3">
          <cell r="A3" t="str">
            <v>Oregon Marginal Cost Study</v>
          </cell>
        </row>
        <row r="4">
          <cell r="A4" t="str">
            <v xml:space="preserve">Transmission Capital Budget </v>
          </cell>
        </row>
        <row r="5">
          <cell r="A5" t="str">
            <v>1991 Actual to 2000 Forecasted</v>
          </cell>
        </row>
        <row r="6">
          <cell r="A6" t="str">
            <v>December 2001 Dollars  (in 000's)</v>
          </cell>
        </row>
        <row r="9">
          <cell r="C9" t="str">
            <v>(A)</v>
          </cell>
          <cell r="D9" t="str">
            <v>(B)</v>
          </cell>
          <cell r="E9" t="str">
            <v>(C)</v>
          </cell>
          <cell r="F9" t="str">
            <v>(D)</v>
          </cell>
          <cell r="G9" t="str">
            <v>(E)</v>
          </cell>
          <cell r="H9" t="str">
            <v>(F)</v>
          </cell>
          <cell r="I9" t="str">
            <v>(G)</v>
          </cell>
          <cell r="J9" t="str">
            <v>(H)</v>
          </cell>
          <cell r="K9" t="str">
            <v>(I)</v>
          </cell>
          <cell r="L9" t="str">
            <v>(J)</v>
          </cell>
          <cell r="M9" t="str">
            <v>(K)</v>
          </cell>
        </row>
        <row r="10">
          <cell r="A10" t="str">
            <v/>
          </cell>
        </row>
        <row r="11">
          <cell r="C11" t="str">
            <v xml:space="preserve">Actual </v>
          </cell>
          <cell r="H11" t="str">
            <v>Forecast</v>
          </cell>
          <cell r="M11" t="str">
            <v>Total</v>
          </cell>
        </row>
        <row r="13">
          <cell r="A13" t="str">
            <v>Line</v>
          </cell>
          <cell r="B13" t="str">
            <v>Description</v>
          </cell>
          <cell r="C13">
            <v>1991</v>
          </cell>
          <cell r="D13">
            <v>1992</v>
          </cell>
          <cell r="E13">
            <v>1993</v>
          </cell>
          <cell r="F13">
            <v>1994</v>
          </cell>
          <cell r="G13">
            <v>1995</v>
          </cell>
          <cell r="H13">
            <v>1996</v>
          </cell>
          <cell r="I13">
            <v>1997</v>
          </cell>
          <cell r="J13">
            <v>1998</v>
          </cell>
          <cell r="K13">
            <v>1999</v>
          </cell>
          <cell r="L13">
            <v>2000</v>
          </cell>
        </row>
        <row r="14">
          <cell r="A14" t="str">
            <v/>
          </cell>
          <cell r="C14" t="str">
            <v/>
          </cell>
          <cell r="M14" t="str">
            <v/>
          </cell>
        </row>
        <row r="15">
          <cell r="A15">
            <v>1</v>
          </cell>
          <cell r="B15" t="str">
            <v>Bulk Power Lines</v>
          </cell>
          <cell r="C15">
            <v>19953.24855</v>
          </cell>
          <cell r="D15">
            <v>47593.200360000003</v>
          </cell>
          <cell r="E15">
            <v>20466.656409999992</v>
          </cell>
          <cell r="F15">
            <v>13169.252369999998</v>
          </cell>
          <cell r="G15">
            <v>9.9316114400000011</v>
          </cell>
          <cell r="H15">
            <v>9554.5499999999993</v>
          </cell>
          <cell r="I15">
            <v>10204.283743488439</v>
          </cell>
          <cell r="J15">
            <v>9791.8699221328316</v>
          </cell>
          <cell r="K15">
            <v>10280.104775469861</v>
          </cell>
          <cell r="L15">
            <v>10572.43210686645</v>
          </cell>
          <cell r="M15">
            <v>151595.52984939757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  <cell r="B18" t="str">
            <v>Growth Related Major Projects</v>
          </cell>
          <cell r="C18">
            <v>29181.678279999996</v>
          </cell>
          <cell r="D18">
            <v>45403.327870000008</v>
          </cell>
          <cell r="E18">
            <v>44288.200159999978</v>
          </cell>
          <cell r="F18">
            <v>33509.593870000004</v>
          </cell>
          <cell r="G18">
            <v>11448.850963000001</v>
          </cell>
          <cell r="H18">
            <v>17999.156999999999</v>
          </cell>
          <cell r="I18">
            <v>18518.323394755436</v>
          </cell>
          <cell r="J18">
            <v>17769.891392244383</v>
          </cell>
          <cell r="K18">
            <v>18655.920351646415</v>
          </cell>
          <cell r="L18">
            <v>19186.424225902392</v>
          </cell>
          <cell r="M18">
            <v>255961.3675075486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  <cell r="B21" t="str">
            <v>Total Transmission</v>
          </cell>
          <cell r="C21">
            <v>103781.4142</v>
          </cell>
          <cell r="D21">
            <v>133326.61134999999</v>
          </cell>
          <cell r="E21">
            <v>118190.50362</v>
          </cell>
          <cell r="F21">
            <v>80792.631999999998</v>
          </cell>
          <cell r="G21">
            <v>17741.290229999999</v>
          </cell>
          <cell r="H21">
            <v>38187.252999999997</v>
          </cell>
          <cell r="I21">
            <v>46566</v>
          </cell>
          <cell r="J21">
            <v>44684</v>
          </cell>
          <cell r="K21">
            <v>46912</v>
          </cell>
          <cell r="L21">
            <v>48246</v>
          </cell>
          <cell r="M21">
            <v>678427.70439999993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  <cell r="B24" t="str">
            <v>Bulk Power Lines - Demand Related</v>
          </cell>
          <cell r="C24">
            <v>6152</v>
          </cell>
          <cell r="D24">
            <v>14673</v>
          </cell>
          <cell r="E24">
            <v>6310</v>
          </cell>
          <cell r="F24">
            <v>4060</v>
          </cell>
          <cell r="G24">
            <v>3</v>
          </cell>
          <cell r="H24">
            <v>2946</v>
          </cell>
          <cell r="I24">
            <v>3146</v>
          </cell>
          <cell r="J24">
            <v>3019</v>
          </cell>
          <cell r="K24">
            <v>3169</v>
          </cell>
          <cell r="L24">
            <v>3259</v>
          </cell>
          <cell r="M24">
            <v>46737</v>
          </cell>
        </row>
        <row r="25">
          <cell r="A25">
            <v>11</v>
          </cell>
          <cell r="B25" t="str">
            <v xml:space="preserve">  Line (1) x Demand Factor   30.83%</v>
          </cell>
        </row>
        <row r="26">
          <cell r="A26">
            <v>12</v>
          </cell>
        </row>
        <row r="27">
          <cell r="A27">
            <v>13</v>
          </cell>
          <cell r="B27" t="str">
            <v>Bulk Power Lines - Energy Related</v>
          </cell>
          <cell r="C27">
            <v>13801.24855</v>
          </cell>
          <cell r="D27">
            <v>32920.200360000003</v>
          </cell>
          <cell r="E27">
            <v>14156.656409999992</v>
          </cell>
          <cell r="F27">
            <v>9109.2523699999983</v>
          </cell>
          <cell r="G27">
            <v>6.9316114400000011</v>
          </cell>
          <cell r="H27">
            <v>6608.5499999999993</v>
          </cell>
          <cell r="I27">
            <v>7058.2837434884386</v>
          </cell>
          <cell r="J27">
            <v>6772.8699221328316</v>
          </cell>
          <cell r="K27">
            <v>7111.1047754698611</v>
          </cell>
          <cell r="L27">
            <v>7313.4321068664503</v>
          </cell>
          <cell r="M27">
            <v>104858.5298493976</v>
          </cell>
        </row>
        <row r="28">
          <cell r="A28">
            <v>14</v>
          </cell>
          <cell r="B28" t="str">
            <v xml:space="preserve">  Line (1) - Line (4)</v>
          </cell>
        </row>
        <row r="29">
          <cell r="A29">
            <v>15</v>
          </cell>
        </row>
        <row r="30">
          <cell r="A30">
            <v>16</v>
          </cell>
          <cell r="B30" t="str">
            <v>Total Growth Demand Related</v>
          </cell>
          <cell r="C30">
            <v>35333.678279999993</v>
          </cell>
          <cell r="D30">
            <v>60076.327870000008</v>
          </cell>
          <cell r="E30">
            <v>50598.200159999978</v>
          </cell>
          <cell r="F30">
            <v>37569.593870000004</v>
          </cell>
          <cell r="G30">
            <v>11451.850963000001</v>
          </cell>
          <cell r="H30">
            <v>20945.156999999999</v>
          </cell>
          <cell r="I30">
            <v>21664.323394755436</v>
          </cell>
          <cell r="J30">
            <v>20788.891392244383</v>
          </cell>
          <cell r="K30">
            <v>21824.920351646415</v>
          </cell>
          <cell r="L30">
            <v>22445.424225902392</v>
          </cell>
          <cell r="M30">
            <v>302698.36750754865</v>
          </cell>
        </row>
        <row r="31">
          <cell r="A31">
            <v>17</v>
          </cell>
          <cell r="B31" t="str">
            <v xml:space="preserve">  Line (2) + Line(4)</v>
          </cell>
        </row>
        <row r="32">
          <cell r="A32">
            <v>18</v>
          </cell>
        </row>
        <row r="33">
          <cell r="A33">
            <v>19</v>
          </cell>
          <cell r="B33" t="str">
            <v>Price Adjustment Factor</v>
          </cell>
          <cell r="C33">
            <v>0.78542888401731026</v>
          </cell>
          <cell r="D33">
            <v>0.83970814446203756</v>
          </cell>
          <cell r="E33">
            <v>0.85185346171079968</v>
          </cell>
          <cell r="F33">
            <v>0.90884668517776346</v>
          </cell>
          <cell r="G33">
            <v>0.93198288721807399</v>
          </cell>
          <cell r="H33">
            <v>0.94399317176423314</v>
          </cell>
          <cell r="I33">
            <v>0.97099776928399373</v>
          </cell>
          <cell r="J33">
            <v>0.97913965835070293</v>
          </cell>
          <cell r="K33">
            <v>0.95871741933262866</v>
          </cell>
          <cell r="L33">
            <v>0.97628885432013446</v>
          </cell>
        </row>
        <row r="34">
          <cell r="A34">
            <v>20</v>
          </cell>
        </row>
        <row r="35">
          <cell r="A35">
            <v>21</v>
          </cell>
          <cell r="B35" t="str">
            <v>$ Demand Related</v>
          </cell>
          <cell r="C35">
            <v>44986</v>
          </cell>
          <cell r="D35">
            <v>71544</v>
          </cell>
          <cell r="E35">
            <v>59398</v>
          </cell>
          <cell r="F35">
            <v>41338</v>
          </cell>
          <cell r="G35">
            <v>12288</v>
          </cell>
          <cell r="H35">
            <v>22188</v>
          </cell>
          <cell r="I35">
            <v>22311</v>
          </cell>
          <cell r="J35">
            <v>21232</v>
          </cell>
          <cell r="K35">
            <v>22765</v>
          </cell>
          <cell r="L35">
            <v>22991</v>
          </cell>
          <cell r="M35">
            <v>341041</v>
          </cell>
        </row>
        <row r="36">
          <cell r="A36">
            <v>22</v>
          </cell>
          <cell r="B36" t="str">
            <v xml:space="preserve">  Line (6) / Line (7)</v>
          </cell>
        </row>
        <row r="37">
          <cell r="A37">
            <v>23</v>
          </cell>
        </row>
        <row r="38">
          <cell r="A38">
            <v>24</v>
          </cell>
          <cell r="B38" t="str">
            <v>$ Energy Related</v>
          </cell>
          <cell r="C38">
            <v>17572</v>
          </cell>
          <cell r="D38">
            <v>39204</v>
          </cell>
          <cell r="E38">
            <v>16619</v>
          </cell>
          <cell r="F38">
            <v>10023</v>
          </cell>
          <cell r="G38">
            <v>7</v>
          </cell>
          <cell r="H38">
            <v>7001</v>
          </cell>
          <cell r="I38">
            <v>7269</v>
          </cell>
          <cell r="J38">
            <v>6917</v>
          </cell>
          <cell r="K38">
            <v>7417</v>
          </cell>
          <cell r="L38">
            <v>7491</v>
          </cell>
          <cell r="M38">
            <v>119520</v>
          </cell>
        </row>
        <row r="39">
          <cell r="A39">
            <v>25</v>
          </cell>
          <cell r="B39" t="str">
            <v xml:space="preserve">  Line (5) / Line (7)</v>
          </cell>
          <cell r="M39" t="str">
            <v/>
          </cell>
        </row>
        <row r="40">
          <cell r="A40">
            <v>26</v>
          </cell>
        </row>
        <row r="41">
          <cell r="A41">
            <v>27</v>
          </cell>
          <cell r="B41" t="str">
            <v>Total Marginal Transmission Investment</v>
          </cell>
          <cell r="C41">
            <v>62558</v>
          </cell>
          <cell r="D41">
            <v>110748</v>
          </cell>
          <cell r="E41">
            <v>76017</v>
          </cell>
          <cell r="F41">
            <v>51361</v>
          </cell>
          <cell r="G41">
            <v>12295</v>
          </cell>
          <cell r="H41">
            <v>29189</v>
          </cell>
          <cell r="I41">
            <v>29580</v>
          </cell>
          <cell r="J41">
            <v>28149</v>
          </cell>
          <cell r="K41">
            <v>30182</v>
          </cell>
          <cell r="L41">
            <v>30482</v>
          </cell>
          <cell r="M41">
            <v>460561</v>
          </cell>
        </row>
        <row r="44">
          <cell r="A44" t="str">
            <v>Footnotes:</v>
          </cell>
        </row>
        <row r="45">
          <cell r="A45" t="str">
            <v xml:space="preserve">   Lines 1 - 7</v>
          </cell>
          <cell r="B45" t="str">
            <v>Actual &amp; Forecast Demand Related Investments</v>
          </cell>
        </row>
        <row r="46">
          <cell r="A46" t="str">
            <v xml:space="preserve">   Line   10</v>
          </cell>
          <cell r="B46" t="str">
            <v>Demand Portion of Transmission  = 8.33 / (8.33+18.69) =</v>
          </cell>
          <cell r="D46">
            <v>0.30830000000000002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nter "/>
      <sheetName val="Summer"/>
      <sheetName val="Data for Graphs"/>
      <sheetName val="Load Data"/>
      <sheetName val=" Rates"/>
    </sheetNames>
    <sheetDataSet>
      <sheetData sheetId="0" refreshError="1"/>
      <sheetData sheetId="1" refreshError="1"/>
      <sheetData sheetId="2"/>
      <sheetData sheetId="3" refreshError="1">
        <row r="9">
          <cell r="D9">
            <v>0.90520119460000015</v>
          </cell>
          <cell r="E9">
            <v>0.93346893951935483</v>
          </cell>
          <cell r="F9">
            <v>0.96418569997000003</v>
          </cell>
          <cell r="G9">
            <v>0.96133885848666645</v>
          </cell>
          <cell r="H9">
            <v>0.9010269861000002</v>
          </cell>
        </row>
        <row r="10">
          <cell r="D10">
            <v>1.2584679717032259</v>
          </cell>
          <cell r="E10">
            <v>1.3018970910096772</v>
          </cell>
          <cell r="F10">
            <v>1.3225873683933334</v>
          </cell>
          <cell r="G10">
            <v>1.2396794872966668</v>
          </cell>
          <cell r="H10">
            <v>1.2138008352933336</v>
          </cell>
        </row>
        <row r="11">
          <cell r="D11">
            <v>1.6369457053516132</v>
          </cell>
          <cell r="E11">
            <v>1.6270267336903226</v>
          </cell>
          <cell r="F11">
            <v>1.6540135818000001</v>
          </cell>
          <cell r="G11">
            <v>1.60663419469</v>
          </cell>
          <cell r="H11">
            <v>1.5212484592700004</v>
          </cell>
        </row>
        <row r="12">
          <cell r="D12">
            <v>1.4283983964935485</v>
          </cell>
          <cell r="E12">
            <v>1.3711913876451611</v>
          </cell>
          <cell r="F12">
            <v>1.3525660396466668</v>
          </cell>
          <cell r="G12">
            <v>1.3851226088133333</v>
          </cell>
          <cell r="H12">
            <v>1.3861692652299995</v>
          </cell>
        </row>
        <row r="20">
          <cell r="D20">
            <v>1.2623804052903227</v>
          </cell>
          <cell r="E20">
            <v>1.2843901397096773</v>
          </cell>
          <cell r="F20">
            <v>1.29208837114</v>
          </cell>
          <cell r="G20">
            <v>1.2668765718733335</v>
          </cell>
          <cell r="H20">
            <v>1.2225279635733335</v>
          </cell>
        </row>
        <row r="21">
          <cell r="D21">
            <v>1.3858586579870964</v>
          </cell>
          <cell r="E21">
            <v>1.437714519590322</v>
          </cell>
          <cell r="F21">
            <v>1.4296717071333338</v>
          </cell>
          <cell r="G21">
            <v>1.3687621442066664</v>
          </cell>
          <cell r="H21">
            <v>1.3150381558666664</v>
          </cell>
        </row>
        <row r="22">
          <cell r="D22">
            <v>1.4870278933064511</v>
          </cell>
          <cell r="E22">
            <v>1.6077495270000002</v>
          </cell>
          <cell r="F22">
            <v>1.56576827254</v>
          </cell>
          <cell r="G22">
            <v>1.4854433785333334</v>
          </cell>
          <cell r="H22">
            <v>1.4689444354800005</v>
          </cell>
        </row>
      </sheetData>
      <sheetData sheetId="4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Book4"/>
      <sheetName val="Weather Present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 mthly bal acct - Oct 04 new"/>
      <sheetName val=" mthly bal acct - adjust 11-03"/>
      <sheetName val=" sch 191 &amp; 192 "/>
      <sheetName val="OPUC memo "/>
      <sheetName val=" summary by type &amp; year "/>
      <sheetName val=" annual balance "/>
      <sheetName val="GLSU UPLD"/>
      <sheetName val=" mthly bal acct "/>
      <sheetName val=" deferred costs "/>
      <sheetName val="  NLR  "/>
      <sheetName val=" deferrsl &amp; amort "/>
      <sheetName val=" measures "/>
      <sheetName val="Loans"/>
      <sheetName val=" project costs "/>
      <sheetName val=" sch 191 &amp; 192  with adj"/>
      <sheetName val=" mthly bal acct - adjusted Oct"/>
      <sheetName val=" mthly bal acct - adjusted Nov"/>
      <sheetName val=" mthly bal acct - adjusted"/>
      <sheetName val=" fy04 accrual post 7-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Facto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4">
          <cell r="C4" t="str">
            <v>Rocky Mountain Power</v>
          </cell>
        </row>
        <row r="5">
          <cell r="C5" t="str">
            <v>State of Utah</v>
          </cell>
        </row>
        <row r="6">
          <cell r="C6" t="str">
            <v>12 Months Ended May 2013</v>
          </cell>
          <cell r="L6">
            <v>7.9056500159652543E-2</v>
          </cell>
        </row>
        <row r="10">
          <cell r="D10">
            <v>0.5</v>
          </cell>
        </row>
        <row r="11">
          <cell r="W11">
            <v>2</v>
          </cell>
        </row>
        <row r="17">
          <cell r="H17">
            <v>0.37950999999999996</v>
          </cell>
        </row>
        <row r="21">
          <cell r="H21">
            <v>0.61916126045466735</v>
          </cell>
        </row>
        <row r="24">
          <cell r="D24">
            <v>0.3694468413935218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58">
          <cell r="H58">
            <v>5752868671.222681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20">
          <cell r="F120" t="str">
            <v>2010 Protocol</v>
          </cell>
        </row>
      </sheetData>
      <sheetData sheetId="18" refreshError="1">
        <row r="4">
          <cell r="I4">
            <v>0.73983771349904326</v>
          </cell>
        </row>
      </sheetData>
      <sheetData sheetId="19" refreshError="1">
        <row r="90">
          <cell r="Y90" t="str">
            <v>DIS</v>
          </cell>
        </row>
        <row r="91">
          <cell r="Y91" t="str">
            <v>METER</v>
          </cell>
        </row>
        <row r="100">
          <cell r="Y100">
            <v>0</v>
          </cell>
        </row>
        <row r="101">
          <cell r="Y101">
            <v>0</v>
          </cell>
        </row>
        <row r="105">
          <cell r="F105">
            <v>9669240.0363846496</v>
          </cell>
        </row>
        <row r="114">
          <cell r="F114">
            <v>0</v>
          </cell>
          <cell r="Y114">
            <v>0</v>
          </cell>
        </row>
        <row r="115">
          <cell r="Y115">
            <v>0</v>
          </cell>
        </row>
        <row r="121">
          <cell r="Y121">
            <v>0</v>
          </cell>
        </row>
        <row r="124">
          <cell r="Y124">
            <v>0</v>
          </cell>
        </row>
        <row r="125">
          <cell r="Y125">
            <v>0</v>
          </cell>
        </row>
        <row r="130">
          <cell r="Y130">
            <v>0</v>
          </cell>
        </row>
        <row r="131">
          <cell r="Y131">
            <v>301836.05159100029</v>
          </cell>
        </row>
        <row r="132">
          <cell r="F132">
            <v>4531648.3099999996</v>
          </cell>
          <cell r="Y132">
            <v>136705.0518223579</v>
          </cell>
        </row>
        <row r="138">
          <cell r="F138">
            <v>3004767.94</v>
          </cell>
          <cell r="Y138">
            <v>0</v>
          </cell>
        </row>
        <row r="139">
          <cell r="Y139">
            <v>0</v>
          </cell>
        </row>
        <row r="140">
          <cell r="Y140">
            <v>0</v>
          </cell>
        </row>
        <row r="143">
          <cell r="F143">
            <v>3887173.55</v>
          </cell>
          <cell r="Y143">
            <v>0</v>
          </cell>
        </row>
        <row r="144">
          <cell r="Y144">
            <v>0</v>
          </cell>
        </row>
        <row r="145">
          <cell r="Y145">
            <v>0</v>
          </cell>
        </row>
        <row r="150">
          <cell r="Y150">
            <v>0</v>
          </cell>
        </row>
        <row r="153">
          <cell r="F153">
            <v>3377867.6000000006</v>
          </cell>
          <cell r="Y153">
            <v>114590.52530521387</v>
          </cell>
        </row>
        <row r="154">
          <cell r="Y154">
            <v>0</v>
          </cell>
        </row>
        <row r="155">
          <cell r="Y155">
            <v>13675.41245418739</v>
          </cell>
        </row>
        <row r="156">
          <cell r="Y156">
            <v>128265.93775940126</v>
          </cell>
        </row>
        <row r="159">
          <cell r="F159">
            <v>-256595.15999999642</v>
          </cell>
          <cell r="Y159">
            <v>0</v>
          </cell>
        </row>
        <row r="160">
          <cell r="Y160">
            <v>0</v>
          </cell>
        </row>
        <row r="161">
          <cell r="Y161">
            <v>0</v>
          </cell>
        </row>
        <row r="164">
          <cell r="Y164">
            <v>0</v>
          </cell>
        </row>
        <row r="177">
          <cell r="Y177">
            <v>0</v>
          </cell>
        </row>
        <row r="182">
          <cell r="Y182">
            <v>0</v>
          </cell>
        </row>
        <row r="186">
          <cell r="Y186">
            <v>0</v>
          </cell>
        </row>
        <row r="189">
          <cell r="Y189">
            <v>0</v>
          </cell>
        </row>
        <row r="193">
          <cell r="Y193">
            <v>0</v>
          </cell>
        </row>
        <row r="202">
          <cell r="Y202">
            <v>-4941.386957932752</v>
          </cell>
        </row>
        <row r="209">
          <cell r="Y209">
            <v>0</v>
          </cell>
        </row>
        <row r="212">
          <cell r="Y212">
            <v>0</v>
          </cell>
        </row>
        <row r="213">
          <cell r="Y213">
            <v>0</v>
          </cell>
        </row>
        <row r="214">
          <cell r="Y214">
            <v>0</v>
          </cell>
        </row>
        <row r="224">
          <cell r="Y224">
            <v>0</v>
          </cell>
        </row>
        <row r="225">
          <cell r="Y225">
            <v>0</v>
          </cell>
        </row>
        <row r="228">
          <cell r="Y228">
            <v>0</v>
          </cell>
        </row>
        <row r="229">
          <cell r="Y229">
            <v>0</v>
          </cell>
        </row>
        <row r="230">
          <cell r="Y230">
            <v>0</v>
          </cell>
        </row>
        <row r="231">
          <cell r="Y231">
            <v>0</v>
          </cell>
        </row>
        <row r="232">
          <cell r="Y232">
            <v>0</v>
          </cell>
        </row>
        <row r="233">
          <cell r="Y233">
            <v>0</v>
          </cell>
        </row>
        <row r="236">
          <cell r="Y236">
            <v>0</v>
          </cell>
        </row>
        <row r="237">
          <cell r="Y237">
            <v>0</v>
          </cell>
        </row>
        <row r="238">
          <cell r="Y238">
            <v>0</v>
          </cell>
        </row>
        <row r="241">
          <cell r="Y241">
            <v>0</v>
          </cell>
        </row>
        <row r="242">
          <cell r="Y242">
            <v>0</v>
          </cell>
        </row>
        <row r="243">
          <cell r="Y243">
            <v>0</v>
          </cell>
        </row>
        <row r="246">
          <cell r="Y246">
            <v>0</v>
          </cell>
        </row>
        <row r="247">
          <cell r="Y247">
            <v>0</v>
          </cell>
        </row>
        <row r="248">
          <cell r="Y248">
            <v>0</v>
          </cell>
        </row>
        <row r="251">
          <cell r="Y251">
            <v>0</v>
          </cell>
        </row>
        <row r="252">
          <cell r="Y252">
            <v>0</v>
          </cell>
        </row>
        <row r="253">
          <cell r="Y253">
            <v>0</v>
          </cell>
        </row>
        <row r="254">
          <cell r="Y254">
            <v>0</v>
          </cell>
        </row>
        <row r="258">
          <cell r="Y258">
            <v>0</v>
          </cell>
        </row>
        <row r="259">
          <cell r="Y259">
            <v>0</v>
          </cell>
        </row>
        <row r="263">
          <cell r="Y263">
            <v>0</v>
          </cell>
        </row>
        <row r="264">
          <cell r="Y264">
            <v>0</v>
          </cell>
        </row>
        <row r="268">
          <cell r="Y268">
            <v>0</v>
          </cell>
        </row>
        <row r="269">
          <cell r="Y269">
            <v>0</v>
          </cell>
        </row>
        <row r="273">
          <cell r="Y273">
            <v>0</v>
          </cell>
        </row>
        <row r="274">
          <cell r="Y274">
            <v>0</v>
          </cell>
        </row>
        <row r="278">
          <cell r="Y278">
            <v>0</v>
          </cell>
        </row>
        <row r="279">
          <cell r="Y279">
            <v>0</v>
          </cell>
        </row>
        <row r="283">
          <cell r="Y283">
            <v>0</v>
          </cell>
        </row>
        <row r="284">
          <cell r="Y284">
            <v>0</v>
          </cell>
        </row>
        <row r="290">
          <cell r="Y290">
            <v>0</v>
          </cell>
        </row>
        <row r="294">
          <cell r="Y294">
            <v>0</v>
          </cell>
        </row>
        <row r="299">
          <cell r="Y299">
            <v>0</v>
          </cell>
        </row>
        <row r="303">
          <cell r="Y303">
            <v>0</v>
          </cell>
        </row>
        <row r="307">
          <cell r="Y307">
            <v>0</v>
          </cell>
        </row>
        <row r="311">
          <cell r="Y311">
            <v>0</v>
          </cell>
        </row>
        <row r="315">
          <cell r="Y315">
            <v>0</v>
          </cell>
        </row>
        <row r="319">
          <cell r="Y319">
            <v>0</v>
          </cell>
        </row>
        <row r="323">
          <cell r="Y323">
            <v>0</v>
          </cell>
        </row>
        <row r="327">
          <cell r="Y327">
            <v>0</v>
          </cell>
        </row>
        <row r="331">
          <cell r="Y331">
            <v>0</v>
          </cell>
        </row>
        <row r="338">
          <cell r="Y338">
            <v>0</v>
          </cell>
        </row>
        <row r="342">
          <cell r="Y342">
            <v>0</v>
          </cell>
        </row>
        <row r="346">
          <cell r="Y346">
            <v>0</v>
          </cell>
        </row>
        <row r="350">
          <cell r="Y350">
            <v>0</v>
          </cell>
        </row>
        <row r="354">
          <cell r="Y354">
            <v>0</v>
          </cell>
        </row>
        <row r="358">
          <cell r="Y358">
            <v>0</v>
          </cell>
        </row>
        <row r="362">
          <cell r="Y362">
            <v>0</v>
          </cell>
        </row>
        <row r="366">
          <cell r="Y366">
            <v>0</v>
          </cell>
        </row>
        <row r="370">
          <cell r="Y370">
            <v>0</v>
          </cell>
        </row>
        <row r="374">
          <cell r="Y374">
            <v>0</v>
          </cell>
        </row>
        <row r="378">
          <cell r="Y378">
            <v>0</v>
          </cell>
        </row>
        <row r="385">
          <cell r="Y385">
            <v>0</v>
          </cell>
        </row>
        <row r="388">
          <cell r="Y388">
            <v>0</v>
          </cell>
        </row>
        <row r="389">
          <cell r="Y389">
            <v>0</v>
          </cell>
        </row>
        <row r="394">
          <cell r="Y394">
            <v>0</v>
          </cell>
        </row>
        <row r="395">
          <cell r="Y395">
            <v>0</v>
          </cell>
        </row>
        <row r="398">
          <cell r="Y398">
            <v>0</v>
          </cell>
        </row>
        <row r="400">
          <cell r="Y400">
            <v>0</v>
          </cell>
        </row>
        <row r="404">
          <cell r="Y404">
            <v>0</v>
          </cell>
        </row>
        <row r="405">
          <cell r="Y405">
            <v>0</v>
          </cell>
        </row>
        <row r="406">
          <cell r="Y406">
            <v>0</v>
          </cell>
        </row>
        <row r="410">
          <cell r="Y410">
            <v>0</v>
          </cell>
        </row>
        <row r="415">
          <cell r="Y415">
            <v>0</v>
          </cell>
        </row>
        <row r="420">
          <cell r="Y420">
            <v>0</v>
          </cell>
        </row>
        <row r="421">
          <cell r="Y421">
            <v>0</v>
          </cell>
        </row>
        <row r="422">
          <cell r="Y422">
            <v>0</v>
          </cell>
        </row>
        <row r="426">
          <cell r="Y426">
            <v>0</v>
          </cell>
        </row>
        <row r="427">
          <cell r="Y427">
            <v>0</v>
          </cell>
        </row>
        <row r="428">
          <cell r="Y428">
            <v>0</v>
          </cell>
        </row>
        <row r="433">
          <cell r="Y433">
            <v>0</v>
          </cell>
        </row>
        <row r="434">
          <cell r="Y434">
            <v>0</v>
          </cell>
        </row>
        <row r="435">
          <cell r="Y435">
            <v>0</v>
          </cell>
        </row>
        <row r="436">
          <cell r="Y436">
            <v>0</v>
          </cell>
        </row>
        <row r="437">
          <cell r="Y437">
            <v>0</v>
          </cell>
        </row>
        <row r="442">
          <cell r="Y442">
            <v>0</v>
          </cell>
        </row>
        <row r="449">
          <cell r="Y449">
            <v>0</v>
          </cell>
        </row>
        <row r="451">
          <cell r="Y451">
            <v>0</v>
          </cell>
        </row>
        <row r="476">
          <cell r="Y476">
            <v>0</v>
          </cell>
        </row>
        <row r="480">
          <cell r="Y480">
            <v>0</v>
          </cell>
        </row>
        <row r="484">
          <cell r="Y484">
            <v>0</v>
          </cell>
        </row>
        <row r="488">
          <cell r="Y488">
            <v>0</v>
          </cell>
        </row>
        <row r="492">
          <cell r="Y492">
            <v>0</v>
          </cell>
        </row>
        <row r="496">
          <cell r="Y496">
            <v>0</v>
          </cell>
        </row>
        <row r="497">
          <cell r="Y497">
            <v>0</v>
          </cell>
        </row>
        <row r="501">
          <cell r="Y501">
            <v>0</v>
          </cell>
        </row>
        <row r="505">
          <cell r="Y505">
            <v>0</v>
          </cell>
        </row>
        <row r="509">
          <cell r="Y509">
            <v>0</v>
          </cell>
        </row>
        <row r="513">
          <cell r="Y513">
            <v>0</v>
          </cell>
        </row>
        <row r="517">
          <cell r="Y517">
            <v>0</v>
          </cell>
        </row>
        <row r="521">
          <cell r="Y521">
            <v>0</v>
          </cell>
        </row>
        <row r="525">
          <cell r="Y525">
            <v>0</v>
          </cell>
        </row>
        <row r="529">
          <cell r="Y529">
            <v>0</v>
          </cell>
        </row>
        <row r="536">
          <cell r="F536">
            <v>6887747.60906268</v>
          </cell>
          <cell r="Y536">
            <v>233659.4296035236</v>
          </cell>
        </row>
        <row r="541">
          <cell r="F541">
            <v>6801957.418670794</v>
          </cell>
          <cell r="Y541">
            <v>0</v>
          </cell>
        </row>
        <row r="546">
          <cell r="F546">
            <v>1717029.9315471314</v>
          </cell>
          <cell r="Y546">
            <v>0</v>
          </cell>
        </row>
        <row r="551">
          <cell r="F551">
            <v>1690032.7532925711</v>
          </cell>
          <cell r="Y551">
            <v>0</v>
          </cell>
        </row>
        <row r="556">
          <cell r="F556">
            <v>279.70370100421121</v>
          </cell>
          <cell r="Y556">
            <v>0</v>
          </cell>
        </row>
        <row r="561">
          <cell r="F561">
            <v>109073.17651547365</v>
          </cell>
          <cell r="Y561">
            <v>109073.17651547365</v>
          </cell>
        </row>
        <row r="566">
          <cell r="F566">
            <v>2093957.1297450361</v>
          </cell>
          <cell r="Y566">
            <v>2093957.1297450361</v>
          </cell>
        </row>
        <row r="571">
          <cell r="F571">
            <v>5568377.0407811385</v>
          </cell>
          <cell r="Y571">
            <v>0</v>
          </cell>
        </row>
        <row r="576">
          <cell r="F576">
            <v>2887682.4332551132</v>
          </cell>
          <cell r="Y576">
            <v>0</v>
          </cell>
        </row>
        <row r="581">
          <cell r="F581">
            <v>649452.55268583796</v>
          </cell>
          <cell r="Y581">
            <v>0</v>
          </cell>
        </row>
        <row r="586">
          <cell r="F586">
            <v>2286640.7954633571</v>
          </cell>
          <cell r="Y586">
            <v>77571.829617146082</v>
          </cell>
        </row>
        <row r="591">
          <cell r="F591">
            <v>779035.55948743632</v>
          </cell>
          <cell r="Y591">
            <v>0</v>
          </cell>
        </row>
        <row r="596">
          <cell r="F596">
            <v>5614196.9840915361</v>
          </cell>
          <cell r="Y596">
            <v>0</v>
          </cell>
        </row>
        <row r="601">
          <cell r="F601">
            <v>41683283.447724432</v>
          </cell>
          <cell r="Y601">
            <v>0</v>
          </cell>
        </row>
        <row r="606">
          <cell r="F606">
            <v>13290306.073330021</v>
          </cell>
          <cell r="Y606">
            <v>0</v>
          </cell>
        </row>
        <row r="611">
          <cell r="F611">
            <v>429753.26392337057</v>
          </cell>
          <cell r="Y611">
            <v>0</v>
          </cell>
        </row>
        <row r="616">
          <cell r="F616">
            <v>2066463.481951908</v>
          </cell>
          <cell r="Y616">
            <v>0</v>
          </cell>
        </row>
        <row r="621">
          <cell r="F621">
            <v>2844221.8788886126</v>
          </cell>
          <cell r="Y621">
            <v>2844221.8788886126</v>
          </cell>
        </row>
        <row r="626">
          <cell r="F626">
            <v>994803.46999627387</v>
          </cell>
          <cell r="Y626">
            <v>0</v>
          </cell>
        </row>
        <row r="633">
          <cell r="Y633">
            <v>0</v>
          </cell>
        </row>
        <row r="638">
          <cell r="Y638">
            <v>0</v>
          </cell>
        </row>
        <row r="643">
          <cell r="Y643">
            <v>0</v>
          </cell>
        </row>
        <row r="649">
          <cell r="Y649">
            <v>0</v>
          </cell>
        </row>
        <row r="654">
          <cell r="Y654">
            <v>0</v>
          </cell>
        </row>
        <row r="661">
          <cell r="Y661">
            <v>0</v>
          </cell>
        </row>
        <row r="666">
          <cell r="Y666">
            <v>0</v>
          </cell>
        </row>
        <row r="671">
          <cell r="Y671">
            <v>0</v>
          </cell>
        </row>
        <row r="676">
          <cell r="Y676">
            <v>0</v>
          </cell>
        </row>
        <row r="683">
          <cell r="Y683">
            <v>0</v>
          </cell>
        </row>
        <row r="688">
          <cell r="Y688">
            <v>0</v>
          </cell>
        </row>
        <row r="693">
          <cell r="Y693">
            <v>0</v>
          </cell>
        </row>
        <row r="698">
          <cell r="Y698">
            <v>0</v>
          </cell>
        </row>
        <row r="705">
          <cell r="Y705">
            <v>0</v>
          </cell>
        </row>
        <row r="707">
          <cell r="Y707">
            <v>310375.33218447777</v>
          </cell>
        </row>
        <row r="711">
          <cell r="Y711">
            <v>0</v>
          </cell>
        </row>
        <row r="713">
          <cell r="Y713">
            <v>-95402.87358030738</v>
          </cell>
        </row>
        <row r="717">
          <cell r="Y717">
            <v>0</v>
          </cell>
        </row>
        <row r="719">
          <cell r="Y719">
            <v>57260.778270756142</v>
          </cell>
        </row>
        <row r="722">
          <cell r="Y722">
            <v>11440.454450226256</v>
          </cell>
        </row>
        <row r="723">
          <cell r="Y723">
            <v>0</v>
          </cell>
        </row>
        <row r="724">
          <cell r="Y724">
            <v>38084.035315421454</v>
          </cell>
        </row>
        <row r="729">
          <cell r="Y729">
            <v>38295.372316114284</v>
          </cell>
        </row>
        <row r="735">
          <cell r="Y735">
            <v>0</v>
          </cell>
        </row>
        <row r="740">
          <cell r="Y740">
            <v>0</v>
          </cell>
        </row>
        <row r="747">
          <cell r="Y747">
            <v>0</v>
          </cell>
        </row>
        <row r="749">
          <cell r="F749">
            <v>0</v>
          </cell>
          <cell r="Y749">
            <v>0</v>
          </cell>
        </row>
        <row r="754">
          <cell r="Y754">
            <v>-75137.926686523118</v>
          </cell>
        </row>
        <row r="757">
          <cell r="Y757">
            <v>14760.454273913067</v>
          </cell>
        </row>
        <row r="758">
          <cell r="Y758">
            <v>0</v>
          </cell>
        </row>
        <row r="759">
          <cell r="Y759">
            <v>159048.03680597671</v>
          </cell>
        </row>
        <row r="765">
          <cell r="Y765">
            <v>26118.329064479803</v>
          </cell>
        </row>
        <row r="771">
          <cell r="Y771">
            <v>155697.72022374539</v>
          </cell>
        </row>
        <row r="779">
          <cell r="Y779">
            <v>0</v>
          </cell>
        </row>
        <row r="780">
          <cell r="Y780">
            <v>0</v>
          </cell>
        </row>
        <row r="781">
          <cell r="Y781">
            <v>0</v>
          </cell>
        </row>
        <row r="782">
          <cell r="Y782">
            <v>0</v>
          </cell>
        </row>
        <row r="787">
          <cell r="Y787">
            <v>0</v>
          </cell>
        </row>
        <row r="792">
          <cell r="Y792">
            <v>0</v>
          </cell>
        </row>
        <row r="796">
          <cell r="Y796">
            <v>0</v>
          </cell>
        </row>
        <row r="797">
          <cell r="Y797">
            <v>0</v>
          </cell>
        </row>
        <row r="798">
          <cell r="Y798">
            <v>0</v>
          </cell>
        </row>
        <row r="799">
          <cell r="Y799">
            <v>0</v>
          </cell>
        </row>
        <row r="805">
          <cell r="Y805">
            <v>0</v>
          </cell>
        </row>
        <row r="808">
          <cell r="Y808">
            <v>0</v>
          </cell>
        </row>
        <row r="809">
          <cell r="Y809">
            <v>0</v>
          </cell>
        </row>
        <row r="810">
          <cell r="Y810">
            <v>0</v>
          </cell>
        </row>
        <row r="811">
          <cell r="Y811">
            <v>0</v>
          </cell>
        </row>
        <row r="812">
          <cell r="Y812">
            <v>0</v>
          </cell>
        </row>
        <row r="813">
          <cell r="Y813">
            <v>0</v>
          </cell>
        </row>
        <row r="814">
          <cell r="Y814">
            <v>0</v>
          </cell>
        </row>
        <row r="815">
          <cell r="Y815">
            <v>0</v>
          </cell>
        </row>
        <row r="816">
          <cell r="Y816">
            <v>0</v>
          </cell>
        </row>
        <row r="817">
          <cell r="Y817">
            <v>2586247.3326061517</v>
          </cell>
        </row>
        <row r="818">
          <cell r="Y818">
            <v>0</v>
          </cell>
        </row>
        <row r="819">
          <cell r="Y819">
            <v>0</v>
          </cell>
        </row>
        <row r="820">
          <cell r="Y820">
            <v>0</v>
          </cell>
        </row>
        <row r="824">
          <cell r="Y824">
            <v>107376.90781654602</v>
          </cell>
        </row>
        <row r="825">
          <cell r="Y825">
            <v>0</v>
          </cell>
        </row>
        <row r="826">
          <cell r="Y826">
            <v>0</v>
          </cell>
        </row>
        <row r="827">
          <cell r="Y827">
            <v>0</v>
          </cell>
        </row>
        <row r="828">
          <cell r="Y828">
            <v>0</v>
          </cell>
        </row>
        <row r="829">
          <cell r="Y829">
            <v>0</v>
          </cell>
        </row>
        <row r="830">
          <cell r="Y830">
            <v>54916.85591158348</v>
          </cell>
        </row>
        <row r="831">
          <cell r="Y831">
            <v>0</v>
          </cell>
        </row>
        <row r="832">
          <cell r="Y832">
            <v>0</v>
          </cell>
        </row>
        <row r="837">
          <cell r="Y837">
            <v>0</v>
          </cell>
        </row>
        <row r="841">
          <cell r="Y841">
            <v>0</v>
          </cell>
        </row>
        <row r="846">
          <cell r="Y846">
            <v>0</v>
          </cell>
        </row>
        <row r="853">
          <cell r="Y853">
            <v>4919.5405773324683</v>
          </cell>
        </row>
        <row r="855">
          <cell r="Y855">
            <v>0</v>
          </cell>
        </row>
        <row r="857">
          <cell r="Y857">
            <v>4931.9956539889781</v>
          </cell>
        </row>
        <row r="861">
          <cell r="Y861">
            <v>0</v>
          </cell>
        </row>
        <row r="864">
          <cell r="Y864">
            <v>-5949.0576384948245</v>
          </cell>
        </row>
        <row r="865">
          <cell r="Y865">
            <v>0</v>
          </cell>
        </row>
        <row r="866">
          <cell r="Y866">
            <v>82363.571767062298</v>
          </cell>
        </row>
        <row r="867">
          <cell r="Y867">
            <v>0</v>
          </cell>
        </row>
        <row r="868">
          <cell r="Y868">
            <v>0</v>
          </cell>
        </row>
        <row r="869">
          <cell r="Y869">
            <v>0</v>
          </cell>
        </row>
        <row r="870">
          <cell r="Y870">
            <v>0</v>
          </cell>
        </row>
        <row r="875">
          <cell r="Y875">
            <v>0</v>
          </cell>
        </row>
        <row r="880">
          <cell r="Y880">
            <v>0</v>
          </cell>
        </row>
        <row r="888">
          <cell r="Y888">
            <v>0</v>
          </cell>
        </row>
        <row r="894">
          <cell r="Y894">
            <v>0</v>
          </cell>
        </row>
        <row r="903">
          <cell r="Y903">
            <v>0</v>
          </cell>
        </row>
        <row r="908">
          <cell r="Y908">
            <v>0</v>
          </cell>
        </row>
        <row r="916">
          <cell r="Y916">
            <v>549039.89401507436</v>
          </cell>
        </row>
        <row r="921">
          <cell r="Y921">
            <v>-14087.793643621151</v>
          </cell>
        </row>
        <row r="926">
          <cell r="Y926">
            <v>0</v>
          </cell>
        </row>
        <row r="957">
          <cell r="Y957">
            <v>-194013.18520466588</v>
          </cell>
        </row>
        <row r="977">
          <cell r="Y977">
            <v>1534765.6425384094</v>
          </cell>
        </row>
        <row r="992">
          <cell r="Y992">
            <v>0</v>
          </cell>
        </row>
        <row r="1011">
          <cell r="Y1011">
            <v>-1285457.044839297</v>
          </cell>
        </row>
        <row r="1026">
          <cell r="Y1026">
            <v>0</v>
          </cell>
        </row>
        <row r="1031">
          <cell r="Y1031">
            <v>0</v>
          </cell>
        </row>
        <row r="1032">
          <cell r="Y1032">
            <v>0</v>
          </cell>
        </row>
        <row r="1033">
          <cell r="Y1033">
            <v>0</v>
          </cell>
        </row>
        <row r="1034">
          <cell r="Y1034">
            <v>0</v>
          </cell>
        </row>
        <row r="1035">
          <cell r="Y1035">
            <v>0</v>
          </cell>
        </row>
        <row r="1036">
          <cell r="Y1036">
            <v>0</v>
          </cell>
        </row>
        <row r="1040">
          <cell r="Y1040">
            <v>0</v>
          </cell>
        </row>
        <row r="1041">
          <cell r="Y1041">
            <v>0</v>
          </cell>
        </row>
        <row r="1042">
          <cell r="Y1042">
            <v>0</v>
          </cell>
        </row>
        <row r="1043">
          <cell r="Y1043">
            <v>-9491.4712869239065</v>
          </cell>
        </row>
        <row r="1044">
          <cell r="Y1044">
            <v>0</v>
          </cell>
        </row>
        <row r="1045">
          <cell r="Y1045">
            <v>-1105.4908293662215</v>
          </cell>
        </row>
        <row r="1049">
          <cell r="Y1049">
            <v>514.62804262538589</v>
          </cell>
        </row>
        <row r="1050">
          <cell r="Y1050">
            <v>0</v>
          </cell>
        </row>
        <row r="1051">
          <cell r="Y1051">
            <v>611188.27432083024</v>
          </cell>
        </row>
        <row r="1052">
          <cell r="Y1052">
            <v>491892.33903849556</v>
          </cell>
        </row>
        <row r="1053">
          <cell r="Y1053">
            <v>0</v>
          </cell>
        </row>
        <row r="1054">
          <cell r="Y1054">
            <v>0</v>
          </cell>
        </row>
        <row r="1055">
          <cell r="Y1055">
            <v>0</v>
          </cell>
        </row>
        <row r="1056">
          <cell r="Y1056">
            <v>0</v>
          </cell>
        </row>
        <row r="1057">
          <cell r="Y1057">
            <v>0</v>
          </cell>
        </row>
        <row r="1058">
          <cell r="Y1058">
            <v>66482.424861603082</v>
          </cell>
        </row>
        <row r="1059">
          <cell r="Y1059">
            <v>0</v>
          </cell>
        </row>
        <row r="1060">
          <cell r="Y1060">
            <v>0</v>
          </cell>
        </row>
        <row r="1061">
          <cell r="Y1061">
            <v>0</v>
          </cell>
        </row>
        <row r="1062">
          <cell r="Y1062">
            <v>2673734.0565705975</v>
          </cell>
        </row>
        <row r="1068">
          <cell r="Y1068">
            <v>0</v>
          </cell>
        </row>
        <row r="1069">
          <cell r="Y1069">
            <v>0</v>
          </cell>
        </row>
        <row r="1070">
          <cell r="Y1070">
            <v>0</v>
          </cell>
        </row>
        <row r="1073">
          <cell r="Y1073">
            <v>0</v>
          </cell>
        </row>
        <row r="1074">
          <cell r="Y1074">
            <v>0</v>
          </cell>
        </row>
        <row r="1075">
          <cell r="Y1075">
            <v>3117.2500792954934</v>
          </cell>
        </row>
        <row r="1076">
          <cell r="Y1076">
            <v>0</v>
          </cell>
        </row>
        <row r="1077">
          <cell r="Y1077">
            <v>0</v>
          </cell>
        </row>
        <row r="1078">
          <cell r="Y1078">
            <v>-41869.937946670994</v>
          </cell>
        </row>
        <row r="1082">
          <cell r="Y1082">
            <v>0</v>
          </cell>
        </row>
        <row r="1083">
          <cell r="Y1083">
            <v>0</v>
          </cell>
        </row>
        <row r="1084">
          <cell r="Y1084">
            <v>615063.87669115607</v>
          </cell>
        </row>
        <row r="1085">
          <cell r="Y1085">
            <v>0</v>
          </cell>
        </row>
        <row r="1086">
          <cell r="Y1086">
            <v>254.20817479575297</v>
          </cell>
        </row>
        <row r="1087">
          <cell r="Y1087">
            <v>0</v>
          </cell>
        </row>
        <row r="1088">
          <cell r="Y1088">
            <v>0</v>
          </cell>
        </row>
        <row r="1089">
          <cell r="Y1089">
            <v>0</v>
          </cell>
        </row>
        <row r="1090">
          <cell r="Y1090">
            <v>240834.08021339832</v>
          </cell>
        </row>
        <row r="1091">
          <cell r="Y1091">
            <v>-1083.4518747593802</v>
          </cell>
        </row>
        <row r="1092">
          <cell r="Y1092">
            <v>7142188.3529288154</v>
          </cell>
        </row>
        <row r="1093">
          <cell r="Y1093">
            <v>0</v>
          </cell>
        </row>
        <row r="1101">
          <cell r="Y1101">
            <v>103603.97418797985</v>
          </cell>
        </row>
        <row r="1103">
          <cell r="Y1103">
            <v>0</v>
          </cell>
        </row>
        <row r="1120">
          <cell r="Y1120">
            <v>-4125289.6175481696</v>
          </cell>
        </row>
        <row r="1124">
          <cell r="Y1124">
            <v>103603.97418762023</v>
          </cell>
        </row>
        <row r="1133">
          <cell r="Y1133">
            <v>0</v>
          </cell>
        </row>
        <row r="1134">
          <cell r="Y1134">
            <v>0</v>
          </cell>
        </row>
        <row r="1135">
          <cell r="Y1135">
            <v>0</v>
          </cell>
        </row>
        <row r="1136">
          <cell r="Y1136">
            <v>0</v>
          </cell>
        </row>
        <row r="1142">
          <cell r="Y1142">
            <v>762447.66114379407</v>
          </cell>
        </row>
        <row r="1150">
          <cell r="Y1150">
            <v>0</v>
          </cell>
        </row>
        <row r="1151">
          <cell r="Y1151">
            <v>0</v>
          </cell>
        </row>
        <row r="1155">
          <cell r="Y1155">
            <v>0</v>
          </cell>
        </row>
        <row r="1156">
          <cell r="Y1156">
            <v>0</v>
          </cell>
        </row>
        <row r="1160">
          <cell r="Y1160">
            <v>0</v>
          </cell>
        </row>
        <row r="1161">
          <cell r="Y1161">
            <v>0</v>
          </cell>
        </row>
        <row r="1165">
          <cell r="Y1165">
            <v>0</v>
          </cell>
        </row>
        <row r="1166">
          <cell r="Y1166">
            <v>0</v>
          </cell>
        </row>
        <row r="1170">
          <cell r="Y1170">
            <v>0</v>
          </cell>
        </row>
        <row r="1171">
          <cell r="Y1171">
            <v>0</v>
          </cell>
        </row>
        <row r="1175">
          <cell r="Y1175">
            <v>0</v>
          </cell>
        </row>
        <row r="1176">
          <cell r="Y1176">
            <v>0</v>
          </cell>
        </row>
        <row r="1181">
          <cell r="Y1181">
            <v>0</v>
          </cell>
        </row>
        <row r="1188">
          <cell r="Y1188">
            <v>0</v>
          </cell>
        </row>
        <row r="1192">
          <cell r="Y1192">
            <v>0</v>
          </cell>
        </row>
        <row r="1196">
          <cell r="Y1196">
            <v>0</v>
          </cell>
        </row>
        <row r="1200">
          <cell r="Y1200">
            <v>0</v>
          </cell>
        </row>
        <row r="1204">
          <cell r="Y1204">
            <v>0</v>
          </cell>
        </row>
        <row r="1208">
          <cell r="Y1208">
            <v>0</v>
          </cell>
        </row>
        <row r="1213">
          <cell r="Y1213">
            <v>0</v>
          </cell>
        </row>
        <row r="1221">
          <cell r="Y1221">
            <v>0</v>
          </cell>
        </row>
        <row r="1226">
          <cell r="Y1226">
            <v>0</v>
          </cell>
        </row>
        <row r="1231">
          <cell r="Y1231">
            <v>0</v>
          </cell>
        </row>
        <row r="1236">
          <cell r="Y1236">
            <v>0</v>
          </cell>
        </row>
        <row r="1241">
          <cell r="Y1241">
            <v>0</v>
          </cell>
        </row>
        <row r="1246">
          <cell r="Y1246">
            <v>0</v>
          </cell>
        </row>
        <row r="1251">
          <cell r="Y1251">
            <v>0</v>
          </cell>
        </row>
        <row r="1257">
          <cell r="Y1257">
            <v>0</v>
          </cell>
        </row>
        <row r="1264">
          <cell r="Y1264">
            <v>0</v>
          </cell>
        </row>
        <row r="1266">
          <cell r="Y1266">
            <v>0</v>
          </cell>
        </row>
        <row r="1270">
          <cell r="Y1270">
            <v>0</v>
          </cell>
        </row>
        <row r="1271">
          <cell r="Y1271">
            <v>0</v>
          </cell>
        </row>
        <row r="1272">
          <cell r="Y1272">
            <v>0</v>
          </cell>
        </row>
        <row r="1276">
          <cell r="Y1276">
            <v>0</v>
          </cell>
        </row>
        <row r="1277">
          <cell r="Y1277">
            <v>0</v>
          </cell>
        </row>
        <row r="1282">
          <cell r="Y1282">
            <v>0</v>
          </cell>
        </row>
        <row r="1283">
          <cell r="Y1283">
            <v>0</v>
          </cell>
        </row>
        <row r="1284">
          <cell r="Y1284">
            <v>0</v>
          </cell>
        </row>
        <row r="1289">
          <cell r="Y1289">
            <v>0</v>
          </cell>
        </row>
        <row r="1290">
          <cell r="Y1290">
            <v>0</v>
          </cell>
        </row>
        <row r="1291">
          <cell r="Y1291">
            <v>0</v>
          </cell>
        </row>
        <row r="1295">
          <cell r="Y1295">
            <v>0</v>
          </cell>
        </row>
        <row r="1296">
          <cell r="Y1296">
            <v>0</v>
          </cell>
        </row>
        <row r="1297">
          <cell r="Y1297">
            <v>0</v>
          </cell>
        </row>
        <row r="1301">
          <cell r="Y1301">
            <v>0</v>
          </cell>
        </row>
        <row r="1303">
          <cell r="Y1303">
            <v>0</v>
          </cell>
        </row>
        <row r="1308">
          <cell r="Y1308">
            <v>0</v>
          </cell>
        </row>
        <row r="1315">
          <cell r="Y1315">
            <v>0</v>
          </cell>
        </row>
        <row r="1323">
          <cell r="F1323">
            <v>65523788.682003349</v>
          </cell>
          <cell r="Y1323">
            <v>0</v>
          </cell>
        </row>
        <row r="1330">
          <cell r="F1330">
            <v>50845744.158184782</v>
          </cell>
          <cell r="Y1330">
            <v>0</v>
          </cell>
        </row>
        <row r="1336">
          <cell r="F1336">
            <v>634490802.10434282</v>
          </cell>
          <cell r="Y1336">
            <v>0</v>
          </cell>
        </row>
        <row r="1342">
          <cell r="F1342">
            <v>337979514.75243306</v>
          </cell>
          <cell r="Y1342">
            <v>0</v>
          </cell>
        </row>
        <row r="1348">
          <cell r="F1348">
            <v>545994485.22805691</v>
          </cell>
          <cell r="Y1348">
            <v>0</v>
          </cell>
        </row>
        <row r="1354">
          <cell r="F1354">
            <v>358772623.28166842</v>
          </cell>
          <cell r="Y1354">
            <v>0</v>
          </cell>
        </row>
        <row r="1360">
          <cell r="F1360">
            <v>1409441.8474685166</v>
          </cell>
          <cell r="Y1360">
            <v>0</v>
          </cell>
        </row>
        <row r="1366">
          <cell r="F1366">
            <v>3237640.7806528024</v>
          </cell>
          <cell r="Y1366">
            <v>0</v>
          </cell>
        </row>
        <row r="1372">
          <cell r="F1372">
            <v>4996120.9293602761</v>
          </cell>
          <cell r="Y1372">
            <v>0</v>
          </cell>
        </row>
        <row r="1376">
          <cell r="Y1376">
            <v>0</v>
          </cell>
        </row>
        <row r="1380">
          <cell r="F1380">
            <v>0</v>
          </cell>
        </row>
        <row r="1388">
          <cell r="F1388">
            <v>32758008.455924053</v>
          </cell>
          <cell r="Y1388">
            <v>0</v>
          </cell>
        </row>
        <row r="1394">
          <cell r="F1394">
            <v>41611910.685070224</v>
          </cell>
          <cell r="Y1394">
            <v>0</v>
          </cell>
        </row>
        <row r="1400">
          <cell r="F1400">
            <v>426968537.48323786</v>
          </cell>
          <cell r="Y1400">
            <v>0</v>
          </cell>
        </row>
        <row r="1407">
          <cell r="F1407">
            <v>323877080.59625232</v>
          </cell>
        </row>
        <row r="1414">
          <cell r="F1414">
            <v>217986859.43925196</v>
          </cell>
        </row>
        <row r="1421">
          <cell r="F1421">
            <v>169418841.40714058</v>
          </cell>
        </row>
        <row r="1428">
          <cell r="F1428">
            <v>470936475.3446579</v>
          </cell>
        </row>
        <row r="1434">
          <cell r="F1434">
            <v>432805782.20940626</v>
          </cell>
          <cell r="Y1434">
            <v>0</v>
          </cell>
        </row>
        <row r="1441">
          <cell r="F1441">
            <v>228878373.42927888</v>
          </cell>
          <cell r="Y1441">
            <v>0</v>
          </cell>
        </row>
        <row r="1447">
          <cell r="F1447">
            <v>80788746.213291228</v>
          </cell>
          <cell r="Y1447">
            <v>80788746.213291228</v>
          </cell>
        </row>
        <row r="1454">
          <cell r="F1454">
            <v>4665237.088400173</v>
          </cell>
        </row>
        <row r="1458">
          <cell r="F1458">
            <v>0</v>
          </cell>
          <cell r="Y1458">
            <v>0</v>
          </cell>
        </row>
        <row r="1459">
          <cell r="F1459">
            <v>0</v>
          </cell>
          <cell r="Y1459">
            <v>0</v>
          </cell>
        </row>
        <row r="1460">
          <cell r="F1460">
            <v>0</v>
          </cell>
          <cell r="Y1460">
            <v>0</v>
          </cell>
        </row>
        <row r="1461">
          <cell r="F1461">
            <v>0</v>
          </cell>
        </row>
        <row r="1467">
          <cell r="F1467">
            <v>25142234.001355112</v>
          </cell>
          <cell r="Y1467">
            <v>0</v>
          </cell>
        </row>
        <row r="1471">
          <cell r="Y1471">
            <v>0</v>
          </cell>
        </row>
        <row r="1475">
          <cell r="Y1475">
            <v>0</v>
          </cell>
        </row>
        <row r="1481">
          <cell r="Y1481">
            <v>101265.58183782731</v>
          </cell>
        </row>
        <row r="1482">
          <cell r="Y1482">
            <v>0</v>
          </cell>
        </row>
        <row r="1483">
          <cell r="Y1483">
            <v>0</v>
          </cell>
        </row>
        <row r="1484">
          <cell r="Y1484">
            <v>0</v>
          </cell>
        </row>
        <row r="1485">
          <cell r="Y1485">
            <v>21867.254750698467</v>
          </cell>
        </row>
        <row r="1489">
          <cell r="Y1489">
            <v>942256.5408805476</v>
          </cell>
        </row>
        <row r="1490">
          <cell r="Y1490">
            <v>0</v>
          </cell>
        </row>
        <row r="1491">
          <cell r="Y1491">
            <v>0</v>
          </cell>
        </row>
        <row r="1492">
          <cell r="Y1492">
            <v>0</v>
          </cell>
        </row>
        <row r="1493">
          <cell r="Y1493">
            <v>0</v>
          </cell>
        </row>
        <row r="1494">
          <cell r="Y1494">
            <v>404252.9430815645</v>
          </cell>
        </row>
        <row r="1498">
          <cell r="Y1498">
            <v>62999.884783196314</v>
          </cell>
        </row>
        <row r="1499">
          <cell r="Y1499">
            <v>0</v>
          </cell>
        </row>
        <row r="1500">
          <cell r="Y1500">
            <v>0</v>
          </cell>
        </row>
        <row r="1501">
          <cell r="Y1501">
            <v>0</v>
          </cell>
        </row>
        <row r="1502">
          <cell r="Y1502">
            <v>0</v>
          </cell>
        </row>
        <row r="1503">
          <cell r="Y1503">
            <v>0</v>
          </cell>
        </row>
        <row r="1504">
          <cell r="Y1504">
            <v>206803.06166919714</v>
          </cell>
        </row>
        <row r="1505">
          <cell r="Y1505">
            <v>0</v>
          </cell>
        </row>
        <row r="1506">
          <cell r="Y1506">
            <v>0</v>
          </cell>
        </row>
        <row r="1510">
          <cell r="Y1510">
            <v>788735.59571950044</v>
          </cell>
        </row>
        <row r="1511">
          <cell r="Y1511">
            <v>29737.663268964639</v>
          </cell>
        </row>
        <row r="1512">
          <cell r="Y1512">
            <v>0</v>
          </cell>
        </row>
        <row r="1513">
          <cell r="Y1513">
            <v>0</v>
          </cell>
        </row>
        <row r="1514">
          <cell r="Y1514">
            <v>0</v>
          </cell>
        </row>
        <row r="1515">
          <cell r="Y1515">
            <v>0</v>
          </cell>
        </row>
        <row r="1516">
          <cell r="Y1516">
            <v>0</v>
          </cell>
        </row>
        <row r="1517">
          <cell r="Y1517">
            <v>0</v>
          </cell>
        </row>
        <row r="1518">
          <cell r="Y1518">
            <v>0</v>
          </cell>
        </row>
        <row r="1522">
          <cell r="Y1522">
            <v>88278.71379745884</v>
          </cell>
        </row>
        <row r="1523">
          <cell r="Y1523">
            <v>0</v>
          </cell>
        </row>
        <row r="1524">
          <cell r="Y1524">
            <v>0</v>
          </cell>
        </row>
        <row r="1525">
          <cell r="Y1525">
            <v>1345.6894533043651</v>
          </cell>
        </row>
        <row r="1526">
          <cell r="Y1526">
            <v>0</v>
          </cell>
        </row>
        <row r="1527">
          <cell r="Y1527">
            <v>0</v>
          </cell>
        </row>
        <row r="1531">
          <cell r="Y1531">
            <v>302506.83164974279</v>
          </cell>
        </row>
        <row r="1532">
          <cell r="Y1532">
            <v>0</v>
          </cell>
        </row>
        <row r="1533">
          <cell r="Y1533">
            <v>0</v>
          </cell>
        </row>
        <row r="1534">
          <cell r="Y1534">
            <v>15124.93488335246</v>
          </cell>
        </row>
        <row r="1535">
          <cell r="Y1535">
            <v>0</v>
          </cell>
        </row>
        <row r="1536">
          <cell r="Y1536">
            <v>0</v>
          </cell>
        </row>
        <row r="1537">
          <cell r="Y1537">
            <v>0</v>
          </cell>
        </row>
        <row r="1538">
          <cell r="Y1538">
            <v>0</v>
          </cell>
        </row>
        <row r="1542">
          <cell r="Y1542">
            <v>179898.8990322403</v>
          </cell>
        </row>
        <row r="1543">
          <cell r="Y1543">
            <v>0</v>
          </cell>
        </row>
        <row r="1544">
          <cell r="Y1544">
            <v>0</v>
          </cell>
        </row>
        <row r="1545">
          <cell r="Y1545">
            <v>20890.15354817707</v>
          </cell>
        </row>
        <row r="1546">
          <cell r="Y1546">
            <v>0</v>
          </cell>
        </row>
        <row r="1547">
          <cell r="Y1547">
            <v>0</v>
          </cell>
        </row>
        <row r="1548">
          <cell r="Y1548">
            <v>0</v>
          </cell>
        </row>
        <row r="1549">
          <cell r="Y1549">
            <v>0</v>
          </cell>
        </row>
        <row r="1553">
          <cell r="Y1553">
            <v>895096.34506212233</v>
          </cell>
        </row>
        <row r="1554">
          <cell r="Y1554">
            <v>0</v>
          </cell>
        </row>
        <row r="1555">
          <cell r="Y1555">
            <v>0</v>
          </cell>
        </row>
        <row r="1556">
          <cell r="Y1556">
            <v>4977.2527658881372</v>
          </cell>
        </row>
        <row r="1557">
          <cell r="Y1557">
            <v>0</v>
          </cell>
        </row>
        <row r="1558">
          <cell r="Y1558">
            <v>0</v>
          </cell>
        </row>
        <row r="1559">
          <cell r="Y1559">
            <v>0</v>
          </cell>
        </row>
        <row r="1560">
          <cell r="Y1560">
            <v>0</v>
          </cell>
        </row>
        <row r="1564">
          <cell r="Y1564">
            <v>1466728.4068507515</v>
          </cell>
        </row>
        <row r="1565">
          <cell r="Y1565">
            <v>0</v>
          </cell>
        </row>
        <row r="1566">
          <cell r="Y1566">
            <v>0</v>
          </cell>
        </row>
        <row r="1567">
          <cell r="Y1567">
            <v>201326.50887063431</v>
          </cell>
        </row>
        <row r="1568">
          <cell r="Y1568">
            <v>0</v>
          </cell>
        </row>
        <row r="1569">
          <cell r="Y1569">
            <v>0</v>
          </cell>
        </row>
        <row r="1570">
          <cell r="Y1570">
            <v>0</v>
          </cell>
        </row>
        <row r="1571">
          <cell r="Y1571">
            <v>0</v>
          </cell>
        </row>
        <row r="1572">
          <cell r="Y1572">
            <v>0</v>
          </cell>
        </row>
        <row r="1576">
          <cell r="Y1576">
            <v>10147.52024848265</v>
          </cell>
        </row>
        <row r="1577">
          <cell r="Y1577">
            <v>0</v>
          </cell>
        </row>
        <row r="1578">
          <cell r="Y1578">
            <v>0</v>
          </cell>
        </row>
        <row r="1579">
          <cell r="Y1579">
            <v>0</v>
          </cell>
        </row>
        <row r="1580">
          <cell r="Y1580">
            <v>12111.113448174949</v>
          </cell>
        </row>
        <row r="1581">
          <cell r="Y1581">
            <v>0</v>
          </cell>
        </row>
        <row r="1582">
          <cell r="Y1582">
            <v>0</v>
          </cell>
        </row>
        <row r="1583">
          <cell r="Y1583">
            <v>0</v>
          </cell>
        </row>
        <row r="1590">
          <cell r="Y1590">
            <v>0</v>
          </cell>
        </row>
        <row r="1594">
          <cell r="Y1594">
            <v>0</v>
          </cell>
        </row>
        <row r="1596">
          <cell r="Y1596">
            <v>0</v>
          </cell>
        </row>
        <row r="1601">
          <cell r="Y1601">
            <v>295211.46033860912</v>
          </cell>
        </row>
        <row r="1602">
          <cell r="Y1602">
            <v>0</v>
          </cell>
        </row>
        <row r="1603">
          <cell r="Y1603">
            <v>49474.613030731496</v>
          </cell>
        </row>
        <row r="1611">
          <cell r="Y1611">
            <v>0</v>
          </cell>
        </row>
        <row r="1614">
          <cell r="F1614">
            <v>0</v>
          </cell>
        </row>
        <row r="1623">
          <cell r="Y1623">
            <v>-776.58512581808077</v>
          </cell>
        </row>
        <row r="1631">
          <cell r="Y1631">
            <v>0</v>
          </cell>
        </row>
        <row r="1636">
          <cell r="Y1636">
            <v>0</v>
          </cell>
        </row>
        <row r="1637">
          <cell r="Y1637">
            <v>0</v>
          </cell>
        </row>
        <row r="1638">
          <cell r="Y1638">
            <v>0</v>
          </cell>
        </row>
        <row r="1641">
          <cell r="Y1641">
            <v>0</v>
          </cell>
        </row>
        <row r="1642">
          <cell r="Y1642">
            <v>0</v>
          </cell>
        </row>
        <row r="1643">
          <cell r="Y1643">
            <v>0</v>
          </cell>
        </row>
        <row r="1644">
          <cell r="Y1644">
            <v>0</v>
          </cell>
        </row>
        <row r="1648">
          <cell r="Y1648">
            <v>51372.058256774704</v>
          </cell>
        </row>
        <row r="1649">
          <cell r="Y1649">
            <v>0</v>
          </cell>
        </row>
        <row r="1650">
          <cell r="Y1650">
            <v>1497901.9444749004</v>
          </cell>
        </row>
        <row r="1651">
          <cell r="Y1651">
            <v>0</v>
          </cell>
        </row>
        <row r="1652">
          <cell r="Y1652">
            <v>0</v>
          </cell>
        </row>
        <row r="1654">
          <cell r="Y1654">
            <v>0</v>
          </cell>
        </row>
        <row r="1665">
          <cell r="Y1665">
            <v>0</v>
          </cell>
        </row>
        <row r="1673">
          <cell r="Y1673">
            <v>85230.408112353121</v>
          </cell>
        </row>
        <row r="1674">
          <cell r="Y1674">
            <v>0</v>
          </cell>
        </row>
        <row r="1675">
          <cell r="Y1675">
            <v>0</v>
          </cell>
        </row>
        <row r="1676">
          <cell r="Y1676">
            <v>0</v>
          </cell>
        </row>
        <row r="1677">
          <cell r="Y1677">
            <v>0</v>
          </cell>
        </row>
        <row r="1678">
          <cell r="Y1678">
            <v>0</v>
          </cell>
        </row>
        <row r="1685">
          <cell r="Y1685">
            <v>0</v>
          </cell>
        </row>
        <row r="1689">
          <cell r="Y1689">
            <v>0</v>
          </cell>
        </row>
        <row r="1694">
          <cell r="Y1694">
            <v>0</v>
          </cell>
        </row>
        <row r="1701">
          <cell r="Y1701">
            <v>0</v>
          </cell>
        </row>
        <row r="1709">
          <cell r="Y1709">
            <v>0</v>
          </cell>
        </row>
        <row r="1715">
          <cell r="Y1715">
            <v>0</v>
          </cell>
        </row>
        <row r="1716">
          <cell r="Y1716">
            <v>0</v>
          </cell>
        </row>
        <row r="1724">
          <cell r="Y1724">
            <v>0</v>
          </cell>
        </row>
        <row r="1728">
          <cell r="Y1728">
            <v>0</v>
          </cell>
        </row>
        <row r="1732">
          <cell r="Y1732">
            <v>0</v>
          </cell>
        </row>
        <row r="1749">
          <cell r="Y1749">
            <v>0</v>
          </cell>
        </row>
        <row r="1750">
          <cell r="Y1750">
            <v>408231.79532516038</v>
          </cell>
        </row>
        <row r="1755">
          <cell r="Y1755">
            <v>0</v>
          </cell>
        </row>
        <row r="1760">
          <cell r="Y1760">
            <v>-601.17712280735304</v>
          </cell>
        </row>
        <row r="1768">
          <cell r="Y1768">
            <v>0</v>
          </cell>
        </row>
        <row r="1770">
          <cell r="Y1770">
            <v>65626.116575501277</v>
          </cell>
        </row>
        <row r="1778">
          <cell r="Y1778">
            <v>0</v>
          </cell>
        </row>
        <row r="1780">
          <cell r="Y1780">
            <v>27654.647045515041</v>
          </cell>
        </row>
        <row r="1788">
          <cell r="Y1788">
            <v>0</v>
          </cell>
        </row>
        <row r="1791">
          <cell r="Y1791">
            <v>46.301605417910494</v>
          </cell>
        </row>
        <row r="1798">
          <cell r="Y1798">
            <v>73634.676801837399</v>
          </cell>
        </row>
        <row r="1809">
          <cell r="Y1809">
            <v>0</v>
          </cell>
        </row>
        <row r="1810">
          <cell r="Y1810">
            <v>199297.80722946802</v>
          </cell>
        </row>
        <row r="1824">
          <cell r="Y1824">
            <v>0</v>
          </cell>
        </row>
        <row r="1829">
          <cell r="Y1829">
            <v>0</v>
          </cell>
        </row>
        <row r="1834">
          <cell r="Y1834">
            <v>0</v>
          </cell>
        </row>
        <row r="1843">
          <cell r="Y1843">
            <v>0</v>
          </cell>
        </row>
        <row r="1847">
          <cell r="F1847">
            <v>0</v>
          </cell>
          <cell r="Y1847">
            <v>0</v>
          </cell>
        </row>
        <row r="1850">
          <cell r="F1850">
            <v>-2956470.2857848713</v>
          </cell>
        </row>
        <row r="1851">
          <cell r="F1851">
            <v>-2956470.2857848713</v>
          </cell>
          <cell r="Y1851">
            <v>-26952.298544626792</v>
          </cell>
        </row>
        <row r="1855">
          <cell r="F1855">
            <v>-10270013.358761465</v>
          </cell>
          <cell r="Y1855">
            <v>-93625.316457107736</v>
          </cell>
        </row>
        <row r="1859">
          <cell r="F1859">
            <v>-647320.21573147376</v>
          </cell>
          <cell r="Y1859">
            <v>0</v>
          </cell>
        </row>
        <row r="1863">
          <cell r="Y1863">
            <v>0</v>
          </cell>
        </row>
        <row r="1864">
          <cell r="F1864">
            <v>-446748.89750999969</v>
          </cell>
          <cell r="Y1864">
            <v>0</v>
          </cell>
        </row>
        <row r="1867">
          <cell r="F1867">
            <v>-2239290.6767274253</v>
          </cell>
        </row>
        <row r="1868">
          <cell r="F1868">
            <v>-2239290.6767274253</v>
          </cell>
          <cell r="Y1868">
            <v>0</v>
          </cell>
        </row>
        <row r="1876">
          <cell r="Y1876">
            <v>-98823.602009310547</v>
          </cell>
        </row>
        <row r="1880">
          <cell r="F1880">
            <v>-778472.93409763381</v>
          </cell>
          <cell r="Y1880">
            <v>0</v>
          </cell>
        </row>
        <row r="1887">
          <cell r="F1887">
            <v>-5840281.8868034603</v>
          </cell>
          <cell r="Y1887">
            <v>0</v>
          </cell>
        </row>
        <row r="1891">
          <cell r="Y1891">
            <v>0</v>
          </cell>
        </row>
        <row r="1892">
          <cell r="Y1892">
            <v>851175.07160338084</v>
          </cell>
        </row>
        <row r="1894">
          <cell r="Y1894">
            <v>0</v>
          </cell>
        </row>
        <row r="1901">
          <cell r="Y1901">
            <v>0</v>
          </cell>
        </row>
        <row r="1902">
          <cell r="Y1902">
            <v>864335.08093002078</v>
          </cell>
        </row>
        <row r="1908">
          <cell r="Y1908">
            <v>0</v>
          </cell>
        </row>
        <row r="1912">
          <cell r="F1912">
            <v>1.0719561604796075</v>
          </cell>
        </row>
        <row r="1914">
          <cell r="Y1914">
            <v>246349.14090247222</v>
          </cell>
        </row>
        <row r="1926">
          <cell r="Y1926">
            <v>-13898473.445420917</v>
          </cell>
        </row>
        <row r="1932">
          <cell r="Y1932">
            <v>-104396.69531253657</v>
          </cell>
        </row>
        <row r="1939">
          <cell r="Y1939">
            <v>-156820.33035747628</v>
          </cell>
        </row>
        <row r="1952">
          <cell r="Y1952">
            <v>-1054.1465351026409</v>
          </cell>
        </row>
        <row r="1961">
          <cell r="Y1961">
            <v>0</v>
          </cell>
        </row>
        <row r="1962">
          <cell r="Y1962">
            <v>0</v>
          </cell>
        </row>
        <row r="1968">
          <cell r="Y1968">
            <v>0</v>
          </cell>
        </row>
        <row r="1975">
          <cell r="Y1975">
            <v>0</v>
          </cell>
        </row>
        <row r="1980">
          <cell r="Y1980">
            <v>0</v>
          </cell>
        </row>
        <row r="1982">
          <cell r="Y1982">
            <v>0</v>
          </cell>
        </row>
        <row r="1983">
          <cell r="Y1983">
            <v>0</v>
          </cell>
        </row>
        <row r="1988">
          <cell r="Y1988">
            <v>0</v>
          </cell>
        </row>
        <row r="2002">
          <cell r="Y2002">
            <v>0</v>
          </cell>
        </row>
        <row r="2006">
          <cell r="Y2006">
            <v>0</v>
          </cell>
        </row>
        <row r="2010">
          <cell r="Y2010">
            <v>0</v>
          </cell>
        </row>
        <row r="2014">
          <cell r="Y2014">
            <v>0</v>
          </cell>
        </row>
        <row r="2018">
          <cell r="Y2018">
            <v>0</v>
          </cell>
        </row>
        <row r="2022">
          <cell r="Y2022">
            <v>0</v>
          </cell>
        </row>
        <row r="2026">
          <cell r="Y2026">
            <v>0</v>
          </cell>
        </row>
        <row r="2030">
          <cell r="Y2030">
            <v>0</v>
          </cell>
        </row>
        <row r="2034">
          <cell r="Y2034">
            <v>0</v>
          </cell>
        </row>
        <row r="2038">
          <cell r="Y2038">
            <v>0</v>
          </cell>
        </row>
        <row r="2042">
          <cell r="Y2042">
            <v>-29001886.223786578</v>
          </cell>
        </row>
        <row r="2046">
          <cell r="Y2046">
            <v>0</v>
          </cell>
        </row>
        <row r="2050">
          <cell r="Y2050">
            <v>0</v>
          </cell>
        </row>
        <row r="2054">
          <cell r="Y2054">
            <v>0</v>
          </cell>
        </row>
        <row r="2057">
          <cell r="F2057">
            <v>0</v>
          </cell>
        </row>
        <row r="2058">
          <cell r="Y2058">
            <v>0</v>
          </cell>
        </row>
        <row r="2061">
          <cell r="F2061">
            <v>0</v>
          </cell>
        </row>
        <row r="2062">
          <cell r="Y2062">
            <v>0</v>
          </cell>
        </row>
        <row r="2065">
          <cell r="F2065">
            <v>538164.5</v>
          </cell>
        </row>
        <row r="2066">
          <cell r="Y2066">
            <v>18256.651846158136</v>
          </cell>
        </row>
        <row r="2072">
          <cell r="Y2072">
            <v>-1391592.5819716619</v>
          </cell>
        </row>
        <row r="2073">
          <cell r="Y2073">
            <v>0</v>
          </cell>
        </row>
        <row r="2074">
          <cell r="Y2074">
            <v>0</v>
          </cell>
        </row>
        <row r="2075">
          <cell r="Y2075">
            <v>0</v>
          </cell>
        </row>
        <row r="2076">
          <cell r="Y2076">
            <v>0</v>
          </cell>
        </row>
        <row r="2077">
          <cell r="Y2077">
            <v>-251047.15576095413</v>
          </cell>
        </row>
        <row r="2078">
          <cell r="Y2078">
            <v>0</v>
          </cell>
        </row>
        <row r="2079">
          <cell r="Y2079">
            <v>0</v>
          </cell>
        </row>
        <row r="2080">
          <cell r="Y2080">
            <v>0</v>
          </cell>
        </row>
        <row r="2092">
          <cell r="Y2092">
            <v>0</v>
          </cell>
        </row>
        <row r="2098">
          <cell r="Y2098">
            <v>0</v>
          </cell>
        </row>
        <row r="2099">
          <cell r="Y2099">
            <v>0</v>
          </cell>
        </row>
        <row r="2106">
          <cell r="Y2106">
            <v>0</v>
          </cell>
        </row>
        <row r="2107">
          <cell r="Y2107">
            <v>0</v>
          </cell>
        </row>
        <row r="2119">
          <cell r="Y2119">
            <v>0</v>
          </cell>
        </row>
        <row r="2124">
          <cell r="Y2124">
            <v>0</v>
          </cell>
        </row>
        <row r="2126">
          <cell r="Y2126">
            <v>-51196.748568084222</v>
          </cell>
        </row>
        <row r="2127">
          <cell r="Y2127">
            <v>0</v>
          </cell>
        </row>
        <row r="2128">
          <cell r="Y2128">
            <v>-51528.184162782003</v>
          </cell>
        </row>
        <row r="2134">
          <cell r="Y2134">
            <v>0</v>
          </cell>
        </row>
        <row r="2138">
          <cell r="Y2138">
            <v>-881.31927976879228</v>
          </cell>
        </row>
        <row r="2139">
          <cell r="Y2139">
            <v>0</v>
          </cell>
        </row>
        <row r="2140">
          <cell r="Y2140">
            <v>0</v>
          </cell>
        </row>
        <row r="2141">
          <cell r="Y2141">
            <v>0</v>
          </cell>
        </row>
        <row r="2142">
          <cell r="Y2142">
            <v>0</v>
          </cell>
        </row>
        <row r="2143">
          <cell r="Y2143">
            <v>0</v>
          </cell>
        </row>
        <row r="2145">
          <cell r="Y2145">
            <v>0</v>
          </cell>
        </row>
        <row r="2146">
          <cell r="Y2146">
            <v>-1105700.5510010931</v>
          </cell>
        </row>
        <row r="2159">
          <cell r="Y2159">
            <v>0</v>
          </cell>
        </row>
      </sheetData>
      <sheetData sheetId="20" refreshError="1"/>
      <sheetData sheetId="21" refreshError="1">
        <row r="10">
          <cell r="A10" t="str">
            <v>FACTOR NAME</v>
          </cell>
          <cell r="B10" t="str">
            <v>GEN</v>
          </cell>
          <cell r="C10" t="str">
            <v>TRN</v>
          </cell>
          <cell r="D10" t="str">
            <v>DIS</v>
          </cell>
          <cell r="E10" t="str">
            <v>Distribution</v>
          </cell>
          <cell r="F10" t="str">
            <v>Retail</v>
          </cell>
          <cell r="G10" t="str">
            <v>Misc</v>
          </cell>
          <cell r="H10" t="str">
            <v>TOT</v>
          </cell>
        </row>
        <row r="11">
          <cell r="A11" t="str">
            <v>ACCMDIT</v>
          </cell>
          <cell r="B11">
            <v>0.73983771349904326</v>
          </cell>
          <cell r="C11">
            <v>0.13136654769351463</v>
          </cell>
          <cell r="D11">
            <v>0.12879573880744205</v>
          </cell>
          <cell r="E11">
            <v>0.12618654548359934</v>
          </cell>
          <cell r="F11">
            <v>2.6091933238426997E-3</v>
          </cell>
          <cell r="G11">
            <v>0</v>
          </cell>
          <cell r="H11">
            <v>1</v>
          </cell>
        </row>
        <row r="12">
          <cell r="A12" t="str">
            <v>BOOKDEPR</v>
          </cell>
          <cell r="B12">
            <v>0.53330883081307834</v>
          </cell>
          <cell r="C12">
            <v>0.16661852821541756</v>
          </cell>
          <cell r="D12">
            <v>0.30007264097150399</v>
          </cell>
          <cell r="E12">
            <v>0.29663707297504832</v>
          </cell>
          <cell r="F12">
            <v>3.4355679964556858E-3</v>
          </cell>
          <cell r="G12">
            <v>0</v>
          </cell>
          <cell r="H12">
            <v>1</v>
          </cell>
        </row>
        <row r="13">
          <cell r="A13" t="str">
            <v>CUST</v>
          </cell>
          <cell r="B13">
            <v>0</v>
          </cell>
          <cell r="C13">
            <v>0</v>
          </cell>
          <cell r="D13">
            <v>1</v>
          </cell>
          <cell r="E13">
            <v>0</v>
          </cell>
          <cell r="F13">
            <v>1</v>
          </cell>
          <cell r="G13">
            <v>0</v>
          </cell>
          <cell r="H13">
            <v>1</v>
          </cell>
        </row>
        <row r="14">
          <cell r="A14" t="str">
            <v>CWC</v>
          </cell>
          <cell r="B14">
            <v>0.75646892039982017</v>
          </cell>
          <cell r="C14">
            <v>8.8444614506006478E-2</v>
          </cell>
          <cell r="D14">
            <v>0.15508646509414725</v>
          </cell>
          <cell r="E14">
            <v>0.11633571872970792</v>
          </cell>
          <cell r="F14">
            <v>3.3873720093208132E-2</v>
          </cell>
          <cell r="G14">
            <v>4.8770262712312098E-3</v>
          </cell>
          <cell r="H14">
            <v>0.99999999999997402</v>
          </cell>
        </row>
        <row r="15">
          <cell r="A15" t="str">
            <v>DDS2</v>
          </cell>
          <cell r="B15">
            <v>0.8654170762895036</v>
          </cell>
          <cell r="C15">
            <v>1.1344409372251537E-2</v>
          </cell>
          <cell r="D15">
            <v>0.12323851433824477</v>
          </cell>
          <cell r="E15">
            <v>7.1894508570484687E-3</v>
          </cell>
          <cell r="F15">
            <v>0.14539156536514505</v>
          </cell>
          <cell r="G15">
            <v>-2.9342501883948758E-2</v>
          </cell>
          <cell r="H15">
            <v>0.99999999999999967</v>
          </cell>
        </row>
        <row r="16">
          <cell r="A16" t="str">
            <v>DDS6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A17" t="str">
            <v>DDSO2</v>
          </cell>
          <cell r="B17">
            <v>0.11177468612147946</v>
          </cell>
          <cell r="C17">
            <v>3.7258228707159828E-2</v>
          </cell>
          <cell r="D17">
            <v>0.85096708517136066</v>
          </cell>
          <cell r="E17">
            <v>0.22354937224295893</v>
          </cell>
          <cell r="F17">
            <v>0</v>
          </cell>
          <cell r="G17">
            <v>0.62741771292840176</v>
          </cell>
          <cell r="H17">
            <v>1</v>
          </cell>
        </row>
        <row r="18">
          <cell r="A18" t="str">
            <v>DDSO6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A19" t="str">
            <v>DEFSG</v>
          </cell>
          <cell r="B19">
            <v>0.63464816167518867</v>
          </cell>
          <cell r="C19">
            <v>0.36535183832481127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1</v>
          </cell>
        </row>
        <row r="20">
          <cell r="A20" t="str">
            <v>DITEXP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A21" t="str">
            <v>DMSC</v>
          </cell>
          <cell r="B21">
            <v>0</v>
          </cell>
          <cell r="C21">
            <v>0</v>
          </cell>
          <cell r="D21">
            <v>1</v>
          </cell>
          <cell r="E21">
            <v>0</v>
          </cell>
          <cell r="F21">
            <v>0</v>
          </cell>
          <cell r="G21">
            <v>1</v>
          </cell>
          <cell r="H21">
            <v>1</v>
          </cell>
        </row>
        <row r="22">
          <cell r="A22" t="str">
            <v>DPW</v>
          </cell>
          <cell r="B22">
            <v>0</v>
          </cell>
          <cell r="C22">
            <v>0</v>
          </cell>
          <cell r="D22">
            <v>1</v>
          </cell>
          <cell r="E22">
            <v>1</v>
          </cell>
          <cell r="F22">
            <v>0</v>
          </cell>
          <cell r="G22">
            <v>0</v>
          </cell>
          <cell r="H22">
            <v>1</v>
          </cell>
        </row>
        <row r="23">
          <cell r="A23" t="str">
            <v>ESD</v>
          </cell>
          <cell r="B23">
            <v>0.3</v>
          </cell>
          <cell r="C23">
            <v>0.1</v>
          </cell>
          <cell r="D23">
            <v>0.6</v>
          </cell>
          <cell r="E23">
            <v>0.6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FERC</v>
          </cell>
          <cell r="B24">
            <v>0.53728866283770005</v>
          </cell>
          <cell r="C24">
            <v>0.4627113371622999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FIT</v>
          </cell>
          <cell r="B25">
            <v>3.5937574256291764</v>
          </cell>
          <cell r="C25">
            <v>-0.65055639122877695</v>
          </cell>
          <cell r="D25">
            <v>-1.9432010344014681</v>
          </cell>
          <cell r="E25">
            <v>-1.9876502590952456</v>
          </cell>
          <cell r="F25">
            <v>7.3386872107999337E-2</v>
          </cell>
          <cell r="G25">
            <v>-2.8937647414221689E-2</v>
          </cell>
          <cell r="H25">
            <v>0.99999999999893163</v>
          </cell>
        </row>
        <row r="26">
          <cell r="A26" t="str">
            <v>G</v>
          </cell>
          <cell r="B26">
            <v>0.23284244722796199</v>
          </cell>
          <cell r="C26">
            <v>0.2990202443759668</v>
          </cell>
          <cell r="D26">
            <v>0.46813730839607121</v>
          </cell>
          <cell r="E26">
            <v>0.44193116167922869</v>
          </cell>
          <cell r="F26">
            <v>2.6206146716842512E-2</v>
          </cell>
          <cell r="G26">
            <v>0</v>
          </cell>
          <cell r="H26">
            <v>1</v>
          </cell>
        </row>
        <row r="27">
          <cell r="A27" t="str">
            <v>G-DGP</v>
          </cell>
          <cell r="B27">
            <v>0.69712876692486192</v>
          </cell>
          <cell r="C27">
            <v>0.30287123307513802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1</v>
          </cell>
        </row>
        <row r="28">
          <cell r="A28" t="str">
            <v>G-DGU</v>
          </cell>
          <cell r="B28">
            <v>0.69712876692486192</v>
          </cell>
          <cell r="C28">
            <v>0.30287123307513802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</row>
        <row r="29">
          <cell r="A29" t="str">
            <v>GP</v>
          </cell>
          <cell r="B29">
            <v>0.50926645632842615</v>
          </cell>
          <cell r="C29">
            <v>0.21576006978240711</v>
          </cell>
          <cell r="D29">
            <v>0.27497347388916676</v>
          </cell>
          <cell r="E29">
            <v>0.26867509095069092</v>
          </cell>
          <cell r="F29">
            <v>6.2983829384758213E-3</v>
          </cell>
          <cell r="G29">
            <v>0</v>
          </cell>
          <cell r="H29">
            <v>1</v>
          </cell>
        </row>
        <row r="30">
          <cell r="A30" t="str">
            <v>G-SG</v>
          </cell>
          <cell r="B30">
            <v>0.47156660238274711</v>
          </cell>
          <cell r="C30">
            <v>0.52843339761725294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1</v>
          </cell>
        </row>
        <row r="31">
          <cell r="A31" t="str">
            <v>G-SITUS</v>
          </cell>
          <cell r="B31">
            <v>0</v>
          </cell>
          <cell r="C31">
            <v>0.25712929813384683</v>
          </cell>
          <cell r="D31">
            <v>0.74287070186615312</v>
          </cell>
          <cell r="E31">
            <v>0.74287070186615312</v>
          </cell>
          <cell r="F31">
            <v>0</v>
          </cell>
          <cell r="G31">
            <v>0</v>
          </cell>
          <cell r="H31">
            <v>1</v>
          </cell>
        </row>
        <row r="32">
          <cell r="A32" t="str">
            <v>I</v>
          </cell>
          <cell r="B32">
            <v>0.55656937860616518</v>
          </cell>
          <cell r="C32">
            <v>0.14769088765991648</v>
          </cell>
          <cell r="D32">
            <v>0.29573973373391843</v>
          </cell>
          <cell r="E32">
            <v>0.14123903943769978</v>
          </cell>
          <cell r="F32">
            <v>0.15450069429621865</v>
          </cell>
          <cell r="G32">
            <v>0</v>
          </cell>
          <cell r="H32">
            <v>1</v>
          </cell>
        </row>
        <row r="33">
          <cell r="A33" t="str">
            <v>IBT</v>
          </cell>
          <cell r="B33">
            <v>-0.93460571069614073</v>
          </cell>
          <cell r="C33">
            <v>0.48523046032165246</v>
          </cell>
          <cell r="D33">
            <v>1.4493752503749655</v>
          </cell>
          <cell r="E33">
            <v>1.482528591191925</v>
          </cell>
          <cell r="F33">
            <v>-5.4737062327873461E-2</v>
          </cell>
          <cell r="G33">
            <v>2.1583721510914099E-2</v>
          </cell>
          <cell r="H33">
            <v>1.0000000000004774</v>
          </cell>
        </row>
        <row r="34">
          <cell r="A34" t="str">
            <v>I-DGP</v>
          </cell>
          <cell r="B34">
            <v>1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</v>
          </cell>
        </row>
        <row r="35">
          <cell r="A35" t="str">
            <v>I-DGU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A36" t="str">
            <v>I-SG</v>
          </cell>
          <cell r="B36">
            <v>0.85459762506580794</v>
          </cell>
          <cell r="C36">
            <v>0.14540237493419209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</v>
          </cell>
        </row>
        <row r="37">
          <cell r="A37" t="str">
            <v>I-SITUS</v>
          </cell>
          <cell r="B37">
            <v>2.7634291901946124E-2</v>
          </cell>
          <cell r="C37">
            <v>0.46796630452447796</v>
          </cell>
          <cell r="D37">
            <v>0.50439940357357582</v>
          </cell>
          <cell r="E37">
            <v>0.50439940357357582</v>
          </cell>
          <cell r="F37">
            <v>0</v>
          </cell>
          <cell r="G37">
            <v>0</v>
          </cell>
          <cell r="H37">
            <v>0.99999999999999989</v>
          </cell>
        </row>
        <row r="38">
          <cell r="A38" t="str">
            <v>LABOR</v>
          </cell>
          <cell r="B38">
            <v>0.42712904549402431</v>
          </cell>
          <cell r="C38">
            <v>6.855059317608897E-2</v>
          </cell>
          <cell r="D38">
            <v>0.50432036132988678</v>
          </cell>
          <cell r="E38">
            <v>0.35533822131657783</v>
          </cell>
          <cell r="F38">
            <v>0.14898214001330889</v>
          </cell>
          <cell r="G38">
            <v>0</v>
          </cell>
          <cell r="H38">
            <v>1</v>
          </cell>
        </row>
        <row r="39">
          <cell r="A39" t="str">
            <v>MSS</v>
          </cell>
          <cell r="B39">
            <v>0.84309552049741154</v>
          </cell>
          <cell r="C39">
            <v>6.4844048397869371E-3</v>
          </cell>
          <cell r="D39">
            <v>0.15042007466280158</v>
          </cell>
          <cell r="E39">
            <v>0.15042007466280158</v>
          </cell>
          <cell r="F39">
            <v>0</v>
          </cell>
          <cell r="G39">
            <v>0</v>
          </cell>
          <cell r="H39">
            <v>0.99999999999999989</v>
          </cell>
        </row>
        <row r="40">
          <cell r="A40" t="str">
            <v>NONE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A41" t="str">
            <v>NUTIL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OTHDGP</v>
          </cell>
          <cell r="B42">
            <v>0.65778675941071063</v>
          </cell>
          <cell r="C42">
            <v>0.34221324058928942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1</v>
          </cell>
        </row>
        <row r="43">
          <cell r="A43" t="str">
            <v>OTHDGU</v>
          </cell>
          <cell r="B43">
            <v>0.65778675941071063</v>
          </cell>
          <cell r="C43">
            <v>0.34221324058928942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</row>
        <row r="44">
          <cell r="A44" t="str">
            <v>OTHSE</v>
          </cell>
          <cell r="B44">
            <v>0</v>
          </cell>
          <cell r="C44">
            <v>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</row>
        <row r="45">
          <cell r="A45" t="str">
            <v>OTHSG</v>
          </cell>
          <cell r="B45">
            <v>0.65778675941071063</v>
          </cell>
          <cell r="C45">
            <v>0.34221324058928942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</row>
        <row r="46">
          <cell r="A46" t="str">
            <v>OTHSGR</v>
          </cell>
          <cell r="B46">
            <v>0.65778675941071063</v>
          </cell>
          <cell r="C46">
            <v>0.34221324058928942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</row>
        <row r="47">
          <cell r="A47" t="str">
            <v>OTHSITUS</v>
          </cell>
          <cell r="B47">
            <v>0</v>
          </cell>
          <cell r="C47">
            <v>0</v>
          </cell>
          <cell r="D47">
            <v>1</v>
          </cell>
          <cell r="E47">
            <v>0</v>
          </cell>
          <cell r="F47">
            <v>0</v>
          </cell>
          <cell r="G47">
            <v>1</v>
          </cell>
          <cell r="H47">
            <v>1</v>
          </cell>
        </row>
        <row r="48">
          <cell r="A48" t="str">
            <v>OTHSO</v>
          </cell>
          <cell r="B48">
            <v>0</v>
          </cell>
          <cell r="C48">
            <v>0</v>
          </cell>
          <cell r="D48">
            <v>1</v>
          </cell>
          <cell r="E48">
            <v>0</v>
          </cell>
          <cell r="F48">
            <v>0</v>
          </cell>
          <cell r="G48">
            <v>1</v>
          </cell>
          <cell r="H48">
            <v>1</v>
          </cell>
        </row>
        <row r="49">
          <cell r="A49" t="str">
            <v>P</v>
          </cell>
          <cell r="B49">
            <v>1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1</v>
          </cell>
        </row>
        <row r="50">
          <cell r="A50" t="str">
            <v>PT</v>
          </cell>
          <cell r="B50">
            <v>0.69712876692486192</v>
          </cell>
          <cell r="C50">
            <v>0.30287123307513802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</row>
        <row r="51">
          <cell r="A51" t="str">
            <v>PTD</v>
          </cell>
          <cell r="B51">
            <v>0.50978933160451001</v>
          </cell>
          <cell r="C51">
            <v>0.22148063714640825</v>
          </cell>
          <cell r="D51">
            <v>0.26873003124908162</v>
          </cell>
          <cell r="E51">
            <v>0.26873003124908162</v>
          </cell>
          <cell r="F51">
            <v>0</v>
          </cell>
          <cell r="G51">
            <v>0</v>
          </cell>
          <cell r="H51">
            <v>1</v>
          </cell>
        </row>
        <row r="52">
          <cell r="A52" t="str">
            <v>REVREQ</v>
          </cell>
          <cell r="B52">
            <v>0.68943708603711984</v>
          </cell>
          <cell r="C52">
            <v>0.12661977371849539</v>
          </cell>
          <cell r="D52">
            <v>0.18394314024439659</v>
          </cell>
          <cell r="E52">
            <v>0.1556837233431935</v>
          </cell>
          <cell r="F52">
            <v>2.4697572147382281E-2</v>
          </cell>
          <cell r="G52">
            <v>3.5618447538208289E-3</v>
          </cell>
          <cell r="H52">
            <v>1.000000000000012</v>
          </cell>
        </row>
        <row r="53">
          <cell r="A53" t="str">
            <v>SCHMA</v>
          </cell>
          <cell r="B53">
            <v>0.52592735793137158</v>
          </cell>
          <cell r="C53">
            <v>0.17749230447050818</v>
          </cell>
          <cell r="D53">
            <v>0.2965803375981203</v>
          </cell>
          <cell r="E53">
            <v>0.2797551697710543</v>
          </cell>
          <cell r="F53">
            <v>1.2090484078880118E-2</v>
          </cell>
          <cell r="G53">
            <v>4.7346837481858691E-3</v>
          </cell>
          <cell r="H53">
            <v>0.99999999999999989</v>
          </cell>
        </row>
        <row r="54">
          <cell r="A54" t="str">
            <v>SCHMAF</v>
          </cell>
          <cell r="B54">
            <v>1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1</v>
          </cell>
        </row>
        <row r="55">
          <cell r="A55" t="str">
            <v>SCHMAP</v>
          </cell>
          <cell r="B55">
            <v>0.43956098409095457</v>
          </cell>
          <cell r="C55">
            <v>7.8689969960154899E-2</v>
          </cell>
          <cell r="D55">
            <v>0.48174904594889062</v>
          </cell>
          <cell r="E55">
            <v>0.34527455396186357</v>
          </cell>
          <cell r="F55">
            <v>0.13647449198702705</v>
          </cell>
          <cell r="G55">
            <v>0</v>
          </cell>
          <cell r="H55">
            <v>1</v>
          </cell>
        </row>
        <row r="56">
          <cell r="A56" t="str">
            <v>SCHMAP-SO</v>
          </cell>
          <cell r="B56">
            <v>0.43281923253404248</v>
          </cell>
          <cell r="C56">
            <v>7.9188139695999277E-2</v>
          </cell>
          <cell r="D56">
            <v>0.48799262776995828</v>
          </cell>
          <cell r="E56">
            <v>0.34951873105478648</v>
          </cell>
          <cell r="F56">
            <v>0.1384738967151718</v>
          </cell>
          <cell r="G56">
            <v>0</v>
          </cell>
          <cell r="H56">
            <v>1</v>
          </cell>
        </row>
        <row r="57">
          <cell r="A57" t="str">
            <v>SCHMAT</v>
          </cell>
          <cell r="B57">
            <v>0.52740517946323806</v>
          </cell>
          <cell r="C57">
            <v>0.17918291866264574</v>
          </cell>
          <cell r="D57">
            <v>0.29341190187411625</v>
          </cell>
          <cell r="E57">
            <v>0.27863406265023533</v>
          </cell>
          <cell r="F57">
            <v>9.9621399452459927E-3</v>
          </cell>
          <cell r="G57">
            <v>4.8156992786349741E-3</v>
          </cell>
          <cell r="H57">
            <v>1</v>
          </cell>
        </row>
        <row r="58">
          <cell r="A58" t="str">
            <v>SCHMAT-GPS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</row>
        <row r="59">
          <cell r="A59" t="str">
            <v>SCHMAT-SE</v>
          </cell>
          <cell r="B59">
            <v>0.99970273171677915</v>
          </cell>
          <cell r="C59">
            <v>3.5571566313406565E-5</v>
          </cell>
          <cell r="D59">
            <v>2.6169671690754479E-4</v>
          </cell>
          <cell r="E59">
            <v>1.8438844242794246E-4</v>
          </cell>
          <cell r="F59">
            <v>7.7308274479602295E-5</v>
          </cell>
          <cell r="G59">
            <v>0</v>
          </cell>
          <cell r="H59">
            <v>1</v>
          </cell>
        </row>
        <row r="60">
          <cell r="A60" t="str">
            <v>SCHMAT-SITUS</v>
          </cell>
          <cell r="B60">
            <v>0.56171083564203561</v>
          </cell>
          <cell r="C60">
            <v>4.5221940914908262E-2</v>
          </cell>
          <cell r="D60">
            <v>0.39306722344305611</v>
          </cell>
          <cell r="E60">
            <v>0.22924058443625531</v>
          </cell>
          <cell r="F60">
            <v>3.5863226649137943E-2</v>
          </cell>
          <cell r="G60">
            <v>0.12796341235766287</v>
          </cell>
          <cell r="H60">
            <v>1</v>
          </cell>
        </row>
        <row r="61">
          <cell r="A61" t="str">
            <v>SCHMAT-SNP</v>
          </cell>
          <cell r="B61">
            <v>0.50786983377167305</v>
          </cell>
          <cell r="C61">
            <v>0.21920008801843979</v>
          </cell>
          <cell r="D61">
            <v>0.27293007820988724</v>
          </cell>
          <cell r="E61">
            <v>0.2726403702431649</v>
          </cell>
          <cell r="F61">
            <v>2.8970796672232258E-4</v>
          </cell>
          <cell r="G61">
            <v>0</v>
          </cell>
          <cell r="H61">
            <v>1</v>
          </cell>
        </row>
        <row r="62">
          <cell r="A62" t="str">
            <v>SCHMAT-SO</v>
          </cell>
          <cell r="B62">
            <v>0.47953534255774422</v>
          </cell>
          <cell r="C62">
            <v>0.16652178797705691</v>
          </cell>
          <cell r="D62">
            <v>0.35394286946519882</v>
          </cell>
          <cell r="E62">
            <v>0.30174104897865572</v>
          </cell>
          <cell r="F62">
            <v>5.2201820486543121E-2</v>
          </cell>
          <cell r="G62">
            <v>0</v>
          </cell>
          <cell r="H62">
            <v>0.99999999999999989</v>
          </cell>
        </row>
        <row r="63">
          <cell r="A63" t="str">
            <v>SCHMD</v>
          </cell>
          <cell r="B63">
            <v>0.58363443343232746</v>
          </cell>
          <cell r="C63">
            <v>0.18373948447688987</v>
          </cell>
          <cell r="D63">
            <v>0.23262608209078267</v>
          </cell>
          <cell r="E63">
            <v>0.21126920683782022</v>
          </cell>
          <cell r="F63">
            <v>5.3105496369128327E-3</v>
          </cell>
          <cell r="G63">
            <v>1.6046325616049614E-2</v>
          </cell>
          <cell r="H63">
            <v>1</v>
          </cell>
        </row>
        <row r="64">
          <cell r="A64" t="str">
            <v>SCHMDF</v>
          </cell>
          <cell r="B64">
            <v>1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1</v>
          </cell>
        </row>
        <row r="65">
          <cell r="A65" t="str">
            <v>SCHMDP</v>
          </cell>
          <cell r="B65">
            <v>0.44350674696753561</v>
          </cell>
          <cell r="C65">
            <v>6.9241309808896062E-2</v>
          </cell>
          <cell r="D65">
            <v>0.48725194322356835</v>
          </cell>
          <cell r="E65">
            <v>0.34464326134131928</v>
          </cell>
          <cell r="F65">
            <v>0.14260868188224907</v>
          </cell>
          <cell r="G65">
            <v>0</v>
          </cell>
          <cell r="H65">
            <v>0.99999999999999989</v>
          </cell>
        </row>
        <row r="66">
          <cell r="A66" t="str">
            <v>SCHMDP-SO</v>
          </cell>
          <cell r="B66">
            <v>0.42712904549402431</v>
          </cell>
          <cell r="C66">
            <v>6.855059317608897E-2</v>
          </cell>
          <cell r="D66">
            <v>0.50432036132988678</v>
          </cell>
          <cell r="E66">
            <v>0.35533822131657783</v>
          </cell>
          <cell r="F66">
            <v>0.14898214001330889</v>
          </cell>
          <cell r="G66">
            <v>0</v>
          </cell>
          <cell r="H66">
            <v>1</v>
          </cell>
        </row>
        <row r="67">
          <cell r="A67" t="str">
            <v>SCHMDT</v>
          </cell>
          <cell r="B67">
            <v>0.58457280955951785</v>
          </cell>
          <cell r="C67">
            <v>0.18450623055274348</v>
          </cell>
          <cell r="D67">
            <v>0.23092095988773861</v>
          </cell>
          <cell r="E67">
            <v>0.21037605694082162</v>
          </cell>
          <cell r="F67">
            <v>4.3911218431825199E-3</v>
          </cell>
          <cell r="G67">
            <v>1.6153781103734471E-2</v>
          </cell>
          <cell r="H67">
            <v>0.99999999999999978</v>
          </cell>
        </row>
        <row r="68">
          <cell r="A68" t="str">
            <v>SCHMDT-GPS</v>
          </cell>
          <cell r="B68">
            <v>0.50790729766261489</v>
          </cell>
          <cell r="C68">
            <v>0.21910781078332736</v>
          </cell>
          <cell r="D68">
            <v>0.27298489155405781</v>
          </cell>
          <cell r="E68">
            <v>0.27253400307169895</v>
          </cell>
          <cell r="F68">
            <v>4.5088848235883444E-4</v>
          </cell>
          <cell r="G68">
            <v>0</v>
          </cell>
          <cell r="H68">
            <v>1</v>
          </cell>
        </row>
        <row r="69">
          <cell r="A69" t="str">
            <v>SCHMDT-SG</v>
          </cell>
          <cell r="B69">
            <v>1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1</v>
          </cell>
        </row>
        <row r="70">
          <cell r="A70" t="str">
            <v>SCHMDT-SITUS</v>
          </cell>
          <cell r="B70">
            <v>0.83446664233208079</v>
          </cell>
          <cell r="C70">
            <v>1.1838611749211416E-2</v>
          </cell>
          <cell r="D70">
            <v>0.15369474591870777</v>
          </cell>
          <cell r="E70">
            <v>6.3316079492887853E-2</v>
          </cell>
          <cell r="F70">
            <v>2.9438266343328669E-2</v>
          </cell>
          <cell r="G70">
            <v>6.0940400082491235E-2</v>
          </cell>
          <cell r="H70">
            <v>0.99999999999999967</v>
          </cell>
        </row>
        <row r="71">
          <cell r="A71" t="str">
            <v>SCHMDT-SNP</v>
          </cell>
          <cell r="B71">
            <v>0.50780249568414171</v>
          </cell>
          <cell r="C71">
            <v>0.2193659483276317</v>
          </cell>
          <cell r="D71">
            <v>0.27283155598822667</v>
          </cell>
          <cell r="E71">
            <v>0.27283155598822667</v>
          </cell>
          <cell r="F71">
            <v>0</v>
          </cell>
          <cell r="G71">
            <v>0</v>
          </cell>
          <cell r="H71">
            <v>1</v>
          </cell>
        </row>
        <row r="72">
          <cell r="A72" t="str">
            <v>SCHMDT-SO</v>
          </cell>
          <cell r="B72">
            <v>0.44777325063596862</v>
          </cell>
          <cell r="C72">
            <v>0.18161323250672493</v>
          </cell>
          <cell r="D72">
            <v>0.37061351685730654</v>
          </cell>
          <cell r="E72">
            <v>0.36596892501547851</v>
          </cell>
          <cell r="F72">
            <v>4.6445918418280508E-3</v>
          </cell>
          <cell r="G72">
            <v>0</v>
          </cell>
          <cell r="H72">
            <v>1</v>
          </cell>
        </row>
        <row r="73">
          <cell r="A73" t="str">
            <v>SIT</v>
          </cell>
          <cell r="B73">
            <v>-1.2761393147128948</v>
          </cell>
          <cell r="C73">
            <v>0.57089262236857008</v>
          </cell>
          <cell r="D73">
            <v>1.7052466923369718</v>
          </cell>
          <cell r="E73">
            <v>1.7442528950100766</v>
          </cell>
          <cell r="F73">
            <v>-6.4400295545277972E-2</v>
          </cell>
          <cell r="G73">
            <v>2.5394092872173184E-2</v>
          </cell>
          <cell r="H73">
            <v>0.99999999999264699</v>
          </cell>
        </row>
        <row r="74">
          <cell r="A74" t="str">
            <v>T</v>
          </cell>
          <cell r="B74">
            <v>0</v>
          </cell>
          <cell r="C74">
            <v>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</row>
        <row r="75">
          <cell r="A75" t="str">
            <v>TAXDEPR</v>
          </cell>
          <cell r="B75">
            <v>0.57747451163818431</v>
          </cell>
          <cell r="C75">
            <v>0.1959065237010699</v>
          </cell>
          <cell r="D75">
            <v>0.2266189646607458</v>
          </cell>
          <cell r="E75">
            <v>0.22210242530333088</v>
          </cell>
          <cell r="F75">
            <v>4.516539357414911E-3</v>
          </cell>
          <cell r="G75">
            <v>0</v>
          </cell>
          <cell r="H75">
            <v>0.99999999999999989</v>
          </cell>
        </row>
        <row r="76">
          <cell r="A76" t="str">
            <v>TD</v>
          </cell>
          <cell r="B76">
            <v>0</v>
          </cell>
          <cell r="C76">
            <v>0.44568683588216201</v>
          </cell>
          <cell r="D76">
            <v>0.55431316411783793</v>
          </cell>
          <cell r="E76">
            <v>0.55431316411783793</v>
          </cell>
          <cell r="F76">
            <v>0</v>
          </cell>
          <cell r="G76">
            <v>0</v>
          </cell>
          <cell r="H76">
            <v>1</v>
          </cell>
        </row>
      </sheetData>
      <sheetData sheetId="22" refreshError="1">
        <row r="11">
          <cell r="A11" t="str">
            <v>FACTOR</v>
          </cell>
          <cell r="B11" t="str">
            <v>SUB</v>
          </cell>
          <cell r="C11" t="str">
            <v>PC</v>
          </cell>
          <cell r="D11" t="str">
            <v>XFMR</v>
          </cell>
          <cell r="E11" t="str">
            <v>METER</v>
          </cell>
          <cell r="F11" t="str">
            <v>SERVICE</v>
          </cell>
          <cell r="G11" t="str">
            <v>TOTAL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PLNT</v>
          </cell>
          <cell r="B19">
            <v>0.17928794655401331</v>
          </cell>
          <cell r="C19">
            <v>0.50894097370860392</v>
          </cell>
          <cell r="D19">
            <v>0.1817390583540931</v>
          </cell>
          <cell r="E19">
            <v>3.3923924462052286E-2</v>
          </cell>
          <cell r="F19">
            <v>9.6108096921237493E-2</v>
          </cell>
          <cell r="G19">
            <v>1.0000000000000002</v>
          </cell>
        </row>
        <row r="20">
          <cell r="A20" t="str">
            <v>PLNT2</v>
          </cell>
          <cell r="B20">
            <v>0.26050626655677284</v>
          </cell>
          <cell r="C20">
            <v>0.73949373344322733</v>
          </cell>
          <cell r="D20">
            <v>0</v>
          </cell>
          <cell r="E20">
            <v>0</v>
          </cell>
          <cell r="F20">
            <v>0</v>
          </cell>
          <cell r="G20">
            <v>1.0000000000000002</v>
          </cell>
        </row>
        <row r="21">
          <cell r="A21" t="str">
            <v>DISom</v>
          </cell>
          <cell r="B21">
            <v>0.10247932079409991</v>
          </cell>
          <cell r="C21">
            <v>0.82248520974213024</v>
          </cell>
          <cell r="D21">
            <v>6.0072922448994905E-3</v>
          </cell>
          <cell r="E21">
            <v>6.9028177218870321E-2</v>
          </cell>
          <cell r="F21">
            <v>0</v>
          </cell>
          <cell r="G21">
            <v>1</v>
          </cell>
        </row>
        <row r="22">
          <cell r="A22" t="str">
            <v>INTN</v>
          </cell>
          <cell r="B22">
            <v>0.17928794655401331</v>
          </cell>
          <cell r="C22">
            <v>0.50894097370860392</v>
          </cell>
          <cell r="D22">
            <v>0.1817390583540931</v>
          </cell>
          <cell r="E22">
            <v>3.3923924462052286E-2</v>
          </cell>
          <cell r="F22">
            <v>9.6108096921237479E-2</v>
          </cell>
          <cell r="G22">
            <v>1.0000000000000002</v>
          </cell>
        </row>
        <row r="23">
          <cell r="A23" t="str">
            <v>GENL</v>
          </cell>
          <cell r="B23">
            <v>0.17928794655401334</v>
          </cell>
          <cell r="C23">
            <v>0.50894097370860381</v>
          </cell>
          <cell r="D23">
            <v>0.18173905835409307</v>
          </cell>
          <cell r="E23">
            <v>3.3923924462052286E-2</v>
          </cell>
          <cell r="F23">
            <v>9.6108096921237507E-2</v>
          </cell>
          <cell r="G23">
            <v>1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DRB</v>
          </cell>
          <cell r="B25">
            <v>0.21179501770106898</v>
          </cell>
          <cell r="C25">
            <v>0.46478503569781732</v>
          </cell>
          <cell r="D25">
            <v>0.19565496795865137</v>
          </cell>
          <cell r="E25">
            <v>3.0166739003265219E-2</v>
          </cell>
          <cell r="F25">
            <v>9.7598239639197559E-2</v>
          </cell>
          <cell r="G25">
            <v>1.0000000000000004</v>
          </cell>
        </row>
      </sheetData>
      <sheetData sheetId="23" refreshError="1"/>
      <sheetData sheetId="24" refreshError="1">
        <row r="14">
          <cell r="A14" t="str">
            <v>A</v>
          </cell>
          <cell r="B14" t="str">
            <v>Direct Assignment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A15" t="str">
            <v>F10</v>
          </cell>
          <cell r="B15" t="str">
            <v xml:space="preserve">Coincident Peak, System </v>
          </cell>
          <cell r="C15">
            <v>1</v>
          </cell>
          <cell r="D15" t="str">
            <v>/</v>
          </cell>
          <cell r="E15">
            <v>0</v>
          </cell>
          <cell r="F15">
            <v>0.41211832256664166</v>
          </cell>
          <cell r="G15">
            <v>0.27512738379881591</v>
          </cell>
          <cell r="H15">
            <v>7.5173056973591668E-2</v>
          </cell>
          <cell r="I15">
            <v>0</v>
          </cell>
          <cell r="J15">
            <v>0.13631379153323206</v>
          </cell>
          <cell r="K15">
            <v>1.3850859666903158E-2</v>
          </cell>
          <cell r="L15">
            <v>1.6328122823383863E-4</v>
          </cell>
          <cell r="M15">
            <v>0</v>
          </cell>
          <cell r="N15">
            <v>7.2688644676086323E-2</v>
          </cell>
          <cell r="O15">
            <v>1.4564659556495305E-2</v>
          </cell>
          <cell r="P15">
            <v>0</v>
          </cell>
          <cell r="Q15">
            <v>1</v>
          </cell>
        </row>
        <row r="16">
          <cell r="A16" t="str">
            <v>F11</v>
          </cell>
          <cell r="B16" t="str">
            <v xml:space="preserve">Coincident Peak, System </v>
          </cell>
          <cell r="C16">
            <v>0.5</v>
          </cell>
          <cell r="D16" t="str">
            <v>/</v>
          </cell>
          <cell r="E16">
            <v>0.5</v>
          </cell>
          <cell r="F16">
            <v>0.35644877894888038</v>
          </cell>
          <cell r="G16">
            <v>0.27473365595527444</v>
          </cell>
          <cell r="H16">
            <v>8.4262633841551582E-2</v>
          </cell>
          <cell r="I16">
            <v>1.9296961340489523E-3</v>
          </cell>
          <cell r="J16">
            <v>0.16762262713359435</v>
          </cell>
          <cell r="K16">
            <v>1.117851489797907E-2</v>
          </cell>
          <cell r="L16">
            <v>2.1024063667596888E-4</v>
          </cell>
          <cell r="M16">
            <v>3.5694042893399318E-4</v>
          </cell>
          <cell r="N16">
            <v>6.8576887052728228E-2</v>
          </cell>
          <cell r="O16">
            <v>1.9093937022519783E-2</v>
          </cell>
          <cell r="P16">
            <v>1.5586087947813222E-2</v>
          </cell>
          <cell r="Q16">
            <v>1</v>
          </cell>
        </row>
        <row r="17">
          <cell r="A17" t="str">
            <v>F12</v>
          </cell>
          <cell r="B17" t="str">
            <v xml:space="preserve">Coincident Peak, System </v>
          </cell>
          <cell r="C17">
            <v>1</v>
          </cell>
          <cell r="D17" t="str">
            <v>/</v>
          </cell>
          <cell r="E17">
            <v>0</v>
          </cell>
          <cell r="F17">
            <v>0.41211832256664166</v>
          </cell>
          <cell r="G17">
            <v>0.27512738379881591</v>
          </cell>
          <cell r="H17">
            <v>7.5173056973591668E-2</v>
          </cell>
          <cell r="I17">
            <v>0</v>
          </cell>
          <cell r="J17">
            <v>0.13631379153323206</v>
          </cell>
          <cell r="K17">
            <v>1.3850859666903158E-2</v>
          </cell>
          <cell r="L17">
            <v>1.6328122823383863E-4</v>
          </cell>
          <cell r="M17">
            <v>0</v>
          </cell>
          <cell r="N17">
            <v>7.2688644676086323E-2</v>
          </cell>
          <cell r="O17">
            <v>1.4564659556495305E-2</v>
          </cell>
          <cell r="P17">
            <v>0</v>
          </cell>
          <cell r="Q17">
            <v>1</v>
          </cell>
        </row>
        <row r="18">
          <cell r="A18" t="str">
            <v>F20</v>
          </cell>
          <cell r="B18" t="str">
            <v>12 Weighted Distribution Peaks</v>
          </cell>
          <cell r="C18">
            <v>0</v>
          </cell>
          <cell r="D18">
            <v>0</v>
          </cell>
          <cell r="E18">
            <v>0</v>
          </cell>
          <cell r="F18">
            <v>0.49164012535987578</v>
          </cell>
          <cell r="G18">
            <v>0.31833765729272945</v>
          </cell>
          <cell r="H18">
            <v>9.0341104180462567E-2</v>
          </cell>
          <cell r="I18">
            <v>8.0690928123709716E-4</v>
          </cell>
          <cell r="J18">
            <v>0</v>
          </cell>
          <cell r="K18">
            <v>1.2017021468444966E-2</v>
          </cell>
          <cell r="L18">
            <v>1.9426455932775339E-4</v>
          </cell>
          <cell r="M18">
            <v>1.4489141046728271E-4</v>
          </cell>
          <cell r="N18">
            <v>8.6518026447455251E-2</v>
          </cell>
          <cell r="O18">
            <v>0</v>
          </cell>
          <cell r="P18">
            <v>0</v>
          </cell>
          <cell r="Q18">
            <v>1</v>
          </cell>
        </row>
        <row r="19">
          <cell r="A19" t="str">
            <v>F21</v>
          </cell>
          <cell r="B19" t="str">
            <v>Transformers      - NCP</v>
          </cell>
          <cell r="C19">
            <v>0</v>
          </cell>
          <cell r="D19">
            <v>0</v>
          </cell>
          <cell r="E19">
            <v>0</v>
          </cell>
          <cell r="F19">
            <v>0.58769899110886759</v>
          </cell>
          <cell r="G19">
            <v>0.2493136908616341</v>
          </cell>
          <cell r="H19">
            <v>6.2904140421850857E-2</v>
          </cell>
          <cell r="I19">
            <v>3.4392196894104661E-3</v>
          </cell>
          <cell r="J19">
            <v>0</v>
          </cell>
          <cell r="K19">
            <v>2.8667733780318675E-2</v>
          </cell>
          <cell r="L19">
            <v>1.1928399899876234E-4</v>
          </cell>
          <cell r="M19">
            <v>7.1129534858342842E-4</v>
          </cell>
          <cell r="N19">
            <v>6.7145644790336065E-2</v>
          </cell>
          <cell r="O19">
            <v>0</v>
          </cell>
          <cell r="P19">
            <v>0</v>
          </cell>
          <cell r="Q19">
            <v>1</v>
          </cell>
        </row>
        <row r="20">
          <cell r="A20" t="str">
            <v>F22</v>
          </cell>
          <cell r="B20" t="str">
            <v>Secondary Lines - NCP</v>
          </cell>
          <cell r="C20">
            <v>0</v>
          </cell>
          <cell r="D20">
            <v>0</v>
          </cell>
          <cell r="E20">
            <v>0</v>
          </cell>
          <cell r="F20">
            <v>0.89746324378432962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0.10253675621567035</v>
          </cell>
          <cell r="O20">
            <v>0</v>
          </cell>
          <cell r="P20">
            <v>0</v>
          </cell>
          <cell r="Q20">
            <v>1</v>
          </cell>
        </row>
        <row r="21">
          <cell r="A21" t="str">
            <v>F30</v>
          </cell>
          <cell r="B21" t="str">
            <v>MWH @ Input</v>
          </cell>
          <cell r="C21">
            <v>0</v>
          </cell>
          <cell r="D21">
            <v>0</v>
          </cell>
          <cell r="E21">
            <v>0</v>
          </cell>
          <cell r="F21">
            <v>0.30077923533111905</v>
          </cell>
          <cell r="G21">
            <v>0.27433992811173291</v>
          </cell>
          <cell r="H21">
            <v>9.3352210709511496E-2</v>
          </cell>
          <cell r="I21">
            <v>3.8593922680979047E-3</v>
          </cell>
          <cell r="J21">
            <v>0.19893146273395665</v>
          </cell>
          <cell r="K21">
            <v>8.5061701290549824E-3</v>
          </cell>
          <cell r="L21">
            <v>2.5720004511809916E-4</v>
          </cell>
          <cell r="M21">
            <v>7.1388085786798635E-4</v>
          </cell>
          <cell r="N21">
            <v>6.4465129429370133E-2</v>
          </cell>
          <cell r="O21">
            <v>2.3623214488544257E-2</v>
          </cell>
          <cell r="P21">
            <v>3.1172175895626444E-2</v>
          </cell>
          <cell r="Q21">
            <v>1</v>
          </cell>
        </row>
        <row r="22">
          <cell r="A22" t="str">
            <v>F40</v>
          </cell>
          <cell r="B22" t="str">
            <v>Average Customers</v>
          </cell>
          <cell r="C22">
            <v>0</v>
          </cell>
          <cell r="D22">
            <v>0</v>
          </cell>
          <cell r="E22">
            <v>0</v>
          </cell>
          <cell r="F22">
            <v>0.86764424087019154</v>
          </cell>
          <cell r="G22">
            <v>1.9169313672045576E-2</v>
          </cell>
          <cell r="H22">
            <v>3.5793324283902526E-4</v>
          </cell>
          <cell r="I22">
            <v>1.1434581171907985E-2</v>
          </cell>
          <cell r="J22">
            <v>1.8318468993781765E-4</v>
          </cell>
          <cell r="K22">
            <v>3.5070226823621666E-3</v>
          </cell>
          <cell r="L22">
            <v>2.986392510959948E-3</v>
          </cell>
          <cell r="M22">
            <v>6.4958255181897181E-4</v>
          </cell>
          <cell r="N22">
            <v>9.4065338283069358E-2</v>
          </cell>
          <cell r="O22">
            <v>1.2051624338014318E-6</v>
          </cell>
          <cell r="P22">
            <v>1.2051624338014318E-6</v>
          </cell>
          <cell r="Q22">
            <v>1</v>
          </cell>
        </row>
        <row r="23">
          <cell r="A23" t="str">
            <v>F41</v>
          </cell>
          <cell r="B23" t="str">
            <v>Weighted Customers Acct 902</v>
          </cell>
          <cell r="C23">
            <v>0</v>
          </cell>
          <cell r="D23">
            <v>0</v>
          </cell>
          <cell r="E23">
            <v>0</v>
          </cell>
          <cell r="F23">
            <v>0.79566753371364696</v>
          </cell>
          <cell r="G23">
            <v>3.6388726640361045E-2</v>
          </cell>
          <cell r="H23">
            <v>1.0759719098602157E-2</v>
          </cell>
          <cell r="I23">
            <v>0</v>
          </cell>
          <cell r="J23">
            <v>7.073988741267136E-3</v>
          </cell>
          <cell r="K23">
            <v>1.5019151719993688E-2</v>
          </cell>
          <cell r="L23">
            <v>3.0399036283347124E-3</v>
          </cell>
          <cell r="M23">
            <v>6.6122197565472555E-4</v>
          </cell>
          <cell r="N23">
            <v>0.13111825438930952</v>
          </cell>
          <cell r="O23">
            <v>1.3575004641506615E-4</v>
          </cell>
          <cell r="P23">
            <v>1.3575004641506615E-4</v>
          </cell>
          <cell r="Q23">
            <v>1</v>
          </cell>
        </row>
        <row r="24">
          <cell r="A24" t="str">
            <v>F42</v>
          </cell>
          <cell r="B24" t="str">
            <v>Weighted Customers Acct 903</v>
          </cell>
          <cell r="C24">
            <v>0</v>
          </cell>
          <cell r="D24">
            <v>0</v>
          </cell>
          <cell r="E24">
            <v>0</v>
          </cell>
          <cell r="F24">
            <v>0.8723608413628593</v>
          </cell>
          <cell r="G24">
            <v>1.9466255169731564E-2</v>
          </cell>
          <cell r="H24">
            <v>3.6347779362569312E-4</v>
          </cell>
          <cell r="I24">
            <v>1.0570312778031523E-2</v>
          </cell>
          <cell r="J24">
            <v>1.359252091134305E-3</v>
          </cell>
          <cell r="K24">
            <v>3.5966089510277095E-3</v>
          </cell>
          <cell r="L24">
            <v>2.7624166909894659E-3</v>
          </cell>
          <cell r="M24">
            <v>6.0086464747510977E-4</v>
          </cell>
          <cell r="N24">
            <v>8.8902085619189386E-2</v>
          </cell>
          <cell r="O24">
            <v>8.9424479679888485E-6</v>
          </cell>
          <cell r="P24">
            <v>8.9424479679888485E-6</v>
          </cell>
          <cell r="Q24">
            <v>1</v>
          </cell>
        </row>
        <row r="25">
          <cell r="A25" t="str">
            <v>F43</v>
          </cell>
          <cell r="B25" t="str">
            <v>Residential Split</v>
          </cell>
          <cell r="C25">
            <v>0</v>
          </cell>
          <cell r="D25">
            <v>0</v>
          </cell>
          <cell r="E25">
            <v>0</v>
          </cell>
          <cell r="F25">
            <v>1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1</v>
          </cell>
        </row>
        <row r="26">
          <cell r="A26" t="str">
            <v>F44</v>
          </cell>
          <cell r="B26" t="str">
            <v>Commercial Split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0.16274202574146615</v>
          </cell>
          <cell r="H26">
            <v>1.9585898153329602E-3</v>
          </cell>
          <cell r="I26">
            <v>0</v>
          </cell>
          <cell r="J26">
            <v>3.0218242865137103E-4</v>
          </cell>
          <cell r="K26">
            <v>0</v>
          </cell>
          <cell r="L26">
            <v>0</v>
          </cell>
          <cell r="M26">
            <v>0</v>
          </cell>
          <cell r="N26">
            <v>0.83499720201454952</v>
          </cell>
          <cell r="O26">
            <v>0</v>
          </cell>
          <cell r="P26">
            <v>0</v>
          </cell>
          <cell r="Q26">
            <v>1</v>
          </cell>
        </row>
        <row r="27">
          <cell r="A27" t="str">
            <v>F45</v>
          </cell>
          <cell r="B27" t="str">
            <v>Industrial / Irrigation Split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0.17100138208317628</v>
          </cell>
          <cell r="H27">
            <v>1.5328558864178917E-2</v>
          </cell>
          <cell r="I27">
            <v>0</v>
          </cell>
          <cell r="J27">
            <v>1.5328558864178917E-2</v>
          </cell>
          <cell r="K27">
            <v>0.36562382208820204</v>
          </cell>
          <cell r="L27">
            <v>0</v>
          </cell>
          <cell r="M27">
            <v>0</v>
          </cell>
          <cell r="N27">
            <v>0.43246639025003142</v>
          </cell>
          <cell r="O27">
            <v>1.2564392511622062E-4</v>
          </cell>
          <cell r="P27">
            <v>1.2564392511622062E-4</v>
          </cell>
          <cell r="Q27">
            <v>1</v>
          </cell>
        </row>
        <row r="28">
          <cell r="A28" t="str">
            <v>F46</v>
          </cell>
          <cell r="B28" t="str">
            <v>Lighting / OSPA  Split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0.75873650539784088</v>
          </cell>
          <cell r="J28">
            <v>0</v>
          </cell>
          <cell r="K28">
            <v>0</v>
          </cell>
          <cell r="L28">
            <v>0.19816073570571771</v>
          </cell>
          <cell r="M28">
            <v>4.3102758896441426E-2</v>
          </cell>
          <cell r="N28">
            <v>0</v>
          </cell>
          <cell r="O28">
            <v>0</v>
          </cell>
          <cell r="P28">
            <v>0</v>
          </cell>
          <cell r="Q28">
            <v>1</v>
          </cell>
        </row>
        <row r="29">
          <cell r="A29" t="str">
            <v>F47</v>
          </cell>
          <cell r="B29" t="str">
            <v>Wtd Customers Acct 902 - irrigation</v>
          </cell>
          <cell r="C29">
            <v>0</v>
          </cell>
          <cell r="D29">
            <v>0</v>
          </cell>
          <cell r="E29">
            <v>0</v>
          </cell>
          <cell r="F29">
            <v>0.80130901755092743</v>
          </cell>
          <cell r="G29">
            <v>3.6646731905754591E-2</v>
          </cell>
          <cell r="H29">
            <v>1.0836008225425181E-2</v>
          </cell>
          <cell r="I29">
            <v>0</v>
          </cell>
          <cell r="J29">
            <v>7.1241451086668465E-3</v>
          </cell>
          <cell r="K29">
            <v>8.0353886529406504E-3</v>
          </cell>
          <cell r="L29">
            <v>3.061457313083037E-3</v>
          </cell>
          <cell r="M29">
            <v>6.6591020651806168E-4</v>
          </cell>
          <cell r="N29">
            <v>0.13204791593960213</v>
          </cell>
          <cell r="O29">
            <v>1.3671254854103111E-4</v>
          </cell>
          <cell r="P29">
            <v>1.3671254854103111E-4</v>
          </cell>
          <cell r="Q29">
            <v>1</v>
          </cell>
        </row>
        <row r="30">
          <cell r="A30" t="str">
            <v>F48</v>
          </cell>
          <cell r="B30" t="str">
            <v>Wtd Customers Acct 903 - irrigation</v>
          </cell>
          <cell r="C30">
            <v>0</v>
          </cell>
          <cell r="D30">
            <v>0</v>
          </cell>
          <cell r="E30">
            <v>0</v>
          </cell>
          <cell r="F30">
            <v>0.8738340698493916</v>
          </cell>
          <cell r="G30">
            <v>1.9499129457849942E-2</v>
          </cell>
          <cell r="H30">
            <v>3.6409162888101555E-4</v>
          </cell>
          <cell r="I30">
            <v>1.0588163746527339E-2</v>
          </cell>
          <cell r="J30">
            <v>1.3615475734692403E-3</v>
          </cell>
          <cell r="K30">
            <v>1.9138994687021907E-3</v>
          </cell>
          <cell r="L30">
            <v>2.7670818143740506E-3</v>
          </cell>
          <cell r="M30">
            <v>6.0187937770283021E-4</v>
          </cell>
          <cell r="N30">
            <v>8.9052221983450891E-2</v>
          </cell>
          <cell r="O30">
            <v>8.9575498254555275E-6</v>
          </cell>
          <cell r="P30">
            <v>8.9575498254555275E-6</v>
          </cell>
          <cell r="Q30">
            <v>1</v>
          </cell>
        </row>
        <row r="31">
          <cell r="A31" t="str">
            <v>F50</v>
          </cell>
          <cell r="B31" t="str">
            <v>Contribution in Aid of Construction</v>
          </cell>
          <cell r="C31">
            <v>0</v>
          </cell>
          <cell r="D31">
            <v>0</v>
          </cell>
          <cell r="E31">
            <v>0</v>
          </cell>
          <cell r="F31">
            <v>0.25323044470455486</v>
          </cell>
          <cell r="G31">
            <v>0.12064853098448039</v>
          </cell>
          <cell r="H31">
            <v>6.0988634673088959E-2</v>
          </cell>
          <cell r="I31">
            <v>2.7396045932713511E-2</v>
          </cell>
          <cell r="J31">
            <v>0.2463709688737688</v>
          </cell>
          <cell r="K31">
            <v>1.3960349071883097E-2</v>
          </cell>
          <cell r="L31">
            <v>1.3209321609023788E-3</v>
          </cell>
          <cell r="M31">
            <v>2.5850381361495357E-3</v>
          </cell>
          <cell r="N31">
            <v>0.27349905546245851</v>
          </cell>
          <cell r="O31">
            <v>0</v>
          </cell>
          <cell r="P31">
            <v>0</v>
          </cell>
          <cell r="Q31">
            <v>1</v>
          </cell>
        </row>
        <row r="32">
          <cell r="A32" t="str">
            <v>F51</v>
          </cell>
          <cell r="B32" t="str">
            <v>Security Deposits</v>
          </cell>
          <cell r="C32">
            <v>0</v>
          </cell>
          <cell r="D32">
            <v>0</v>
          </cell>
          <cell r="E32">
            <v>0</v>
          </cell>
          <cell r="F32">
            <v>0.19648367727022512</v>
          </cell>
          <cell r="G32">
            <v>2.8116419775727201E-2</v>
          </cell>
          <cell r="H32">
            <v>6.7219642612959984E-2</v>
          </cell>
          <cell r="I32">
            <v>5.4818919966663515E-4</v>
          </cell>
          <cell r="J32">
            <v>0.38706334466450776</v>
          </cell>
          <cell r="K32">
            <v>5.0861469570849874E-3</v>
          </cell>
          <cell r="L32">
            <v>0</v>
          </cell>
          <cell r="M32">
            <v>7.6222080042635581E-5</v>
          </cell>
          <cell r="N32">
            <v>0.27399673068254282</v>
          </cell>
          <cell r="O32">
            <v>0</v>
          </cell>
          <cell r="P32">
            <v>4.1409626757242891E-2</v>
          </cell>
          <cell r="Q32">
            <v>1</v>
          </cell>
        </row>
        <row r="33">
          <cell r="A33" t="str">
            <v>F60</v>
          </cell>
          <cell r="B33" t="str">
            <v>Meters</v>
          </cell>
          <cell r="C33">
            <v>0</v>
          </cell>
          <cell r="D33">
            <v>0</v>
          </cell>
          <cell r="E33">
            <v>0</v>
          </cell>
          <cell r="F33">
            <v>0.70881158058379934</v>
          </cell>
          <cell r="G33">
            <v>0.10567524530241849</v>
          </cell>
          <cell r="H33">
            <v>1.4549237279013401E-2</v>
          </cell>
          <cell r="I33">
            <v>0</v>
          </cell>
          <cell r="J33">
            <v>3.9289776562640356E-2</v>
          </cell>
          <cell r="K33">
            <v>9.8558266872212086E-3</v>
          </cell>
          <cell r="L33">
            <v>2.3829789317951705E-3</v>
          </cell>
          <cell r="M33">
            <v>5.1833157555996646E-4</v>
          </cell>
          <cell r="N33">
            <v>0.11311435670179797</v>
          </cell>
          <cell r="O33">
            <v>2.9013331878770489E-3</v>
          </cell>
          <cell r="P33">
            <v>2.9013331878770489E-3</v>
          </cell>
          <cell r="Q33">
            <v>1</v>
          </cell>
        </row>
        <row r="34">
          <cell r="A34" t="str">
            <v>F70</v>
          </cell>
          <cell r="B34" t="str">
            <v>Services</v>
          </cell>
          <cell r="C34">
            <v>0</v>
          </cell>
          <cell r="D34">
            <v>0</v>
          </cell>
          <cell r="E34">
            <v>0</v>
          </cell>
          <cell r="F34">
            <v>0.8042474854852234</v>
          </cell>
          <cell r="G34">
            <v>7.3318708977329894E-2</v>
          </cell>
          <cell r="H34">
            <v>7.3419809105201321E-3</v>
          </cell>
          <cell r="I34">
            <v>0</v>
          </cell>
          <cell r="J34">
            <v>0</v>
          </cell>
          <cell r="K34">
            <v>0</v>
          </cell>
          <cell r="L34">
            <v>3.0279824670523792E-3</v>
          </cell>
          <cell r="M34">
            <v>6.58628954697834E-4</v>
          </cell>
          <cell r="N34">
            <v>0.11140521320517636</v>
          </cell>
          <cell r="O34">
            <v>0</v>
          </cell>
          <cell r="P34">
            <v>0</v>
          </cell>
          <cell r="Q34">
            <v>1</v>
          </cell>
        </row>
        <row r="35">
          <cell r="A35" t="str">
            <v>F80</v>
          </cell>
          <cell r="B35" t="str">
            <v>Uncollectables</v>
          </cell>
          <cell r="C35">
            <v>0</v>
          </cell>
          <cell r="D35">
            <v>0</v>
          </cell>
          <cell r="E35">
            <v>0</v>
          </cell>
          <cell r="F35">
            <v>0.93230947832260325</v>
          </cell>
          <cell r="G35">
            <v>3.2569275136414985E-2</v>
          </cell>
          <cell r="H35">
            <v>9.7045431342324146E-3</v>
          </cell>
          <cell r="I35">
            <v>0</v>
          </cell>
          <cell r="J35">
            <v>1.5721100693143388E-2</v>
          </cell>
          <cell r="K35">
            <v>7.9045864916509436E-4</v>
          </cell>
          <cell r="L35">
            <v>0</v>
          </cell>
          <cell r="M35">
            <v>0</v>
          </cell>
          <cell r="N35">
            <v>8.9051440644407186E-3</v>
          </cell>
          <cell r="O35">
            <v>0</v>
          </cell>
          <cell r="P35">
            <v>0</v>
          </cell>
          <cell r="Q35">
            <v>1</v>
          </cell>
        </row>
        <row r="36">
          <cell r="A36" t="str">
            <v>F85</v>
          </cell>
          <cell r="B36" t="str">
            <v>Firm Sales - Scaled</v>
          </cell>
          <cell r="C36">
            <v>0</v>
          </cell>
          <cell r="D36">
            <v>0</v>
          </cell>
          <cell r="E36">
            <v>0</v>
          </cell>
          <cell r="F36" t="e">
            <v>#DIV/0!</v>
          </cell>
          <cell r="G36" t="e">
            <v>#DIV/0!</v>
          </cell>
          <cell r="H36" t="e">
            <v>#DIV/0!</v>
          </cell>
          <cell r="I36" t="e">
            <v>#DIV/0!</v>
          </cell>
          <cell r="J36" t="e">
            <v>#DIV/0!</v>
          </cell>
          <cell r="K36" t="e">
            <v>#DIV/0!</v>
          </cell>
          <cell r="L36" t="e">
            <v>#DIV/0!</v>
          </cell>
          <cell r="M36" t="e">
            <v>#DIV/0!</v>
          </cell>
          <cell r="N36" t="e">
            <v>#DIV/0!</v>
          </cell>
          <cell r="O36" t="e">
            <v>#DIV/0!</v>
          </cell>
          <cell r="P36" t="e">
            <v>#DIV/0!</v>
          </cell>
          <cell r="Q36" t="e">
            <v>#DIV/0!</v>
          </cell>
        </row>
        <row r="37">
          <cell r="A37" t="str">
            <v>F86</v>
          </cell>
          <cell r="B37" t="str">
            <v>Non Firm Sales - Utah Share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1</v>
          </cell>
        </row>
        <row r="38">
          <cell r="A38" t="str">
            <v>F87</v>
          </cell>
          <cell r="B38" t="str">
            <v>Firm Purchases (Non-Seasonal) - Scaled</v>
          </cell>
          <cell r="C38">
            <v>0</v>
          </cell>
          <cell r="D38">
            <v>0</v>
          </cell>
          <cell r="E38">
            <v>0</v>
          </cell>
          <cell r="F38" t="e">
            <v>#DIV/0!</v>
          </cell>
          <cell r="G38" t="e">
            <v>#DIV/0!</v>
          </cell>
          <cell r="H38" t="e">
            <v>#DIV/0!</v>
          </cell>
          <cell r="I38" t="e">
            <v>#DIV/0!</v>
          </cell>
          <cell r="J38" t="e">
            <v>#DIV/0!</v>
          </cell>
          <cell r="K38" t="e">
            <v>#DIV/0!</v>
          </cell>
          <cell r="L38" t="e">
            <v>#DIV/0!</v>
          </cell>
          <cell r="M38" t="e">
            <v>#DIV/0!</v>
          </cell>
          <cell r="N38" t="e">
            <v>#DIV/0!</v>
          </cell>
          <cell r="O38" t="e">
            <v>#DIV/0!</v>
          </cell>
          <cell r="P38" t="e">
            <v>#DIV/0!</v>
          </cell>
          <cell r="Q38" t="e">
            <v>#DIV/0!</v>
          </cell>
        </row>
        <row r="39">
          <cell r="A39" t="str">
            <v>F88</v>
          </cell>
          <cell r="B39" t="str">
            <v>Seasonal Purchases - Scaled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1</v>
          </cell>
        </row>
        <row r="40">
          <cell r="A40" t="str">
            <v>F89</v>
          </cell>
          <cell r="B40" t="str">
            <v>Non firm Purchases - Scaled</v>
          </cell>
          <cell r="C40">
            <v>0</v>
          </cell>
          <cell r="D40">
            <v>0</v>
          </cell>
          <cell r="E40">
            <v>0</v>
          </cell>
          <cell r="F40" t="e">
            <v>#DIV/0!</v>
          </cell>
          <cell r="G40" t="e">
            <v>#DIV/0!</v>
          </cell>
          <cell r="H40" t="e">
            <v>#DIV/0!</v>
          </cell>
          <cell r="I40" t="e">
            <v>#DIV/0!</v>
          </cell>
          <cell r="J40" t="e">
            <v>#DIV/0!</v>
          </cell>
          <cell r="K40" t="e">
            <v>#DIV/0!</v>
          </cell>
          <cell r="L40" t="e">
            <v>#DIV/0!</v>
          </cell>
          <cell r="M40" t="e">
            <v>#DIV/0!</v>
          </cell>
          <cell r="N40" t="e">
            <v>#DIV/0!</v>
          </cell>
          <cell r="O40" t="e">
            <v>#DIV/0!</v>
          </cell>
          <cell r="P40" t="e">
            <v>#DIV/0!</v>
          </cell>
          <cell r="Q40" t="e">
            <v>#DIV/0!</v>
          </cell>
        </row>
        <row r="41">
          <cell r="A41" t="str">
            <v>F90</v>
          </cell>
          <cell r="B41" t="str">
            <v>Coal (Non-Seasonal) - Scaled</v>
          </cell>
          <cell r="C41">
            <v>0</v>
          </cell>
          <cell r="D41">
            <v>0</v>
          </cell>
          <cell r="E41">
            <v>0</v>
          </cell>
          <cell r="F41" t="e">
            <v>#DIV/0!</v>
          </cell>
          <cell r="G41" t="e">
            <v>#DIV/0!</v>
          </cell>
          <cell r="H41" t="e">
            <v>#DIV/0!</v>
          </cell>
          <cell r="I41" t="e">
            <v>#DIV/0!</v>
          </cell>
          <cell r="J41" t="e">
            <v>#DIV/0!</v>
          </cell>
          <cell r="K41" t="e">
            <v>#DIV/0!</v>
          </cell>
          <cell r="L41" t="e">
            <v>#DIV/0!</v>
          </cell>
          <cell r="M41" t="e">
            <v>#DIV/0!</v>
          </cell>
          <cell r="N41" t="e">
            <v>#DIV/0!</v>
          </cell>
          <cell r="O41" t="e">
            <v>#DIV/0!</v>
          </cell>
          <cell r="P41" t="e">
            <v>#DIV/0!</v>
          </cell>
          <cell r="Q41" t="e">
            <v>#DIV/0!</v>
          </cell>
        </row>
        <row r="42">
          <cell r="A42" t="str">
            <v>F91</v>
          </cell>
          <cell r="B42" t="str">
            <v>Seasonal Cholla Coal - Scaled</v>
          </cell>
          <cell r="C42">
            <v>0</v>
          </cell>
          <cell r="D42">
            <v>0</v>
          </cell>
          <cell r="E42">
            <v>0</v>
          </cell>
          <cell r="F42">
            <v>0.30101360459864346</v>
          </cell>
          <cell r="G42">
            <v>0.2745541378526275</v>
          </cell>
          <cell r="H42">
            <v>9.336199624871358E-2</v>
          </cell>
          <cell r="I42">
            <v>3.8620350311723587E-3</v>
          </cell>
          <cell r="J42">
            <v>0.19865678486233318</v>
          </cell>
          <cell r="K42">
            <v>8.2967805396901208E-3</v>
          </cell>
          <cell r="L42">
            <v>2.5734366680461331E-4</v>
          </cell>
          <cell r="M42">
            <v>7.1582550693575781E-4</v>
          </cell>
          <cell r="N42">
            <v>6.4495439340537059E-2</v>
          </cell>
          <cell r="O42">
            <v>2.357400186540495E-2</v>
          </cell>
          <cell r="P42">
            <v>3.1212050487137585E-2</v>
          </cell>
          <cell r="Q42">
            <v>1</v>
          </cell>
        </row>
        <row r="43">
          <cell r="A43" t="str">
            <v>F92</v>
          </cell>
          <cell r="B43" t="str">
            <v>Gas (Non-Seasonal) - Scaled</v>
          </cell>
          <cell r="C43">
            <v>0</v>
          </cell>
          <cell r="D43">
            <v>0</v>
          </cell>
          <cell r="E43">
            <v>0</v>
          </cell>
          <cell r="F43" t="e">
            <v>#DIV/0!</v>
          </cell>
          <cell r="G43" t="e">
            <v>#DIV/0!</v>
          </cell>
          <cell r="H43" t="e">
            <v>#DIV/0!</v>
          </cell>
          <cell r="I43" t="e">
            <v>#DIV/0!</v>
          </cell>
          <cell r="J43" t="e">
            <v>#DIV/0!</v>
          </cell>
          <cell r="K43" t="e">
            <v>#DIV/0!</v>
          </cell>
          <cell r="L43" t="e">
            <v>#DIV/0!</v>
          </cell>
          <cell r="M43" t="e">
            <v>#DIV/0!</v>
          </cell>
          <cell r="N43" t="e">
            <v>#DIV/0!</v>
          </cell>
          <cell r="O43" t="e">
            <v>#DIV/0!</v>
          </cell>
          <cell r="P43" t="e">
            <v>#DIV/0!</v>
          </cell>
          <cell r="Q43" t="e">
            <v>#DIV/0!</v>
          </cell>
        </row>
        <row r="44">
          <cell r="A44" t="str">
            <v>F93</v>
          </cell>
          <cell r="B44" t="str">
            <v>Seasonal CT Gas - Scaled</v>
          </cell>
          <cell r="C44">
            <v>0</v>
          </cell>
          <cell r="D44">
            <v>0</v>
          </cell>
          <cell r="E44">
            <v>0</v>
          </cell>
          <cell r="F44">
            <v>0.29996062721168415</v>
          </cell>
          <cell r="G44">
            <v>0.27483717935372259</v>
          </cell>
          <cell r="H44">
            <v>9.352187773184481E-2</v>
          </cell>
          <cell r="I44">
            <v>3.856106619042024E-3</v>
          </cell>
          <cell r="J44">
            <v>0.19866893964910762</v>
          </cell>
          <cell r="K44">
            <v>8.879767805005748E-3</v>
          </cell>
          <cell r="L44">
            <v>2.5647705928289984E-4</v>
          </cell>
          <cell r="M44">
            <v>7.1750499373592503E-4</v>
          </cell>
          <cell r="N44">
            <v>6.4344803082258178E-2</v>
          </cell>
          <cell r="O44">
            <v>2.3627892852760447E-2</v>
          </cell>
          <cell r="P44">
            <v>3.1328823641555752E-2</v>
          </cell>
          <cell r="Q44">
            <v>1</v>
          </cell>
        </row>
        <row r="45">
          <cell r="A45" t="str">
            <v>F94</v>
          </cell>
          <cell r="B45" t="str">
            <v>Other Generation - Scaled</v>
          </cell>
          <cell r="C45">
            <v>0</v>
          </cell>
          <cell r="D45">
            <v>0</v>
          </cell>
          <cell r="E45">
            <v>0</v>
          </cell>
          <cell r="F45" t="e">
            <v>#DIV/0!</v>
          </cell>
          <cell r="G45" t="e">
            <v>#DIV/0!</v>
          </cell>
          <cell r="H45" t="e">
            <v>#DIV/0!</v>
          </cell>
          <cell r="I45" t="e">
            <v>#DIV/0!</v>
          </cell>
          <cell r="J45" t="e">
            <v>#DIV/0!</v>
          </cell>
          <cell r="K45" t="e">
            <v>#DIV/0!</v>
          </cell>
          <cell r="L45" t="e">
            <v>#DIV/0!</v>
          </cell>
          <cell r="M45" t="e">
            <v>#DIV/0!</v>
          </cell>
          <cell r="N45" t="e">
            <v>#DIV/0!</v>
          </cell>
          <cell r="O45" t="e">
            <v>#DIV/0!</v>
          </cell>
          <cell r="P45" t="e">
            <v>#DIV/0!</v>
          </cell>
          <cell r="Q45" t="e">
            <v>#DIV/0!</v>
          </cell>
        </row>
        <row r="46">
          <cell r="A46" t="str">
            <v>F95</v>
          </cell>
          <cell r="B46" t="str">
            <v>Firm Wheeling - Scaled</v>
          </cell>
          <cell r="C46">
            <v>0</v>
          </cell>
          <cell r="D46">
            <v>0</v>
          </cell>
          <cell r="E46">
            <v>0</v>
          </cell>
          <cell r="F46" t="e">
            <v>#DIV/0!</v>
          </cell>
          <cell r="G46" t="e">
            <v>#DIV/0!</v>
          </cell>
          <cell r="H46" t="e">
            <v>#DIV/0!</v>
          </cell>
          <cell r="I46" t="e">
            <v>#DIV/0!</v>
          </cell>
          <cell r="J46" t="e">
            <v>#DIV/0!</v>
          </cell>
          <cell r="K46" t="e">
            <v>#DIV/0!</v>
          </cell>
          <cell r="L46" t="e">
            <v>#DIV/0!</v>
          </cell>
          <cell r="M46" t="e">
            <v>#DIV/0!</v>
          </cell>
          <cell r="N46" t="e">
            <v>#DIV/0!</v>
          </cell>
          <cell r="O46" t="e">
            <v>#DIV/0!</v>
          </cell>
          <cell r="P46" t="e">
            <v>#DIV/0!</v>
          </cell>
          <cell r="Q46" t="e">
            <v>#DIV/0!</v>
          </cell>
        </row>
        <row r="47">
          <cell r="A47" t="str">
            <v>F96</v>
          </cell>
          <cell r="B47" t="str">
            <v>Non-Firm Wheeling - Scaled</v>
          </cell>
          <cell r="C47">
            <v>0</v>
          </cell>
          <cell r="D47">
            <v>0</v>
          </cell>
          <cell r="E47">
            <v>0</v>
          </cell>
          <cell r="F47" t="e">
            <v>#DIV/0!</v>
          </cell>
          <cell r="G47" t="e">
            <v>#DIV/0!</v>
          </cell>
          <cell r="H47" t="e">
            <v>#DIV/0!</v>
          </cell>
          <cell r="I47" t="e">
            <v>#DIV/0!</v>
          </cell>
          <cell r="J47" t="e">
            <v>#DIV/0!</v>
          </cell>
          <cell r="K47" t="e">
            <v>#DIV/0!</v>
          </cell>
          <cell r="L47" t="e">
            <v>#DIV/0!</v>
          </cell>
          <cell r="M47" t="e">
            <v>#DIV/0!</v>
          </cell>
          <cell r="N47" t="e">
            <v>#DIV/0!</v>
          </cell>
          <cell r="O47" t="e">
            <v>#DIV/0!</v>
          </cell>
          <cell r="P47" t="e">
            <v>#DIV/0!</v>
          </cell>
          <cell r="Q47" t="e">
            <v>#DIV/0!</v>
          </cell>
        </row>
        <row r="48">
          <cell r="A48" t="str">
            <v>F101</v>
          </cell>
          <cell r="B48" t="str">
            <v>Rate Base</v>
          </cell>
          <cell r="C48">
            <v>0</v>
          </cell>
          <cell r="D48">
            <v>0</v>
          </cell>
          <cell r="E48">
            <v>0</v>
          </cell>
          <cell r="F48">
            <v>0.45378817176052955</v>
          </cell>
          <cell r="G48">
            <v>0.264573102971011</v>
          </cell>
          <cell r="H48">
            <v>7.2681998782379645E-2</v>
          </cell>
          <cell r="I48">
            <v>2.8922572459532917E-3</v>
          </cell>
          <cell r="J48">
            <v>0.10472807285348248</v>
          </cell>
          <cell r="K48">
            <v>1.3242015692012769E-2</v>
          </cell>
          <cell r="L48">
            <v>2.5651895696860463E-4</v>
          </cell>
          <cell r="M48">
            <v>1.0409663140361493E-4</v>
          </cell>
          <cell r="N48">
            <v>7.5097713515809489E-2</v>
          </cell>
          <cell r="O48">
            <v>1.134948424990017E-2</v>
          </cell>
          <cell r="P48">
            <v>1.2865673405494916E-3</v>
          </cell>
          <cell r="Q48">
            <v>1</v>
          </cell>
        </row>
        <row r="49">
          <cell r="A49" t="str">
            <v>F101G</v>
          </cell>
          <cell r="B49" t="str">
            <v>Generation Rate Base</v>
          </cell>
          <cell r="C49">
            <v>0</v>
          </cell>
          <cell r="D49">
            <v>0</v>
          </cell>
          <cell r="E49">
            <v>0</v>
          </cell>
          <cell r="F49">
            <v>0.40299205757185619</v>
          </cell>
          <cell r="G49">
            <v>0.27510269192675446</v>
          </cell>
          <cell r="H49">
            <v>7.6679676681942879E-2</v>
          </cell>
          <cell r="I49">
            <v>3.1487783596122182E-4</v>
          </cell>
          <cell r="J49">
            <v>0.14141584941172713</v>
          </cell>
          <cell r="K49">
            <v>1.339812310191282E-2</v>
          </cell>
          <cell r="L49">
            <v>1.7093553851278784E-4</v>
          </cell>
          <cell r="M49">
            <v>5.8420956383830169E-5</v>
          </cell>
          <cell r="N49">
            <v>7.2018224837593944E-2</v>
          </cell>
          <cell r="O49">
            <v>1.5302267165017725E-2</v>
          </cell>
          <cell r="P49">
            <v>2.546874972337361E-3</v>
          </cell>
          <cell r="Q49">
            <v>1</v>
          </cell>
        </row>
        <row r="50">
          <cell r="A50" t="str">
            <v>F101T</v>
          </cell>
          <cell r="B50" t="str">
            <v>Transmission Rate Base</v>
          </cell>
          <cell r="C50">
            <v>0</v>
          </cell>
          <cell r="D50">
            <v>0</v>
          </cell>
          <cell r="E50">
            <v>0</v>
          </cell>
          <cell r="F50">
            <v>0.4105134846028759</v>
          </cell>
          <cell r="G50">
            <v>0.27449795539884803</v>
          </cell>
          <cell r="H50">
            <v>7.4921751694764491E-2</v>
          </cell>
          <cell r="I50">
            <v>-1.1942446951881677E-4</v>
          </cell>
          <cell r="J50">
            <v>0.14010322989934965</v>
          </cell>
          <cell r="K50">
            <v>1.3754228314403004E-2</v>
          </cell>
          <cell r="L50">
            <v>1.5724137219551822E-4</v>
          </cell>
          <cell r="M50">
            <v>-1.0382211601644794E-5</v>
          </cell>
          <cell r="N50">
            <v>7.1360850837823037E-2</v>
          </cell>
          <cell r="O50">
            <v>1.4747876359320717E-2</v>
          </cell>
          <cell r="P50">
            <v>7.3188201540267742E-5</v>
          </cell>
          <cell r="Q50">
            <v>1</v>
          </cell>
        </row>
        <row r="51">
          <cell r="A51" t="str">
            <v>F101D</v>
          </cell>
          <cell r="B51" t="str">
            <v>Distribution Rate Base</v>
          </cell>
          <cell r="C51">
            <v>0</v>
          </cell>
          <cell r="D51">
            <v>0</v>
          </cell>
          <cell r="E51">
            <v>0</v>
          </cell>
          <cell r="F51">
            <v>0.59190080695585179</v>
          </cell>
          <cell r="G51">
            <v>0.23354058800748179</v>
          </cell>
          <cell r="H51">
            <v>6.2880275045593195E-2</v>
          </cell>
          <cell r="I51">
            <v>1.0823812797558169E-2</v>
          </cell>
          <cell r="J51">
            <v>7.2561264575782703E-4</v>
          </cell>
          <cell r="K51">
            <v>1.2475553228536541E-2</v>
          </cell>
          <cell r="L51">
            <v>4.999613576597518E-4</v>
          </cell>
          <cell r="M51">
            <v>2.9474096053520133E-4</v>
          </cell>
          <cell r="N51">
            <v>8.6676937109290822E-2</v>
          </cell>
          <cell r="O51">
            <v>9.1138490348559981E-5</v>
          </cell>
          <cell r="P51">
            <v>9.0573401386521732E-5</v>
          </cell>
          <cell r="Q51">
            <v>1</v>
          </cell>
        </row>
        <row r="52">
          <cell r="A52" t="str">
            <v>F101R</v>
          </cell>
          <cell r="B52" t="str">
            <v>Retail Rate Base</v>
          </cell>
          <cell r="C52">
            <v>0</v>
          </cell>
          <cell r="D52">
            <v>0</v>
          </cell>
          <cell r="E52">
            <v>0</v>
          </cell>
          <cell r="F52">
            <v>-2.9111170386286092</v>
          </cell>
          <cell r="G52">
            <v>5.8881018376450149E-2</v>
          </cell>
          <cell r="H52">
            <v>0.36961522180050771</v>
          </cell>
          <cell r="I52">
            <v>-3.9721071552115982E-2</v>
          </cell>
          <cell r="J52">
            <v>2.1595541023237761</v>
          </cell>
          <cell r="K52">
            <v>1.3995730007269305E-2</v>
          </cell>
          <cell r="L52">
            <v>-1.2200181864581725E-2</v>
          </cell>
          <cell r="M52">
            <v>-2.226599254197382E-3</v>
          </cell>
          <cell r="N52">
            <v>1.1311331890346923</v>
          </cell>
          <cell r="O52">
            <v>-9.8199655958833705E-5</v>
          </cell>
          <cell r="P52">
            <v>0.23218382941276469</v>
          </cell>
          <cell r="Q52">
            <v>1</v>
          </cell>
        </row>
        <row r="53">
          <cell r="A53" t="str">
            <v>F101M</v>
          </cell>
          <cell r="B53" t="str">
            <v>Misc Rate Base</v>
          </cell>
          <cell r="C53">
            <v>0</v>
          </cell>
          <cell r="D53">
            <v>0</v>
          </cell>
          <cell r="E53">
            <v>0</v>
          </cell>
          <cell r="F53">
            <v>0.41482254593334705</v>
          </cell>
          <cell r="G53">
            <v>0.26822268075141104</v>
          </cell>
          <cell r="H53">
            <v>7.7134888399055634E-2</v>
          </cell>
          <cell r="I53">
            <v>3.2790339417739459E-3</v>
          </cell>
          <cell r="J53">
            <v>0.12960220153720126</v>
          </cell>
          <cell r="K53">
            <v>1.2422703218888975E-2</v>
          </cell>
          <cell r="L53">
            <v>2.3321571597314814E-4</v>
          </cell>
          <cell r="M53">
            <v>1.9690790417674302E-4</v>
          </cell>
          <cell r="N53">
            <v>7.3067822266258034E-2</v>
          </cell>
          <cell r="O53">
            <v>1.4305662361442734E-2</v>
          </cell>
          <cell r="P53">
            <v>6.7123379704712525E-3</v>
          </cell>
          <cell r="Q53">
            <v>1</v>
          </cell>
        </row>
        <row r="54">
          <cell r="A54" t="str">
            <v>F102</v>
          </cell>
          <cell r="B54" t="str">
            <v>SGP - System Gross Plant</v>
          </cell>
          <cell r="C54">
            <v>0</v>
          </cell>
          <cell r="D54">
            <v>0</v>
          </cell>
          <cell r="E54">
            <v>0</v>
          </cell>
          <cell r="F54">
            <v>0.45881007819751091</v>
          </cell>
          <cell r="G54">
            <v>0.26331633760026024</v>
          </cell>
          <cell r="H54">
            <v>7.1763778244284093E-2</v>
          </cell>
          <cell r="I54">
            <v>4.295826988012565E-3</v>
          </cell>
          <cell r="J54">
            <v>0.10095192275591902</v>
          </cell>
          <cell r="K54">
            <v>1.3360260905088728E-2</v>
          </cell>
          <cell r="L54">
            <v>2.5052857916604989E-4</v>
          </cell>
          <cell r="M54">
            <v>7.6315449556702279E-5</v>
          </cell>
          <cell r="N54">
            <v>7.64519649695031E-2</v>
          </cell>
          <cell r="O54">
            <v>1.0697459618593331E-2</v>
          </cell>
          <cell r="P54">
            <v>2.5526692105047385E-5</v>
          </cell>
          <cell r="Q54">
            <v>1</v>
          </cell>
        </row>
        <row r="55">
          <cell r="A55" t="str">
            <v>F102G</v>
          </cell>
          <cell r="B55" t="str">
            <v>SGGP - System Gross Generation Plant</v>
          </cell>
          <cell r="C55">
            <v>0</v>
          </cell>
          <cell r="D55">
            <v>0</v>
          </cell>
          <cell r="E55">
            <v>0</v>
          </cell>
          <cell r="F55">
            <v>0.4121183225666416</v>
          </cell>
          <cell r="G55">
            <v>0.27512738379881596</v>
          </cell>
          <cell r="H55">
            <v>7.5173056973591668E-2</v>
          </cell>
          <cell r="I55">
            <v>0</v>
          </cell>
          <cell r="J55">
            <v>0.13631379153323206</v>
          </cell>
          <cell r="K55">
            <v>1.3850859666903158E-2</v>
          </cell>
          <cell r="L55">
            <v>1.6328122823383863E-4</v>
          </cell>
          <cell r="M55">
            <v>0</v>
          </cell>
          <cell r="N55">
            <v>7.2688644676086323E-2</v>
          </cell>
          <cell r="O55">
            <v>1.4564659556495304E-2</v>
          </cell>
          <cell r="P55">
            <v>0</v>
          </cell>
          <cell r="Q55">
            <v>1</v>
          </cell>
        </row>
        <row r="56">
          <cell r="A56" t="str">
            <v>F102T</v>
          </cell>
          <cell r="B56" t="str">
            <v>SGTP - System Gross Transmission Plant</v>
          </cell>
          <cell r="C56">
            <v>0</v>
          </cell>
          <cell r="D56">
            <v>0</v>
          </cell>
          <cell r="E56">
            <v>0</v>
          </cell>
          <cell r="F56">
            <v>0.41004683155212651</v>
          </cell>
          <cell r="G56">
            <v>0.27374447051353196</v>
          </cell>
          <cell r="H56">
            <v>7.479520356711214E-2</v>
          </cell>
          <cell r="I56">
            <v>0</v>
          </cell>
          <cell r="J56">
            <v>0.14048597972129503</v>
          </cell>
          <cell r="K56">
            <v>1.3781239051239654E-2</v>
          </cell>
          <cell r="L56">
            <v>1.6246050375107624E-4</v>
          </cell>
          <cell r="M56">
            <v>0</v>
          </cell>
          <cell r="N56">
            <v>7.2323279036999866E-2</v>
          </cell>
          <cell r="O56">
            <v>1.4660536053943535E-2</v>
          </cell>
          <cell r="P56">
            <v>0</v>
          </cell>
          <cell r="Q56">
            <v>1</v>
          </cell>
        </row>
        <row r="57">
          <cell r="A57" t="str">
            <v>F102D</v>
          </cell>
          <cell r="B57" t="str">
            <v>SGDP - System Gross Distribution Plant</v>
          </cell>
          <cell r="C57">
            <v>0</v>
          </cell>
          <cell r="D57">
            <v>0</v>
          </cell>
          <cell r="E57">
            <v>0</v>
          </cell>
          <cell r="F57">
            <v>0.58757526930775283</v>
          </cell>
          <cell r="G57">
            <v>0.23231580211761113</v>
          </cell>
          <cell r="H57">
            <v>6.2797843453037627E-2</v>
          </cell>
          <cell r="I57">
            <v>1.5985660285324901E-2</v>
          </cell>
          <cell r="J57">
            <v>1.2863533759124863E-3</v>
          </cell>
          <cell r="K57">
            <v>1.2082619841640331E-2</v>
          </cell>
          <cell r="L57">
            <v>4.8862307822059524E-4</v>
          </cell>
          <cell r="M57">
            <v>2.8398556425562535E-4</v>
          </cell>
          <cell r="N57">
            <v>8.6993862779491685E-2</v>
          </cell>
          <cell r="O57">
            <v>9.4990098376415165E-5</v>
          </cell>
          <cell r="P57">
            <v>9.4990098376415165E-5</v>
          </cell>
          <cell r="Q57">
            <v>1</v>
          </cell>
        </row>
        <row r="58">
          <cell r="A58" t="str">
            <v>F102R</v>
          </cell>
          <cell r="B58" t="str">
            <v>SGTP - System Gross Retail Plant</v>
          </cell>
          <cell r="C58">
            <v>0</v>
          </cell>
          <cell r="D58">
            <v>0</v>
          </cell>
          <cell r="E58">
            <v>0</v>
          </cell>
          <cell r="F58">
            <v>0.45881007819751091</v>
          </cell>
          <cell r="G58">
            <v>0.26331633760026024</v>
          </cell>
          <cell r="H58">
            <v>7.1763778244284093E-2</v>
          </cell>
          <cell r="I58">
            <v>4.295826988012565E-3</v>
          </cell>
          <cell r="J58">
            <v>0.10095192275591902</v>
          </cell>
          <cell r="K58">
            <v>1.3360260905088728E-2</v>
          </cell>
          <cell r="L58">
            <v>2.5052857916604989E-4</v>
          </cell>
          <cell r="M58">
            <v>7.6315449556702279E-5</v>
          </cell>
          <cell r="N58">
            <v>7.64519649695031E-2</v>
          </cell>
          <cell r="O58">
            <v>1.0697459618593331E-2</v>
          </cell>
          <cell r="P58">
            <v>2.5526692105047385E-5</v>
          </cell>
          <cell r="Q58">
            <v>1</v>
          </cell>
        </row>
        <row r="59">
          <cell r="A59" t="str">
            <v>F102M</v>
          </cell>
          <cell r="B59" t="str">
            <v>SGDP - System Gross Misc Plant</v>
          </cell>
          <cell r="C59">
            <v>0</v>
          </cell>
          <cell r="D59">
            <v>0</v>
          </cell>
          <cell r="E59">
            <v>0</v>
          </cell>
          <cell r="F59">
            <v>0.45881007819751091</v>
          </cell>
          <cell r="G59">
            <v>0.26331633760026024</v>
          </cell>
          <cell r="H59">
            <v>7.1763778244284093E-2</v>
          </cell>
          <cell r="I59">
            <v>4.295826988012565E-3</v>
          </cell>
          <cell r="J59">
            <v>0.10095192275591902</v>
          </cell>
          <cell r="K59">
            <v>1.3360260905088728E-2</v>
          </cell>
          <cell r="L59">
            <v>2.5052857916604989E-4</v>
          </cell>
          <cell r="M59">
            <v>7.6315449556702279E-5</v>
          </cell>
          <cell r="N59">
            <v>7.64519649695031E-2</v>
          </cell>
          <cell r="O59">
            <v>1.0697459618593331E-2</v>
          </cell>
          <cell r="P59">
            <v>2.5526692105047385E-5</v>
          </cell>
          <cell r="Q59">
            <v>1</v>
          </cell>
        </row>
        <row r="60">
          <cell r="A60" t="str">
            <v>F103</v>
          </cell>
          <cell r="B60" t="str">
            <v>SGP - System Gross Plant (Regulatory fees)</v>
          </cell>
          <cell r="C60">
            <v>0</v>
          </cell>
          <cell r="D60">
            <v>0</v>
          </cell>
          <cell r="E60">
            <v>0</v>
          </cell>
          <cell r="F60">
            <v>0.33333333333333331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0.33333333333333331</v>
          </cell>
          <cell r="L60">
            <v>0</v>
          </cell>
          <cell r="M60">
            <v>0</v>
          </cell>
          <cell r="N60">
            <v>0.33333333333333331</v>
          </cell>
          <cell r="O60">
            <v>0</v>
          </cell>
          <cell r="P60">
            <v>0</v>
          </cell>
          <cell r="Q60">
            <v>1</v>
          </cell>
        </row>
        <row r="61">
          <cell r="A61" t="str">
            <v>F104</v>
          </cell>
          <cell r="B61" t="str">
            <v>SNP - System Net Plant</v>
          </cell>
          <cell r="C61">
            <v>0</v>
          </cell>
          <cell r="D61">
            <v>0</v>
          </cell>
          <cell r="E61">
            <v>0</v>
          </cell>
          <cell r="F61">
            <v>0.45705645937424816</v>
          </cell>
          <cell r="G61">
            <v>0.26327855748433593</v>
          </cell>
          <cell r="H61">
            <v>7.2070570542026355E-2</v>
          </cell>
          <cell r="I61">
            <v>3.1749571264844808E-3</v>
          </cell>
          <cell r="J61">
            <v>0.10291579539742153</v>
          </cell>
          <cell r="K61">
            <v>1.3337821790545342E-2</v>
          </cell>
          <cell r="L61">
            <v>2.5748135387042536E-4</v>
          </cell>
          <cell r="M61">
            <v>9.3110666447700419E-5</v>
          </cell>
          <cell r="N61">
            <v>7.621773643796978E-2</v>
          </cell>
          <cell r="O61">
            <v>1.0953218499813148E-2</v>
          </cell>
          <cell r="P61">
            <v>6.4429132683729536E-4</v>
          </cell>
          <cell r="Q61">
            <v>1</v>
          </cell>
        </row>
        <row r="62">
          <cell r="A62" t="str">
            <v>F104G</v>
          </cell>
          <cell r="B62" t="str">
            <v>SNP - System Net Generation Plant</v>
          </cell>
          <cell r="C62">
            <v>0</v>
          </cell>
          <cell r="D62">
            <v>0</v>
          </cell>
          <cell r="E62">
            <v>0</v>
          </cell>
          <cell r="F62">
            <v>0.40877522730707461</v>
          </cell>
          <cell r="G62">
            <v>0.27495727380557811</v>
          </cell>
          <cell r="H62">
            <v>7.5657533003932173E-2</v>
          </cell>
          <cell r="I62">
            <v>1.2196716553323544E-4</v>
          </cell>
          <cell r="J62">
            <v>0.13830344653436941</v>
          </cell>
          <cell r="K62">
            <v>1.3743849425120129E-2</v>
          </cell>
          <cell r="L62">
            <v>1.6627774160888801E-4</v>
          </cell>
          <cell r="M62">
            <v>2.1838355783517017E-5</v>
          </cell>
          <cell r="N62">
            <v>7.2427668787547667E-2</v>
          </cell>
          <cell r="O62">
            <v>1.4854590435372681E-2</v>
          </cell>
          <cell r="P62">
            <v>9.7032743807959007E-4</v>
          </cell>
          <cell r="Q62">
            <v>1</v>
          </cell>
        </row>
        <row r="63">
          <cell r="A63" t="str">
            <v>F104T</v>
          </cell>
          <cell r="B63" t="str">
            <v>SNP - System Net Transmission Plant</v>
          </cell>
          <cell r="C63">
            <v>0</v>
          </cell>
          <cell r="D63">
            <v>0</v>
          </cell>
          <cell r="E63">
            <v>0</v>
          </cell>
          <cell r="F63">
            <v>0.41105996311973853</v>
          </cell>
          <cell r="G63">
            <v>0.27362634695543442</v>
          </cell>
          <cell r="H63">
            <v>7.4577282184679669E-2</v>
          </cell>
          <cell r="I63">
            <v>-2.9912465489271658E-5</v>
          </cell>
          <cell r="J63">
            <v>0.14000981499018197</v>
          </cell>
          <cell r="K63">
            <v>1.3875619058555565E-2</v>
          </cell>
          <cell r="L63">
            <v>1.6175691075761786E-4</v>
          </cell>
          <cell r="M63">
            <v>-6.1508474086935062E-6</v>
          </cell>
          <cell r="N63">
            <v>7.2386087605557869E-2</v>
          </cell>
          <cell r="O63">
            <v>1.459345390417798E-2</v>
          </cell>
          <cell r="P63">
            <v>-2.5426141618576135E-4</v>
          </cell>
          <cell r="Q63">
            <v>1</v>
          </cell>
        </row>
        <row r="64">
          <cell r="A64" t="str">
            <v>F104D</v>
          </cell>
          <cell r="B64" t="str">
            <v>SNP - System Net Distribution Plant</v>
          </cell>
          <cell r="C64">
            <v>0</v>
          </cell>
          <cell r="D64">
            <v>0</v>
          </cell>
          <cell r="E64">
            <v>0</v>
          </cell>
          <cell r="F64">
            <v>0.58757875122739411</v>
          </cell>
          <cell r="G64">
            <v>0.23231485349522929</v>
          </cell>
          <cell r="H64">
            <v>6.2797915439090787E-2</v>
          </cell>
          <cell r="I64">
            <v>1.5985660285324905E-2</v>
          </cell>
          <cell r="J64">
            <v>1.2865488867585234E-3</v>
          </cell>
          <cell r="K64">
            <v>1.2082490489625208E-2</v>
          </cell>
          <cell r="L64">
            <v>4.8863476598618252E-4</v>
          </cell>
          <cell r="M64">
            <v>2.8398810650972204E-4</v>
          </cell>
          <cell r="N64">
            <v>8.6991148232534302E-2</v>
          </cell>
          <cell r="O64">
            <v>9.5004535773514964E-5</v>
          </cell>
          <cell r="P64">
            <v>9.5004535773514964E-5</v>
          </cell>
          <cell r="Q64">
            <v>1</v>
          </cell>
        </row>
        <row r="65">
          <cell r="A65" t="str">
            <v>F104R</v>
          </cell>
          <cell r="B65" t="str">
            <v>SNP - System Net Retail Plant</v>
          </cell>
          <cell r="C65">
            <v>0</v>
          </cell>
          <cell r="D65">
            <v>0</v>
          </cell>
          <cell r="E65">
            <v>0</v>
          </cell>
          <cell r="F65">
            <v>0.87281006316227649</v>
          </cell>
          <cell r="G65">
            <v>1.9494536681833246E-2</v>
          </cell>
          <cell r="H65">
            <v>3.6400587165248807E-4</v>
          </cell>
          <cell r="I65">
            <v>1.0487997516503603E-2</v>
          </cell>
          <cell r="J65">
            <v>1.4712639342027956E-3</v>
          </cell>
          <cell r="K65">
            <v>3.6051413897779439E-3</v>
          </cell>
          <cell r="L65">
            <v>2.7410846275616849E-3</v>
          </cell>
          <cell r="M65">
            <v>5.9622462237923649E-4</v>
          </cell>
          <cell r="N65">
            <v>8.8410323457836185E-2</v>
          </cell>
          <cell r="O65">
            <v>9.6793679881762908E-6</v>
          </cell>
          <cell r="P65">
            <v>9.6793679881762908E-6</v>
          </cell>
          <cell r="Q65">
            <v>1</v>
          </cell>
        </row>
        <row r="66">
          <cell r="A66" t="str">
            <v>F104M</v>
          </cell>
          <cell r="B66" t="str">
            <v>SNP - System Net Misc Plant</v>
          </cell>
          <cell r="C66">
            <v>0</v>
          </cell>
          <cell r="D66">
            <v>0</v>
          </cell>
          <cell r="E66">
            <v>0</v>
          </cell>
          <cell r="F66">
            <v>0.45705645937424816</v>
          </cell>
          <cell r="G66">
            <v>0.26327855748433593</v>
          </cell>
          <cell r="H66">
            <v>7.2070570542026355E-2</v>
          </cell>
          <cell r="I66">
            <v>3.1749571264844808E-3</v>
          </cell>
          <cell r="J66">
            <v>0.10291579539742153</v>
          </cell>
          <cell r="K66">
            <v>1.3337821790545342E-2</v>
          </cell>
          <cell r="L66">
            <v>2.5748135387042536E-4</v>
          </cell>
          <cell r="M66">
            <v>9.3110666447700419E-5</v>
          </cell>
          <cell r="N66">
            <v>7.621773643796978E-2</v>
          </cell>
          <cell r="O66">
            <v>1.0953218499813148E-2</v>
          </cell>
          <cell r="P66">
            <v>6.4429132683729536E-4</v>
          </cell>
          <cell r="Q66">
            <v>1</v>
          </cell>
        </row>
        <row r="67">
          <cell r="A67" t="str">
            <v>F105</v>
          </cell>
          <cell r="B67" t="str">
            <v>STP - System Prod &amp; Trans Plant</v>
          </cell>
          <cell r="C67">
            <v>0</v>
          </cell>
          <cell r="D67">
            <v>0</v>
          </cell>
          <cell r="E67">
            <v>0</v>
          </cell>
          <cell r="F67">
            <v>0.41149092752877131</v>
          </cell>
          <cell r="G67">
            <v>0.27470853914686599</v>
          </cell>
          <cell r="H67">
            <v>7.5058616046449575E-2</v>
          </cell>
          <cell r="I67">
            <v>0</v>
          </cell>
          <cell r="J67">
            <v>0.1375774273143722</v>
          </cell>
          <cell r="K67">
            <v>1.3829773585189701E-2</v>
          </cell>
          <cell r="L67">
            <v>1.6303265439772944E-4</v>
          </cell>
          <cell r="M67">
            <v>0</v>
          </cell>
          <cell r="N67">
            <v>7.2577985934452915E-2</v>
          </cell>
          <cell r="O67">
            <v>1.4593697789500374E-2</v>
          </cell>
          <cell r="P67">
            <v>0</v>
          </cell>
          <cell r="Q67">
            <v>1</v>
          </cell>
        </row>
        <row r="68">
          <cell r="A68" t="str">
            <v>F105G</v>
          </cell>
          <cell r="B68" t="str">
            <v>SGGP - System Gross Generation Plant</v>
          </cell>
          <cell r="C68">
            <v>0</v>
          </cell>
          <cell r="D68">
            <v>0</v>
          </cell>
          <cell r="E68">
            <v>0</v>
          </cell>
          <cell r="F68">
            <v>0.4121183225666416</v>
          </cell>
          <cell r="G68">
            <v>0.27512738379881596</v>
          </cell>
          <cell r="H68">
            <v>7.5173056973591668E-2</v>
          </cell>
          <cell r="I68">
            <v>0</v>
          </cell>
          <cell r="J68">
            <v>0.13631379153323206</v>
          </cell>
          <cell r="K68">
            <v>1.3850859666903158E-2</v>
          </cell>
          <cell r="L68">
            <v>1.6328122823383863E-4</v>
          </cell>
          <cell r="M68">
            <v>0</v>
          </cell>
          <cell r="N68">
            <v>7.2688644676086323E-2</v>
          </cell>
          <cell r="O68">
            <v>1.4564659556495304E-2</v>
          </cell>
          <cell r="P68">
            <v>0</v>
          </cell>
          <cell r="Q68">
            <v>1</v>
          </cell>
        </row>
        <row r="69">
          <cell r="A69" t="str">
            <v>F105T</v>
          </cell>
          <cell r="B69" t="str">
            <v>SGTP - System Gross Transmission Plant</v>
          </cell>
          <cell r="C69">
            <v>0</v>
          </cell>
          <cell r="D69">
            <v>0</v>
          </cell>
          <cell r="E69">
            <v>0</v>
          </cell>
          <cell r="F69">
            <v>0.41004683155212651</v>
          </cell>
          <cell r="G69">
            <v>0.27374447051353196</v>
          </cell>
          <cell r="H69">
            <v>7.479520356711214E-2</v>
          </cell>
          <cell r="I69">
            <v>0</v>
          </cell>
          <cell r="J69">
            <v>0.14048597972129503</v>
          </cell>
          <cell r="K69">
            <v>1.3781239051239654E-2</v>
          </cell>
          <cell r="L69">
            <v>1.6246050375107624E-4</v>
          </cell>
          <cell r="M69">
            <v>0</v>
          </cell>
          <cell r="N69">
            <v>7.2323279036999866E-2</v>
          </cell>
          <cell r="O69">
            <v>1.4660536053943535E-2</v>
          </cell>
          <cell r="P69">
            <v>0</v>
          </cell>
          <cell r="Q69">
            <v>1</v>
          </cell>
        </row>
        <row r="70">
          <cell r="A70" t="str">
            <v>F105D</v>
          </cell>
          <cell r="B70" t="str">
            <v>SGDP - System Gross Distribution Plant</v>
          </cell>
          <cell r="C70">
            <v>0</v>
          </cell>
          <cell r="D70">
            <v>0</v>
          </cell>
          <cell r="E70">
            <v>0</v>
          </cell>
          <cell r="F70">
            <v>9.0909090909090912E-2</v>
          </cell>
          <cell r="G70">
            <v>9.0909090909090912E-2</v>
          </cell>
          <cell r="H70">
            <v>9.0909090909090912E-2</v>
          </cell>
          <cell r="I70">
            <v>9.0909090909090912E-2</v>
          </cell>
          <cell r="J70">
            <v>9.0909090909090912E-2</v>
          </cell>
          <cell r="K70">
            <v>9.0909090909090912E-2</v>
          </cell>
          <cell r="L70">
            <v>9.0909090909090912E-2</v>
          </cell>
          <cell r="M70">
            <v>9.0909090909090912E-2</v>
          </cell>
          <cell r="N70">
            <v>9.0909090909090912E-2</v>
          </cell>
          <cell r="O70">
            <v>9.0909090909090912E-2</v>
          </cell>
          <cell r="P70">
            <v>9.0909090909090912E-2</v>
          </cell>
          <cell r="Q70">
            <v>1</v>
          </cell>
        </row>
        <row r="71">
          <cell r="A71" t="str">
            <v>F105R</v>
          </cell>
          <cell r="B71" t="str">
            <v>SGTP - System Gross Retail Plant</v>
          </cell>
          <cell r="C71">
            <v>0</v>
          </cell>
          <cell r="D71">
            <v>0</v>
          </cell>
          <cell r="E71">
            <v>0</v>
          </cell>
          <cell r="F71">
            <v>9.0909090909090912E-2</v>
          </cell>
          <cell r="G71">
            <v>9.0909090909090912E-2</v>
          </cell>
          <cell r="H71">
            <v>9.0909090909090912E-2</v>
          </cell>
          <cell r="I71">
            <v>9.0909090909090912E-2</v>
          </cell>
          <cell r="J71">
            <v>9.0909090909090912E-2</v>
          </cell>
          <cell r="K71">
            <v>9.0909090909090912E-2</v>
          </cell>
          <cell r="L71">
            <v>9.0909090909090912E-2</v>
          </cell>
          <cell r="M71">
            <v>9.0909090909090912E-2</v>
          </cell>
          <cell r="N71">
            <v>9.0909090909090912E-2</v>
          </cell>
          <cell r="O71">
            <v>9.0909090909090912E-2</v>
          </cell>
          <cell r="P71">
            <v>9.0909090909090912E-2</v>
          </cell>
          <cell r="Q71">
            <v>1</v>
          </cell>
        </row>
        <row r="72">
          <cell r="A72" t="str">
            <v>F105M</v>
          </cell>
          <cell r="B72" t="str">
            <v>SGDP - System Gross Misc Plant</v>
          </cell>
          <cell r="C72">
            <v>0</v>
          </cell>
          <cell r="D72">
            <v>0</v>
          </cell>
          <cell r="E72">
            <v>0</v>
          </cell>
          <cell r="F72">
            <v>9.0909090909090912E-2</v>
          </cell>
          <cell r="G72">
            <v>9.0909090909090912E-2</v>
          </cell>
          <cell r="H72">
            <v>9.0909090909090912E-2</v>
          </cell>
          <cell r="I72">
            <v>9.0909090909090912E-2</v>
          </cell>
          <cell r="J72">
            <v>9.0909090909090912E-2</v>
          </cell>
          <cell r="K72">
            <v>9.0909090909090912E-2</v>
          </cell>
          <cell r="L72">
            <v>9.0909090909090912E-2</v>
          </cell>
          <cell r="M72">
            <v>9.0909090909090912E-2</v>
          </cell>
          <cell r="N72">
            <v>9.0909090909090912E-2</v>
          </cell>
          <cell r="O72">
            <v>9.0909090909090912E-2</v>
          </cell>
          <cell r="P72">
            <v>9.0909090909090912E-2</v>
          </cell>
          <cell r="Q72">
            <v>1</v>
          </cell>
        </row>
        <row r="73">
          <cell r="A73" t="str">
            <v>F106</v>
          </cell>
          <cell r="B73" t="str">
            <v>STP - System Transmission Plant</v>
          </cell>
          <cell r="C73">
            <v>0</v>
          </cell>
          <cell r="D73">
            <v>0</v>
          </cell>
          <cell r="E73">
            <v>0</v>
          </cell>
          <cell r="F73">
            <v>0.41004683155212651</v>
          </cell>
          <cell r="G73">
            <v>0.27374447051353196</v>
          </cell>
          <cell r="H73">
            <v>7.479520356711214E-2</v>
          </cell>
          <cell r="I73">
            <v>0</v>
          </cell>
          <cell r="J73">
            <v>0.14048597972129503</v>
          </cell>
          <cell r="K73">
            <v>1.3781239051239654E-2</v>
          </cell>
          <cell r="L73">
            <v>1.6246050375107624E-4</v>
          </cell>
          <cell r="M73">
            <v>0</v>
          </cell>
          <cell r="N73">
            <v>7.2323279036999866E-2</v>
          </cell>
          <cell r="O73">
            <v>1.4660536053943535E-2</v>
          </cell>
          <cell r="P73">
            <v>0</v>
          </cell>
          <cell r="Q73">
            <v>1</v>
          </cell>
        </row>
        <row r="74">
          <cell r="A74" t="str">
            <v>F107</v>
          </cell>
          <cell r="B74" t="str">
            <v>STP - System Trans &amp; Dist Plant</v>
          </cell>
          <cell r="C74">
            <v>0</v>
          </cell>
          <cell r="D74">
            <v>0</v>
          </cell>
          <cell r="E74">
            <v>0</v>
          </cell>
          <cell r="F74">
            <v>0.50736666912689976</v>
          </cell>
          <cell r="G74">
            <v>0.25103356667073407</v>
          </cell>
          <cell r="H74">
            <v>6.8218335362847271E-2</v>
          </cell>
          <cell r="I74">
            <v>8.7632262310268546E-3</v>
          </cell>
          <cell r="J74">
            <v>6.4177726251225725E-2</v>
          </cell>
          <cell r="K74">
            <v>1.2850067979891923E-2</v>
          </cell>
          <cell r="L74">
            <v>3.4126052684392571E-4</v>
          </cell>
          <cell r="M74">
            <v>1.5567888354305022E-4</v>
          </cell>
          <cell r="N74">
            <v>8.0365589581701119E-2</v>
          </cell>
          <cell r="O74">
            <v>6.6758064832651452E-3</v>
          </cell>
          <cell r="P74">
            <v>5.2072902021081843E-5</v>
          </cell>
          <cell r="Q74">
            <v>1</v>
          </cell>
        </row>
        <row r="75">
          <cell r="A75" t="str">
            <v>F107G</v>
          </cell>
          <cell r="B75" t="str">
            <v>SGGP - System Gross Generation Plant</v>
          </cell>
          <cell r="C75">
            <v>0</v>
          </cell>
          <cell r="D75">
            <v>0</v>
          </cell>
          <cell r="E75">
            <v>0</v>
          </cell>
          <cell r="F75">
            <v>0.4121183225666416</v>
          </cell>
          <cell r="G75">
            <v>0.27512738379881596</v>
          </cell>
          <cell r="H75">
            <v>7.5173056973591668E-2</v>
          </cell>
          <cell r="I75">
            <v>0</v>
          </cell>
          <cell r="J75">
            <v>0.13631379153323206</v>
          </cell>
          <cell r="K75">
            <v>1.3850859666903158E-2</v>
          </cell>
          <cell r="L75">
            <v>1.6328122823383863E-4</v>
          </cell>
          <cell r="M75">
            <v>0</v>
          </cell>
          <cell r="N75">
            <v>7.2688644676086323E-2</v>
          </cell>
          <cell r="O75">
            <v>1.4564659556495304E-2</v>
          </cell>
          <cell r="P75">
            <v>0</v>
          </cell>
          <cell r="Q75">
            <v>1</v>
          </cell>
        </row>
        <row r="76">
          <cell r="A76" t="str">
            <v>F107T</v>
          </cell>
          <cell r="B76" t="str">
            <v>SGTP - System Gross Transmission Plant</v>
          </cell>
          <cell r="C76">
            <v>0</v>
          </cell>
          <cell r="D76">
            <v>0</v>
          </cell>
          <cell r="E76">
            <v>0</v>
          </cell>
          <cell r="F76">
            <v>0.41004683155212651</v>
          </cell>
          <cell r="G76">
            <v>0.27374447051353196</v>
          </cell>
          <cell r="H76">
            <v>7.479520356711214E-2</v>
          </cell>
          <cell r="I76">
            <v>0</v>
          </cell>
          <cell r="J76">
            <v>0.14048597972129503</v>
          </cell>
          <cell r="K76">
            <v>1.3781239051239654E-2</v>
          </cell>
          <cell r="L76">
            <v>1.6246050375107624E-4</v>
          </cell>
          <cell r="M76">
            <v>0</v>
          </cell>
          <cell r="N76">
            <v>7.2323279036999866E-2</v>
          </cell>
          <cell r="O76">
            <v>1.4660536053943535E-2</v>
          </cell>
          <cell r="P76">
            <v>0</v>
          </cell>
          <cell r="Q76">
            <v>1</v>
          </cell>
        </row>
        <row r="77">
          <cell r="A77" t="str">
            <v>F107D</v>
          </cell>
          <cell r="B77" t="str">
            <v>SGDP - System Gross Distribution Plant</v>
          </cell>
          <cell r="C77">
            <v>0</v>
          </cell>
          <cell r="D77">
            <v>0</v>
          </cell>
          <cell r="E77">
            <v>0</v>
          </cell>
          <cell r="F77">
            <v>0.58757526930775283</v>
          </cell>
          <cell r="G77">
            <v>0.23231580211761113</v>
          </cell>
          <cell r="H77">
            <v>6.2797843453037627E-2</v>
          </cell>
          <cell r="I77">
            <v>1.5985660285324901E-2</v>
          </cell>
          <cell r="J77">
            <v>1.2863533759124863E-3</v>
          </cell>
          <cell r="K77">
            <v>1.2082619841640331E-2</v>
          </cell>
          <cell r="L77">
            <v>4.8862307822059524E-4</v>
          </cell>
          <cell r="M77">
            <v>2.8398556425562535E-4</v>
          </cell>
          <cell r="N77">
            <v>8.6993862779491685E-2</v>
          </cell>
          <cell r="O77">
            <v>9.4990098376415165E-5</v>
          </cell>
          <cell r="P77">
            <v>9.4990098376415165E-5</v>
          </cell>
          <cell r="Q77">
            <v>1</v>
          </cell>
        </row>
        <row r="78">
          <cell r="A78" t="str">
            <v>F107R</v>
          </cell>
          <cell r="B78" t="str">
            <v>SGTP - System Gross Retail Plant</v>
          </cell>
          <cell r="C78">
            <v>0</v>
          </cell>
          <cell r="D78">
            <v>0</v>
          </cell>
          <cell r="E78">
            <v>0</v>
          </cell>
          <cell r="F78">
            <v>0.58757526930775283</v>
          </cell>
          <cell r="G78">
            <v>0.23231580211761113</v>
          </cell>
          <cell r="H78">
            <v>6.2797843453037627E-2</v>
          </cell>
          <cell r="I78">
            <v>1.5985660285324901E-2</v>
          </cell>
          <cell r="J78">
            <v>1.2863533759124863E-3</v>
          </cell>
          <cell r="K78">
            <v>1.2082619841640331E-2</v>
          </cell>
          <cell r="L78">
            <v>4.8862307822059524E-4</v>
          </cell>
          <cell r="M78">
            <v>2.8398556425562535E-4</v>
          </cell>
          <cell r="N78">
            <v>8.6993862779491685E-2</v>
          </cell>
          <cell r="O78">
            <v>9.4990098376415165E-5</v>
          </cell>
          <cell r="P78">
            <v>9.4990098376415165E-5</v>
          </cell>
          <cell r="Q78">
            <v>1</v>
          </cell>
        </row>
        <row r="79">
          <cell r="A79" t="str">
            <v>F107M</v>
          </cell>
          <cell r="B79" t="str">
            <v>SGDP - System Gross Misc Plant</v>
          </cell>
          <cell r="C79">
            <v>0</v>
          </cell>
          <cell r="D79">
            <v>0</v>
          </cell>
          <cell r="E79">
            <v>0</v>
          </cell>
          <cell r="F79">
            <v>0.58757526930775283</v>
          </cell>
          <cell r="G79">
            <v>0.23231580211761113</v>
          </cell>
          <cell r="H79">
            <v>6.2797843453037627E-2</v>
          </cell>
          <cell r="I79">
            <v>1.5985660285324901E-2</v>
          </cell>
          <cell r="J79">
            <v>1.2863533759124863E-3</v>
          </cell>
          <cell r="K79">
            <v>1.2082619841640331E-2</v>
          </cell>
          <cell r="L79">
            <v>4.8862307822059524E-4</v>
          </cell>
          <cell r="M79">
            <v>2.8398556425562535E-4</v>
          </cell>
          <cell r="N79">
            <v>8.6993862779491685E-2</v>
          </cell>
          <cell r="O79">
            <v>9.4990098376415165E-5</v>
          </cell>
          <cell r="P79">
            <v>9.4990098376415165E-5</v>
          </cell>
          <cell r="Q79">
            <v>1</v>
          </cell>
        </row>
        <row r="80">
          <cell r="A80" t="str">
            <v>F108</v>
          </cell>
          <cell r="B80" t="str">
            <v>SGP - System General Plant</v>
          </cell>
          <cell r="C80">
            <v>0</v>
          </cell>
          <cell r="D80">
            <v>0</v>
          </cell>
          <cell r="E80">
            <v>0</v>
          </cell>
          <cell r="F80">
            <v>0.4310850742824181</v>
          </cell>
          <cell r="G80">
            <v>0.25781708671228826</v>
          </cell>
          <cell r="H80">
            <v>7.6518554762872421E-2</v>
          </cell>
          <cell r="I80">
            <v>6.0247696552660455E-3</v>
          </cell>
          <cell r="J80">
            <v>0.11830434522291403</v>
          </cell>
          <cell r="K80">
            <v>1.1303103873755034E-2</v>
          </cell>
          <cell r="L80">
            <v>3.3514201505839314E-4</v>
          </cell>
          <cell r="M80">
            <v>3.377052069944686E-4</v>
          </cell>
          <cell r="N80">
            <v>7.4097648599051102E-2</v>
          </cell>
          <cell r="O80">
            <v>1.3375957612004245E-2</v>
          </cell>
          <cell r="P80">
            <v>1.0800612057377717E-2</v>
          </cell>
          <cell r="Q80">
            <v>1</v>
          </cell>
        </row>
        <row r="81">
          <cell r="A81" t="str">
            <v>F108G</v>
          </cell>
          <cell r="B81" t="str">
            <v>SGGP - System Gen Generation Plant</v>
          </cell>
          <cell r="C81">
            <v>0</v>
          </cell>
          <cell r="D81">
            <v>0</v>
          </cell>
          <cell r="E81">
            <v>0</v>
          </cell>
          <cell r="F81">
            <v>0.33586118331700415</v>
          </cell>
          <cell r="G81">
            <v>0.27458804833744482</v>
          </cell>
          <cell r="H81">
            <v>8.7624122383784045E-2</v>
          </cell>
          <cell r="I81">
            <v>2.643332372437648E-3</v>
          </cell>
          <cell r="J81">
            <v>0.17920119604500714</v>
          </cell>
          <cell r="K81">
            <v>1.0190233875426991E-2</v>
          </cell>
          <cell r="L81">
            <v>2.2760706810850969E-4</v>
          </cell>
          <cell r="M81">
            <v>4.889434010800942E-4</v>
          </cell>
          <cell r="N81">
            <v>6.7056285341544578E-2</v>
          </cell>
          <cell r="O81">
            <v>2.0768945059505564E-2</v>
          </cell>
          <cell r="P81">
            <v>2.1350102798656397E-2</v>
          </cell>
          <cell r="Q81">
            <v>1</v>
          </cell>
        </row>
        <row r="82">
          <cell r="A82" t="str">
            <v>F108T</v>
          </cell>
          <cell r="B82" t="str">
            <v>SGTP - System Gen Transmission Plant</v>
          </cell>
          <cell r="C82">
            <v>0</v>
          </cell>
          <cell r="D82">
            <v>0</v>
          </cell>
          <cell r="E82">
            <v>0</v>
          </cell>
          <cell r="F82">
            <v>0.41004733725842696</v>
          </cell>
          <cell r="G82">
            <v>0.27374480811961199</v>
          </cell>
          <cell r="H82">
            <v>7.4795295811223739E-2</v>
          </cell>
          <cell r="I82">
            <v>0</v>
          </cell>
          <cell r="J82">
            <v>0.14048496117869053</v>
          </cell>
          <cell r="K82">
            <v>1.3781256047491983E-2</v>
          </cell>
          <cell r="L82">
            <v>1.6246070411184968E-4</v>
          </cell>
          <cell r="M82">
            <v>0</v>
          </cell>
          <cell r="N82">
            <v>7.2323368232513813E-2</v>
          </cell>
          <cell r="O82">
            <v>1.4660512647928985E-2</v>
          </cell>
          <cell r="P82">
            <v>0</v>
          </cell>
          <cell r="Q82">
            <v>1</v>
          </cell>
        </row>
        <row r="83">
          <cell r="A83" t="str">
            <v>F108D</v>
          </cell>
          <cell r="B83" t="str">
            <v>SGDP - System Gen Distribution Plant</v>
          </cell>
          <cell r="C83">
            <v>0</v>
          </cell>
          <cell r="D83">
            <v>0</v>
          </cell>
          <cell r="E83">
            <v>0</v>
          </cell>
          <cell r="F83">
            <v>0.58757526930775261</v>
          </cell>
          <cell r="G83">
            <v>0.23231580211761105</v>
          </cell>
          <cell r="H83">
            <v>6.2797843453037613E-2</v>
          </cell>
          <cell r="I83">
            <v>1.5985660285324898E-2</v>
          </cell>
          <cell r="J83">
            <v>1.2863533759124861E-3</v>
          </cell>
          <cell r="K83">
            <v>1.2082619841640328E-2</v>
          </cell>
          <cell r="L83">
            <v>4.8862307822059514E-4</v>
          </cell>
          <cell r="M83">
            <v>2.839855642556253E-4</v>
          </cell>
          <cell r="N83">
            <v>8.6993862779491671E-2</v>
          </cell>
          <cell r="O83">
            <v>9.4990098376415152E-5</v>
          </cell>
          <cell r="P83">
            <v>9.4990098376415152E-5</v>
          </cell>
          <cell r="Q83">
            <v>1</v>
          </cell>
        </row>
        <row r="84">
          <cell r="A84" t="str">
            <v>F108R</v>
          </cell>
          <cell r="B84" t="str">
            <v>SGTP - System Gen Retail Plant</v>
          </cell>
          <cell r="C84">
            <v>0</v>
          </cell>
          <cell r="D84">
            <v>0</v>
          </cell>
          <cell r="E84">
            <v>0</v>
          </cell>
          <cell r="F84">
            <v>0.8723608413628593</v>
          </cell>
          <cell r="G84">
            <v>1.9466255169731564E-2</v>
          </cell>
          <cell r="H84">
            <v>3.6347779362569317E-4</v>
          </cell>
          <cell r="I84">
            <v>1.0570312778031521E-2</v>
          </cell>
          <cell r="J84">
            <v>1.359252091134305E-3</v>
          </cell>
          <cell r="K84">
            <v>3.5966089510277095E-3</v>
          </cell>
          <cell r="L84">
            <v>2.7624166909894659E-3</v>
          </cell>
          <cell r="M84">
            <v>6.0086464747510966E-4</v>
          </cell>
          <cell r="N84">
            <v>8.8902085619189386E-2</v>
          </cell>
          <cell r="O84">
            <v>8.9424479679888485E-6</v>
          </cell>
          <cell r="P84">
            <v>8.9424479679888485E-6</v>
          </cell>
          <cell r="Q84">
            <v>1</v>
          </cell>
        </row>
        <row r="85">
          <cell r="A85" t="str">
            <v>F108M</v>
          </cell>
          <cell r="B85" t="str">
            <v>SGDP - System Gen Misc Plant</v>
          </cell>
          <cell r="C85">
            <v>0</v>
          </cell>
          <cell r="D85">
            <v>0</v>
          </cell>
          <cell r="E85">
            <v>0</v>
          </cell>
          <cell r="F85">
            <v>9.0909090909090912E-2</v>
          </cell>
          <cell r="G85">
            <v>9.0909090909090912E-2</v>
          </cell>
          <cell r="H85">
            <v>9.0909090909090912E-2</v>
          </cell>
          <cell r="I85">
            <v>9.0909090909090912E-2</v>
          </cell>
          <cell r="J85">
            <v>9.0909090909090912E-2</v>
          </cell>
          <cell r="K85">
            <v>9.0909090909090912E-2</v>
          </cell>
          <cell r="L85">
            <v>9.0909090909090912E-2</v>
          </cell>
          <cell r="M85">
            <v>9.0909090909090912E-2</v>
          </cell>
          <cell r="N85">
            <v>9.0909090909090912E-2</v>
          </cell>
          <cell r="O85">
            <v>9.0909090909090912E-2</v>
          </cell>
          <cell r="P85">
            <v>9.0909090909090912E-2</v>
          </cell>
          <cell r="Q85">
            <v>1</v>
          </cell>
        </row>
        <row r="86">
          <cell r="A86" t="str">
            <v>F110</v>
          </cell>
          <cell r="B86" t="str">
            <v>SIP - System Intangible Plant</v>
          </cell>
          <cell r="C86">
            <v>0</v>
          </cell>
          <cell r="D86">
            <v>0</v>
          </cell>
          <cell r="E86">
            <v>0</v>
          </cell>
          <cell r="F86">
            <v>0.50871307973220037</v>
          </cell>
          <cell r="G86">
            <v>0.22761292013166562</v>
          </cell>
          <cell r="H86">
            <v>6.13692719110316E-2</v>
          </cell>
          <cell r="I86">
            <v>3.7406493029150546E-3</v>
          </cell>
          <cell r="J86">
            <v>9.827341572609298E-2</v>
          </cell>
          <cell r="K86">
            <v>1.1914474342851276E-2</v>
          </cell>
          <cell r="L86">
            <v>6.3066366121789506E-4</v>
          </cell>
          <cell r="M86">
            <v>1.3693508402875E-4</v>
          </cell>
          <cell r="N86">
            <v>7.7038725914452641E-2</v>
          </cell>
          <cell r="O86">
            <v>1.0427224028613402E-2</v>
          </cell>
          <cell r="P86">
            <v>1.4264016493021107E-4</v>
          </cell>
          <cell r="Q86">
            <v>1</v>
          </cell>
        </row>
        <row r="87">
          <cell r="A87" t="str">
            <v>F118</v>
          </cell>
          <cell r="B87" t="str">
            <v>Account 360</v>
          </cell>
          <cell r="C87">
            <v>0</v>
          </cell>
          <cell r="D87">
            <v>0</v>
          </cell>
          <cell r="E87">
            <v>0</v>
          </cell>
          <cell r="F87">
            <v>0.49164012535987583</v>
          </cell>
          <cell r="G87">
            <v>0.31833765729272945</v>
          </cell>
          <cell r="H87">
            <v>9.0341104180462567E-2</v>
          </cell>
          <cell r="I87">
            <v>8.0690928123709716E-4</v>
          </cell>
          <cell r="J87">
            <v>0</v>
          </cell>
          <cell r="K87">
            <v>1.2017021468444966E-2</v>
          </cell>
          <cell r="L87">
            <v>1.9426455932775339E-4</v>
          </cell>
          <cell r="M87">
            <v>1.4489141046728271E-4</v>
          </cell>
          <cell r="N87">
            <v>8.6518026447455251E-2</v>
          </cell>
          <cell r="O87">
            <v>0</v>
          </cell>
          <cell r="P87">
            <v>0</v>
          </cell>
          <cell r="Q87">
            <v>1</v>
          </cell>
        </row>
        <row r="88">
          <cell r="A88" t="str">
            <v>F119</v>
          </cell>
          <cell r="B88" t="str">
            <v>Account 361</v>
          </cell>
          <cell r="C88">
            <v>0</v>
          </cell>
          <cell r="D88">
            <v>0</v>
          </cell>
          <cell r="E88">
            <v>0</v>
          </cell>
          <cell r="F88">
            <v>0.49164012535987572</v>
          </cell>
          <cell r="G88">
            <v>0.31833765729272945</v>
          </cell>
          <cell r="H88">
            <v>9.0341104180462567E-2</v>
          </cell>
          <cell r="I88">
            <v>8.0690928123709716E-4</v>
          </cell>
          <cell r="J88">
            <v>0</v>
          </cell>
          <cell r="K88">
            <v>1.2017021468444966E-2</v>
          </cell>
          <cell r="L88">
            <v>1.9426455932775339E-4</v>
          </cell>
          <cell r="M88">
            <v>1.4489141046728271E-4</v>
          </cell>
          <cell r="N88">
            <v>8.6518026447455251E-2</v>
          </cell>
          <cell r="O88">
            <v>0</v>
          </cell>
          <cell r="P88">
            <v>0</v>
          </cell>
          <cell r="Q88">
            <v>1</v>
          </cell>
        </row>
        <row r="89">
          <cell r="A89" t="str">
            <v>F120</v>
          </cell>
          <cell r="B89" t="str">
            <v>Account 362</v>
          </cell>
          <cell r="C89">
            <v>0</v>
          </cell>
          <cell r="D89">
            <v>0</v>
          </cell>
          <cell r="E89">
            <v>0</v>
          </cell>
          <cell r="F89">
            <v>0.49164012535987578</v>
          </cell>
          <cell r="G89">
            <v>0.31833765729272945</v>
          </cell>
          <cell r="H89">
            <v>9.0341104180462581E-2</v>
          </cell>
          <cell r="I89">
            <v>8.0690928123709716E-4</v>
          </cell>
          <cell r="J89">
            <v>0</v>
          </cell>
          <cell r="K89">
            <v>1.2017021468444966E-2</v>
          </cell>
          <cell r="L89">
            <v>1.9426455932775337E-4</v>
          </cell>
          <cell r="M89">
            <v>1.4489141046728271E-4</v>
          </cell>
          <cell r="N89">
            <v>8.6518026447455251E-2</v>
          </cell>
          <cell r="O89">
            <v>0</v>
          </cell>
          <cell r="P89">
            <v>0</v>
          </cell>
          <cell r="Q89">
            <v>1</v>
          </cell>
        </row>
        <row r="90">
          <cell r="A90" t="str">
            <v>F121</v>
          </cell>
          <cell r="B90" t="str">
            <v>Account 364</v>
          </cell>
          <cell r="C90">
            <v>0</v>
          </cell>
          <cell r="D90">
            <v>0</v>
          </cell>
          <cell r="E90">
            <v>0</v>
          </cell>
          <cell r="F90">
            <v>0.4871413084476543</v>
          </cell>
          <cell r="G90">
            <v>0.31312908199944228</v>
          </cell>
          <cell r="H90">
            <v>8.8862961609444194E-2</v>
          </cell>
          <cell r="I90">
            <v>1.320514694200401E-2</v>
          </cell>
          <cell r="J90">
            <v>0</v>
          </cell>
          <cell r="K90">
            <v>1.1820401434070938E-2</v>
          </cell>
          <cell r="L90">
            <v>1.9108604255194694E-4</v>
          </cell>
          <cell r="M90">
            <v>1.425207270012187E-4</v>
          </cell>
          <cell r="N90">
            <v>8.5507492797831292E-2</v>
          </cell>
          <cell r="O90">
            <v>0</v>
          </cell>
          <cell r="P90">
            <v>0</v>
          </cell>
          <cell r="Q90">
            <v>1</v>
          </cell>
        </row>
        <row r="91">
          <cell r="A91" t="str">
            <v>F122</v>
          </cell>
          <cell r="B91" t="str">
            <v>Account 365</v>
          </cell>
          <cell r="C91">
            <v>0</v>
          </cell>
          <cell r="D91">
            <v>0</v>
          </cell>
          <cell r="E91">
            <v>0</v>
          </cell>
          <cell r="F91">
            <v>0.64270173887908644</v>
          </cell>
          <cell r="G91">
            <v>0.19434353255603959</v>
          </cell>
          <cell r="H91">
            <v>5.5152787988571039E-2</v>
          </cell>
          <cell r="I91">
            <v>8.3018921078401083E-3</v>
          </cell>
          <cell r="J91">
            <v>0</v>
          </cell>
          <cell r="K91">
            <v>7.3363309350228736E-3</v>
          </cell>
          <cell r="L91">
            <v>1.1859753266790217E-4</v>
          </cell>
          <cell r="M91">
            <v>8.8455474563429765E-5</v>
          </cell>
          <cell r="N91">
            <v>9.1956664526208584E-2</v>
          </cell>
          <cell r="O91">
            <v>0</v>
          </cell>
          <cell r="P91">
            <v>0</v>
          </cell>
          <cell r="Q91">
            <v>1</v>
          </cell>
        </row>
        <row r="92">
          <cell r="A92" t="str">
            <v>F123</v>
          </cell>
          <cell r="B92" t="str">
            <v>Account 366</v>
          </cell>
          <cell r="C92">
            <v>0</v>
          </cell>
          <cell r="D92">
            <v>0</v>
          </cell>
          <cell r="E92">
            <v>0</v>
          </cell>
          <cell r="F92">
            <v>0.64514526321106103</v>
          </cell>
          <cell r="G92">
            <v>0.19781652514552467</v>
          </cell>
          <cell r="H92">
            <v>5.6138389214680874E-2</v>
          </cell>
          <cell r="I92">
            <v>6.5471188014258478E-4</v>
          </cell>
          <cell r="J92">
            <v>0</v>
          </cell>
          <cell r="K92">
            <v>7.4674339495468993E-3</v>
          </cell>
          <cell r="L92">
            <v>1.2071691552911506E-4</v>
          </cell>
          <cell r="M92">
            <v>9.0036207421466074E-5</v>
          </cell>
          <cell r="N92">
            <v>9.2566923476093466E-2</v>
          </cell>
          <cell r="O92">
            <v>0</v>
          </cell>
          <cell r="P92">
            <v>0</v>
          </cell>
          <cell r="Q92">
            <v>1</v>
          </cell>
        </row>
        <row r="93">
          <cell r="A93" t="str">
            <v>F124</v>
          </cell>
          <cell r="B93" t="str">
            <v>Account 367</v>
          </cell>
          <cell r="C93">
            <v>0</v>
          </cell>
          <cell r="D93">
            <v>0</v>
          </cell>
          <cell r="E93">
            <v>0</v>
          </cell>
          <cell r="F93">
            <v>0.615799216939098</v>
          </cell>
          <cell r="G93">
            <v>0.21902125645286094</v>
          </cell>
          <cell r="H93">
            <v>6.2156083936839433E-2</v>
          </cell>
          <cell r="I93">
            <v>3.286657671725536E-3</v>
          </cell>
          <cell r="J93">
            <v>0</v>
          </cell>
          <cell r="K93">
            <v>8.2678975626800048E-3</v>
          </cell>
          <cell r="L93">
            <v>1.3365703646270332E-4</v>
          </cell>
          <cell r="M93">
            <v>9.9687542591261793E-5</v>
          </cell>
          <cell r="N93">
            <v>9.1235542857742213E-2</v>
          </cell>
          <cell r="O93">
            <v>0</v>
          </cell>
          <cell r="P93">
            <v>0</v>
          </cell>
          <cell r="Q93">
            <v>1</v>
          </cell>
        </row>
        <row r="94">
          <cell r="A94" t="str">
            <v>F125</v>
          </cell>
          <cell r="B94" t="str">
            <v>Account 368</v>
          </cell>
          <cell r="C94">
            <v>0</v>
          </cell>
          <cell r="D94">
            <v>0</v>
          </cell>
          <cell r="E94">
            <v>0</v>
          </cell>
          <cell r="F94">
            <v>0.58769899110886759</v>
          </cell>
          <cell r="G94">
            <v>0.2493136908616341</v>
          </cell>
          <cell r="H94">
            <v>6.2904140421850857E-2</v>
          </cell>
          <cell r="I94">
            <v>3.4392196894104661E-3</v>
          </cell>
          <cell r="J94">
            <v>0</v>
          </cell>
          <cell r="K94">
            <v>2.8667733780318675E-2</v>
          </cell>
          <cell r="L94">
            <v>1.1928399899876234E-4</v>
          </cell>
          <cell r="M94">
            <v>7.1129534858342842E-4</v>
          </cell>
          <cell r="N94">
            <v>6.7145644790336065E-2</v>
          </cell>
          <cell r="O94">
            <v>0</v>
          </cell>
          <cell r="P94">
            <v>0</v>
          </cell>
          <cell r="Q94">
            <v>1</v>
          </cell>
        </row>
        <row r="95">
          <cell r="A95" t="str">
            <v>F126</v>
          </cell>
          <cell r="B95" t="str">
            <v>Account 369</v>
          </cell>
          <cell r="C95">
            <v>0</v>
          </cell>
          <cell r="D95">
            <v>0</v>
          </cell>
          <cell r="E95">
            <v>0</v>
          </cell>
          <cell r="F95">
            <v>0.80424748548522351</v>
          </cell>
          <cell r="G95">
            <v>7.3318708977329894E-2</v>
          </cell>
          <cell r="H95">
            <v>7.3419809105201321E-3</v>
          </cell>
          <cell r="I95">
            <v>0</v>
          </cell>
          <cell r="J95">
            <v>0</v>
          </cell>
          <cell r="K95">
            <v>0</v>
          </cell>
          <cell r="L95">
            <v>3.0279824670523792E-3</v>
          </cell>
          <cell r="M95">
            <v>6.58628954697834E-4</v>
          </cell>
          <cell r="N95">
            <v>0.11140521320517636</v>
          </cell>
          <cell r="O95">
            <v>0</v>
          </cell>
          <cell r="P95">
            <v>0</v>
          </cell>
          <cell r="Q95">
            <v>1</v>
          </cell>
        </row>
        <row r="96">
          <cell r="A96" t="str">
            <v>F127</v>
          </cell>
          <cell r="B96" t="str">
            <v>Account 370</v>
          </cell>
          <cell r="C96">
            <v>0</v>
          </cell>
          <cell r="D96">
            <v>0</v>
          </cell>
          <cell r="E96">
            <v>0</v>
          </cell>
          <cell r="F96">
            <v>0.70881158058379934</v>
          </cell>
          <cell r="G96">
            <v>0.10567524530241849</v>
          </cell>
          <cell r="H96">
            <v>1.4549237279013401E-2</v>
          </cell>
          <cell r="I96">
            <v>0</v>
          </cell>
          <cell r="J96">
            <v>3.9289776562640356E-2</v>
          </cell>
          <cell r="K96">
            <v>9.8558266872212086E-3</v>
          </cell>
          <cell r="L96">
            <v>2.3829789317951705E-3</v>
          </cell>
          <cell r="M96">
            <v>5.1833157555996646E-4</v>
          </cell>
          <cell r="N96">
            <v>0.11311435670179797</v>
          </cell>
          <cell r="O96">
            <v>2.9013331878770489E-3</v>
          </cell>
          <cell r="P96">
            <v>2.9013331878770489E-3</v>
          </cell>
          <cell r="Q96">
            <v>1</v>
          </cell>
        </row>
        <row r="97">
          <cell r="A97" t="str">
            <v>F128</v>
          </cell>
          <cell r="B97" t="str">
            <v>Account 371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1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1</v>
          </cell>
        </row>
        <row r="98">
          <cell r="A98" t="str">
            <v>F129</v>
          </cell>
          <cell r="B98" t="str">
            <v>Account 372</v>
          </cell>
          <cell r="C98">
            <v>0</v>
          </cell>
          <cell r="D98">
            <v>0</v>
          </cell>
          <cell r="E98">
            <v>0</v>
          </cell>
          <cell r="F98">
            <v>9.0909090909090912E-2</v>
          </cell>
          <cell r="G98">
            <v>9.0909090909090912E-2</v>
          </cell>
          <cell r="H98">
            <v>9.0909090909090912E-2</v>
          </cell>
          <cell r="I98">
            <v>9.0909090909090912E-2</v>
          </cell>
          <cell r="J98">
            <v>9.0909090909090912E-2</v>
          </cell>
          <cell r="K98">
            <v>9.0909090909090912E-2</v>
          </cell>
          <cell r="L98">
            <v>9.0909090909090912E-2</v>
          </cell>
          <cell r="M98">
            <v>9.0909090909090912E-2</v>
          </cell>
          <cell r="N98">
            <v>9.0909090909090912E-2</v>
          </cell>
          <cell r="O98">
            <v>9.0909090909090912E-2</v>
          </cell>
          <cell r="P98">
            <v>9.0909090909090912E-2</v>
          </cell>
          <cell r="Q98">
            <v>1</v>
          </cell>
        </row>
        <row r="99">
          <cell r="A99" t="str">
            <v>F130</v>
          </cell>
          <cell r="B99" t="str">
            <v>Account 373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1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1</v>
          </cell>
        </row>
        <row r="100">
          <cell r="A100" t="str">
            <v>F131</v>
          </cell>
          <cell r="B100" t="str">
            <v>Account 581 thru 587 &amp; 591 thru 597</v>
          </cell>
          <cell r="C100">
            <v>0</v>
          </cell>
          <cell r="D100">
            <v>0</v>
          </cell>
          <cell r="E100">
            <v>0</v>
          </cell>
          <cell r="F100">
            <v>0.56473740311759502</v>
          </cell>
          <cell r="G100">
            <v>0.23699929542721418</v>
          </cell>
          <cell r="H100">
            <v>6.5034638296359484E-2</v>
          </cell>
          <cell r="I100">
            <v>3.1239730217942366E-2</v>
          </cell>
          <cell r="J100">
            <v>2.2909978219542754E-3</v>
          </cell>
          <cell r="K100">
            <v>9.1225851186491173E-3</v>
          </cell>
          <cell r="L100">
            <v>5.6396657952428029E-4</v>
          </cell>
          <cell r="M100">
            <v>1.9791267005963648E-4</v>
          </cell>
          <cell r="N100">
            <v>8.9475115657050908E-2</v>
          </cell>
          <cell r="O100">
            <v>1.691775468255115E-4</v>
          </cell>
          <cell r="P100">
            <v>1.691775468255115E-4</v>
          </cell>
          <cell r="Q100">
            <v>1</v>
          </cell>
        </row>
        <row r="101">
          <cell r="A101" t="str">
            <v>F132</v>
          </cell>
          <cell r="B101" t="str">
            <v>Account 364 + 365</v>
          </cell>
          <cell r="C101">
            <v>0</v>
          </cell>
          <cell r="D101">
            <v>0</v>
          </cell>
          <cell r="E101">
            <v>0</v>
          </cell>
          <cell r="F101">
            <v>0.54972183314642697</v>
          </cell>
          <cell r="G101">
            <v>0.26534275233846366</v>
          </cell>
          <cell r="H101">
            <v>7.5301670045579319E-2</v>
          </cell>
          <cell r="I101">
            <v>1.123261279946689E-2</v>
          </cell>
          <cell r="J101">
            <v>0</v>
          </cell>
          <cell r="K101">
            <v>1.0016501278752168E-2</v>
          </cell>
          <cell r="L101">
            <v>1.6192458439324617E-4</v>
          </cell>
          <cell r="M101">
            <v>1.2077077519056351E-4</v>
          </cell>
          <cell r="N101">
            <v>8.8101935031727252E-2</v>
          </cell>
          <cell r="O101">
            <v>0</v>
          </cell>
          <cell r="P101">
            <v>0</v>
          </cell>
          <cell r="Q101">
            <v>1</v>
          </cell>
        </row>
        <row r="102">
          <cell r="A102" t="str">
            <v>F133</v>
          </cell>
          <cell r="B102" t="str">
            <v>Account 366 + 367</v>
          </cell>
          <cell r="C102">
            <v>0</v>
          </cell>
          <cell r="D102">
            <v>0</v>
          </cell>
          <cell r="E102">
            <v>0</v>
          </cell>
          <cell r="F102">
            <v>0.62356330201688825</v>
          </cell>
          <cell r="G102">
            <v>0.21341111952347383</v>
          </cell>
          <cell r="H102">
            <v>6.056398211289981E-2</v>
          </cell>
          <cell r="I102">
            <v>2.5903236287473088E-3</v>
          </cell>
          <cell r="J102">
            <v>0</v>
          </cell>
          <cell r="K102">
            <v>8.0561188604846602E-3</v>
          </cell>
          <cell r="L102">
            <v>1.3023346795489854E-4</v>
          </cell>
          <cell r="M102">
            <v>9.71340883140444E-5</v>
          </cell>
          <cell r="N102">
            <v>9.158778630123722E-2</v>
          </cell>
          <cell r="O102">
            <v>0</v>
          </cell>
          <cell r="P102">
            <v>0</v>
          </cell>
          <cell r="Q102">
            <v>1</v>
          </cell>
        </row>
        <row r="103">
          <cell r="A103" t="str">
            <v>F134</v>
          </cell>
          <cell r="B103" t="str">
            <v>Account 364 + 365 + 369  (OH)</v>
          </cell>
          <cell r="C103">
            <v>0</v>
          </cell>
          <cell r="D103">
            <v>0</v>
          </cell>
          <cell r="E103">
            <v>0</v>
          </cell>
          <cell r="F103">
            <v>0.58407929266177938</v>
          </cell>
          <cell r="G103">
            <v>0.23942214969927425</v>
          </cell>
          <cell r="H103">
            <v>6.6128047478743762E-2</v>
          </cell>
          <cell r="I103">
            <v>9.7163646886650242E-3</v>
          </cell>
          <cell r="J103">
            <v>0</v>
          </cell>
          <cell r="K103">
            <v>8.6644114834488646E-3</v>
          </cell>
          <cell r="L103">
            <v>5.4880294721164195E-4</v>
          </cell>
          <cell r="M103">
            <v>1.9337422579610169E-4</v>
          </cell>
          <cell r="N103">
            <v>9.1247556815081121E-2</v>
          </cell>
          <cell r="O103">
            <v>0</v>
          </cell>
          <cell r="P103">
            <v>0</v>
          </cell>
          <cell r="Q103">
            <v>1</v>
          </cell>
        </row>
        <row r="104">
          <cell r="A104" t="str">
            <v>F135</v>
          </cell>
          <cell r="B104" t="str">
            <v>Account 366 + 367 + 369  (UG)</v>
          </cell>
          <cell r="C104">
            <v>0</v>
          </cell>
          <cell r="D104">
            <v>0</v>
          </cell>
          <cell r="E104">
            <v>0</v>
          </cell>
          <cell r="F104">
            <v>0.65679531281737336</v>
          </cell>
          <cell r="G104">
            <v>0.18764487695055204</v>
          </cell>
          <cell r="H104">
            <v>5.0775222051945915E-2</v>
          </cell>
          <cell r="I104">
            <v>2.1139030524971038E-3</v>
          </cell>
          <cell r="J104">
            <v>0</v>
          </cell>
          <cell r="K104">
            <v>6.5744118076449471E-3</v>
          </cell>
          <cell r="L104">
            <v>6.6319669797651362E-4</v>
          </cell>
          <cell r="M104">
            <v>2.0040601342614508E-4</v>
          </cell>
          <cell r="N104">
            <v>9.5232670608584147E-2</v>
          </cell>
          <cell r="O104">
            <v>0</v>
          </cell>
          <cell r="P104">
            <v>0</v>
          </cell>
          <cell r="Q104">
            <v>1</v>
          </cell>
        </row>
        <row r="105">
          <cell r="A105" t="str">
            <v>F136</v>
          </cell>
          <cell r="B105" t="str">
            <v>Account 902 + 903 + 904</v>
          </cell>
          <cell r="C105">
            <v>0</v>
          </cell>
          <cell r="D105">
            <v>0</v>
          </cell>
          <cell r="E105">
            <v>0</v>
          </cell>
          <cell r="F105">
            <v>0.86927445410674842</v>
          </cell>
          <cell r="G105">
            <v>2.3369005169427894E-2</v>
          </cell>
          <cell r="H105">
            <v>2.8684212533734385E-3</v>
          </cell>
          <cell r="I105">
            <v>7.9372832476741866E-3</v>
          </cell>
          <cell r="J105">
            <v>3.6966571284417888E-3</v>
          </cell>
          <cell r="K105">
            <v>2.6944623715545479E-3</v>
          </cell>
          <cell r="L105">
            <v>2.5230008526894764E-3</v>
          </cell>
          <cell r="M105">
            <v>5.4878832106522511E-4</v>
          </cell>
          <cell r="N105">
            <v>8.7034424026918938E-2</v>
          </cell>
          <cell r="O105">
            <v>2.6751761053095773E-5</v>
          </cell>
          <cell r="P105">
            <v>2.6751761053095773E-5</v>
          </cell>
          <cell r="Q105">
            <v>1</v>
          </cell>
        </row>
        <row r="106">
          <cell r="A106" t="str">
            <v>F137</v>
          </cell>
          <cell r="B106" t="str">
            <v>Total O &amp; M Expense</v>
          </cell>
          <cell r="C106">
            <v>0</v>
          </cell>
          <cell r="D106">
            <v>0</v>
          </cell>
          <cell r="E106">
            <v>0</v>
          </cell>
          <cell r="F106">
            <v>0.39746077830950327</v>
          </cell>
          <cell r="G106">
            <v>0.26243584154678345</v>
          </cell>
          <cell r="H106">
            <v>7.8920680850827249E-2</v>
          </cell>
          <cell r="I106">
            <v>4.4013492028787309E-3</v>
          </cell>
          <cell r="J106">
            <v>0.14489415977003978</v>
          </cell>
          <cell r="K106">
            <v>1.0895347487842905E-2</v>
          </cell>
          <cell r="L106">
            <v>3.2220894732083749E-4</v>
          </cell>
          <cell r="M106">
            <v>3.2518638379969562E-4</v>
          </cell>
          <cell r="N106">
            <v>7.1355281213215285E-2</v>
          </cell>
          <cell r="O106">
            <v>1.6403981730366356E-2</v>
          </cell>
          <cell r="P106">
            <v>1.2585184557422512E-2</v>
          </cell>
          <cell r="Q106">
            <v>1</v>
          </cell>
        </row>
        <row r="107">
          <cell r="A107" t="str">
            <v>F137G</v>
          </cell>
          <cell r="B107" t="str">
            <v>Generation O &amp; M Exp</v>
          </cell>
          <cell r="C107">
            <v>0</v>
          </cell>
          <cell r="D107">
            <v>0</v>
          </cell>
          <cell r="E107">
            <v>0</v>
          </cell>
          <cell r="F107">
            <v>0.35692660656219827</v>
          </cell>
          <cell r="G107">
            <v>0.27484192842229432</v>
          </cell>
          <cell r="H107">
            <v>8.4198542269979873E-2</v>
          </cell>
          <cell r="I107">
            <v>1.9381250078965805E-3</v>
          </cell>
          <cell r="J107">
            <v>0.16714479202177826</v>
          </cell>
          <cell r="K107">
            <v>1.1150909533160638E-2</v>
          </cell>
          <cell r="L107">
            <v>2.1033534539871904E-4</v>
          </cell>
          <cell r="M107">
            <v>3.560140944500677E-4</v>
          </cell>
          <cell r="N107">
            <v>6.8593167258038545E-2</v>
          </cell>
          <cell r="O107">
            <v>1.9038585399039545E-2</v>
          </cell>
          <cell r="P107">
            <v>1.5600994085765141E-2</v>
          </cell>
          <cell r="Q107">
            <v>1</v>
          </cell>
        </row>
        <row r="108">
          <cell r="A108" t="str">
            <v>F137T</v>
          </cell>
          <cell r="B108" t="str">
            <v>Transmission O &amp; M Exp</v>
          </cell>
          <cell r="C108">
            <v>0</v>
          </cell>
          <cell r="D108">
            <v>0</v>
          </cell>
          <cell r="E108">
            <v>0</v>
          </cell>
          <cell r="F108">
            <v>0.40916240802039056</v>
          </cell>
          <cell r="G108">
            <v>0.27397526575374342</v>
          </cell>
          <cell r="H108">
            <v>7.5538631351566715E-2</v>
          </cell>
          <cell r="I108">
            <v>3.0811770044770115E-4</v>
          </cell>
          <cell r="J108">
            <v>0.13890826309916482</v>
          </cell>
          <cell r="K108">
            <v>1.3531130906968926E-2</v>
          </cell>
          <cell r="L108">
            <v>1.7124819266772673E-4</v>
          </cell>
          <cell r="M108">
            <v>3.0303012185733506E-5</v>
          </cell>
          <cell r="N108">
            <v>7.2387878258019886E-2</v>
          </cell>
          <cell r="O108">
            <v>1.4799196086005497E-2</v>
          </cell>
          <cell r="P108">
            <v>1.1875576188391083E-3</v>
          </cell>
          <cell r="Q108">
            <v>1</v>
          </cell>
        </row>
        <row r="109">
          <cell r="A109" t="str">
            <v>F137D</v>
          </cell>
          <cell r="B109" t="str">
            <v xml:space="preserve">Distribution O &amp; M Exp </v>
          </cell>
          <cell r="C109">
            <v>0</v>
          </cell>
          <cell r="D109">
            <v>0</v>
          </cell>
          <cell r="E109">
            <v>0</v>
          </cell>
          <cell r="F109">
            <v>0.56156236967719997</v>
          </cell>
          <cell r="G109">
            <v>0.23738967880495929</v>
          </cell>
          <cell r="H109">
            <v>6.5282063823892983E-2</v>
          </cell>
          <cell r="I109">
            <v>2.8831451429036144E-2</v>
          </cell>
          <cell r="J109">
            <v>6.7875099116720423E-3</v>
          </cell>
          <cell r="K109">
            <v>9.4826071082059777E-3</v>
          </cell>
          <cell r="L109">
            <v>5.4794617898980258E-4</v>
          </cell>
          <cell r="M109">
            <v>2.1140332866330117E-4</v>
          </cell>
          <cell r="N109">
            <v>8.8637309883478899E-2</v>
          </cell>
          <cell r="O109">
            <v>6.847695918791722E-4</v>
          </cell>
          <cell r="P109">
            <v>5.8289026202241795E-4</v>
          </cell>
          <cell r="Q109">
            <v>1</v>
          </cell>
        </row>
        <row r="110">
          <cell r="A110" t="str">
            <v>F137R</v>
          </cell>
          <cell r="B110" t="str">
            <v>Retail O &amp; M Exp  (Customer)</v>
          </cell>
          <cell r="C110">
            <v>0</v>
          </cell>
          <cell r="D110">
            <v>0</v>
          </cell>
          <cell r="E110">
            <v>0</v>
          </cell>
          <cell r="F110">
            <v>0.87046973142932571</v>
          </cell>
          <cell r="G110">
            <v>2.1797678650836233E-2</v>
          </cell>
          <cell r="H110">
            <v>2.264045228145961E-3</v>
          </cell>
          <cell r="I110">
            <v>8.4692007047442765E-3</v>
          </cell>
          <cell r="J110">
            <v>2.9088393500549944E-3</v>
          </cell>
          <cell r="K110">
            <v>2.7593544899182335E-3</v>
          </cell>
          <cell r="L110">
            <v>2.5995898237000147E-3</v>
          </cell>
          <cell r="M110">
            <v>5.6675418134045734E-4</v>
          </cell>
          <cell r="N110">
            <v>8.808304226905142E-2</v>
          </cell>
          <cell r="O110">
            <v>-2.9769851688628098E-6</v>
          </cell>
          <cell r="P110">
            <v>8.4740858051461309E-5</v>
          </cell>
          <cell r="Q110">
            <v>1</v>
          </cell>
        </row>
        <row r="111">
          <cell r="A111" t="str">
            <v>F137M</v>
          </cell>
          <cell r="B111" t="str">
            <v xml:space="preserve">Misc &amp; Customer O &amp; M Exp </v>
          </cell>
          <cell r="C111">
            <v>0</v>
          </cell>
          <cell r="D111">
            <v>0</v>
          </cell>
          <cell r="E111">
            <v>0</v>
          </cell>
          <cell r="F111">
            <v>0.45881007819751091</v>
          </cell>
          <cell r="G111">
            <v>0.26331633760026024</v>
          </cell>
          <cell r="H111">
            <v>7.1763778244284093E-2</v>
          </cell>
          <cell r="I111">
            <v>4.295826988012565E-3</v>
          </cell>
          <cell r="J111">
            <v>0.10095192275591901</v>
          </cell>
          <cell r="K111">
            <v>1.3360260905088727E-2</v>
          </cell>
          <cell r="L111">
            <v>2.5052857916604989E-4</v>
          </cell>
          <cell r="M111">
            <v>7.6315449556702279E-5</v>
          </cell>
          <cell r="N111">
            <v>7.64519649695031E-2</v>
          </cell>
          <cell r="O111">
            <v>1.0697459618593331E-2</v>
          </cell>
          <cell r="P111">
            <v>2.5526692105047385E-5</v>
          </cell>
          <cell r="Q111">
            <v>1</v>
          </cell>
        </row>
        <row r="112">
          <cell r="A112" t="str">
            <v>F138</v>
          </cell>
          <cell r="B112" t="str">
            <v>GTD O&amp;M Exp  (less fuel, purchased p &amp; wheeling)</v>
          </cell>
          <cell r="C112">
            <v>0</v>
          </cell>
          <cell r="D112">
            <v>0</v>
          </cell>
          <cell r="E112">
            <v>0</v>
          </cell>
          <cell r="F112">
            <v>0.51297374058247036</v>
          </cell>
          <cell r="G112">
            <v>0.23161788495871341</v>
          </cell>
          <cell r="H112">
            <v>6.295850672442671E-2</v>
          </cell>
          <cell r="I112">
            <v>9.6962933429714862E-3</v>
          </cell>
          <cell r="J112">
            <v>8.2765319585409641E-2</v>
          </cell>
          <cell r="K112">
            <v>1.1081384737767212E-2</v>
          </cell>
          <cell r="L112">
            <v>5.9025566326051328E-4</v>
          </cell>
          <cell r="M112">
            <v>1.3097637855123684E-4</v>
          </cell>
          <cell r="N112">
            <v>7.9236648730672557E-2</v>
          </cell>
          <cell r="O112">
            <v>8.7624534381868721E-3</v>
          </cell>
          <cell r="P112">
            <v>1.865358575705988E-4</v>
          </cell>
          <cell r="Q112">
            <v>1</v>
          </cell>
        </row>
        <row r="113">
          <cell r="A113" t="str">
            <v>F138G</v>
          </cell>
          <cell r="B113" t="str">
            <v xml:space="preserve">Generation O &amp; M Exp (less fuel &amp; purchased power) </v>
          </cell>
          <cell r="C113">
            <v>0</v>
          </cell>
          <cell r="D113">
            <v>0</v>
          </cell>
          <cell r="E113">
            <v>0</v>
          </cell>
          <cell r="F113">
            <v>0.41115729857166261</v>
          </cell>
          <cell r="G113">
            <v>0.27512253684995219</v>
          </cell>
          <cell r="H113">
            <v>7.5330300606324563E-2</v>
          </cell>
          <cell r="I113">
            <v>3.311091741828112E-5</v>
          </cell>
          <cell r="J113">
            <v>0.13685657528653825</v>
          </cell>
          <cell r="K113">
            <v>1.3801520014501238E-2</v>
          </cell>
          <cell r="L113">
            <v>1.6409088154204513E-4</v>
          </cell>
          <cell r="M113">
            <v>6.1059445278468861E-6</v>
          </cell>
          <cell r="N113">
            <v>7.2619153034347961E-2</v>
          </cell>
          <cell r="O113">
            <v>1.4642235615513427E-2</v>
          </cell>
          <cell r="P113">
            <v>2.670722776715125E-4</v>
          </cell>
          <cell r="Q113">
            <v>1</v>
          </cell>
        </row>
        <row r="114">
          <cell r="A114" t="str">
            <v>F138T</v>
          </cell>
          <cell r="B114" t="str">
            <v>Transmission O &amp; M Exp - (less wheeling exp)</v>
          </cell>
          <cell r="C114">
            <v>0</v>
          </cell>
          <cell r="D114">
            <v>0</v>
          </cell>
          <cell r="E114">
            <v>0</v>
          </cell>
          <cell r="F114">
            <v>0.4100468315521269</v>
          </cell>
          <cell r="G114">
            <v>0.27374447051353201</v>
          </cell>
          <cell r="H114">
            <v>7.4795203567112209E-2</v>
          </cell>
          <cell r="I114">
            <v>0</v>
          </cell>
          <cell r="J114">
            <v>0.14048597972129515</v>
          </cell>
          <cell r="K114">
            <v>1.3781239051239664E-2</v>
          </cell>
          <cell r="L114">
            <v>1.6246050375107635E-4</v>
          </cell>
          <cell r="M114">
            <v>0</v>
          </cell>
          <cell r="N114">
            <v>7.2323279036999935E-2</v>
          </cell>
          <cell r="O114">
            <v>1.4660536053943542E-2</v>
          </cell>
          <cell r="P114">
            <v>0</v>
          </cell>
          <cell r="Q114">
            <v>1</v>
          </cell>
        </row>
        <row r="115">
          <cell r="A115" t="str">
            <v>F138D</v>
          </cell>
          <cell r="B115" t="str">
            <v xml:space="preserve">Distribution O &amp; M Exp </v>
          </cell>
          <cell r="C115">
            <v>0</v>
          </cell>
          <cell r="D115">
            <v>0</v>
          </cell>
          <cell r="E115">
            <v>0</v>
          </cell>
          <cell r="F115">
            <v>0.56473740311759479</v>
          </cell>
          <cell r="G115">
            <v>0.2369992954272141</v>
          </cell>
          <cell r="H115">
            <v>6.5034638296359484E-2</v>
          </cell>
          <cell r="I115">
            <v>3.1239730217942359E-2</v>
          </cell>
          <cell r="J115">
            <v>2.290997821954275E-3</v>
          </cell>
          <cell r="K115">
            <v>9.1225851186491156E-3</v>
          </cell>
          <cell r="L115">
            <v>5.6396657952428018E-4</v>
          </cell>
          <cell r="M115">
            <v>1.9791267005963648E-4</v>
          </cell>
          <cell r="N115">
            <v>8.9475115657050922E-2</v>
          </cell>
          <cell r="O115">
            <v>1.6917754682551148E-4</v>
          </cell>
          <cell r="P115">
            <v>1.6917754682551148E-4</v>
          </cell>
          <cell r="Q115">
            <v>1</v>
          </cell>
        </row>
        <row r="116">
          <cell r="A116" t="str">
            <v>F138R</v>
          </cell>
          <cell r="B116" t="str">
            <v>Retail O &amp; M Exp  (Customer)</v>
          </cell>
          <cell r="C116">
            <v>0</v>
          </cell>
          <cell r="D116">
            <v>0</v>
          </cell>
          <cell r="E116">
            <v>0</v>
          </cell>
          <cell r="F116">
            <v>0.86903861554361361</v>
          </cell>
          <cell r="G116">
            <v>2.2761447099022569E-2</v>
          </cell>
          <cell r="H116">
            <v>2.5052357069096803E-3</v>
          </cell>
          <cell r="I116">
            <v>8.4432279295167546E-3</v>
          </cell>
          <cell r="J116">
            <v>3.1883725231343992E-3</v>
          </cell>
          <cell r="K116">
            <v>2.8120132856704868E-3</v>
          </cell>
          <cell r="L116">
            <v>2.5900384772188532E-3</v>
          </cell>
          <cell r="M116">
            <v>5.6336995125946809E-4</v>
          </cell>
          <cell r="N116">
            <v>8.805156747693535E-2</v>
          </cell>
          <cell r="O116">
            <v>2.3056003359409895E-5</v>
          </cell>
          <cell r="P116">
            <v>2.3056003359409895E-5</v>
          </cell>
          <cell r="Q116">
            <v>1</v>
          </cell>
        </row>
        <row r="117">
          <cell r="A117" t="str">
            <v>F138M</v>
          </cell>
          <cell r="B117" t="str">
            <v xml:space="preserve">Misc &amp; Customer O &amp; M Exp </v>
          </cell>
          <cell r="C117">
            <v>0</v>
          </cell>
          <cell r="D117">
            <v>0</v>
          </cell>
          <cell r="E117">
            <v>0</v>
          </cell>
          <cell r="F117">
            <v>9.0909090909090912E-2</v>
          </cell>
          <cell r="G117">
            <v>9.0909090909090912E-2</v>
          </cell>
          <cell r="H117">
            <v>9.0909090909090912E-2</v>
          </cell>
          <cell r="I117">
            <v>9.0909090909090912E-2</v>
          </cell>
          <cell r="J117">
            <v>9.0909090909090912E-2</v>
          </cell>
          <cell r="K117">
            <v>9.0909090909090912E-2</v>
          </cell>
          <cell r="L117">
            <v>9.0909090909090912E-2</v>
          </cell>
          <cell r="M117">
            <v>9.0909090909090912E-2</v>
          </cell>
          <cell r="N117">
            <v>9.0909090909090912E-2</v>
          </cell>
          <cell r="O117">
            <v>9.0909090909090912E-2</v>
          </cell>
          <cell r="P117">
            <v>9.0909090909090912E-2</v>
          </cell>
          <cell r="Q117">
            <v>1</v>
          </cell>
        </row>
        <row r="118">
          <cell r="A118" t="str">
            <v>F140</v>
          </cell>
          <cell r="B118" t="str">
            <v>Revenue Requirement Before Rev Credits</v>
          </cell>
          <cell r="C118">
            <v>0</v>
          </cell>
          <cell r="D118">
            <v>0</v>
          </cell>
          <cell r="E118">
            <v>0</v>
          </cell>
          <cell r="F118">
            <v>0.40724655589798214</v>
          </cell>
          <cell r="G118">
            <v>0.26838165490570931</v>
          </cell>
          <cell r="H118">
            <v>7.8472255562973575E-2</v>
          </cell>
          <cell r="I118">
            <v>5.0054552560652651E-3</v>
          </cell>
          <cell r="J118">
            <v>0.1309097581317632</v>
          </cell>
          <cell r="K118">
            <v>1.055080645045183E-2</v>
          </cell>
          <cell r="L118">
            <v>3.1259897999324506E-4</v>
          </cell>
          <cell r="M118">
            <v>3.6982862899975077E-4</v>
          </cell>
          <cell r="N118">
            <v>7.4066204383474984E-2</v>
          </cell>
          <cell r="O118">
            <v>1.4322827120599532E-2</v>
          </cell>
          <cell r="P118">
            <v>1.0362054711361314E-2</v>
          </cell>
          <cell r="Q118">
            <v>1</v>
          </cell>
        </row>
        <row r="119">
          <cell r="A119" t="str">
            <v>F140G</v>
          </cell>
          <cell r="B119" t="str">
            <v>Revenue Requirement Before Rev Credits</v>
          </cell>
          <cell r="C119">
            <v>0</v>
          </cell>
          <cell r="D119">
            <v>0</v>
          </cell>
          <cell r="E119">
            <v>0</v>
          </cell>
          <cell r="F119">
            <v>0.35913494928900547</v>
          </cell>
          <cell r="G119">
            <v>0.27899701245025094</v>
          </cell>
          <cell r="H119">
            <v>8.3685975175801286E-2</v>
          </cell>
          <cell r="I119">
            <v>1.5651874495130628E-3</v>
          </cell>
          <cell r="J119">
            <v>0.16215289213631856</v>
          </cell>
          <cell r="K119">
            <v>1.0814140394140016E-2</v>
          </cell>
          <cell r="L119">
            <v>2.0383638615736852E-4</v>
          </cell>
          <cell r="M119">
            <v>3.3055963401477679E-4</v>
          </cell>
          <cell r="N119">
            <v>7.0199105673309295E-2</v>
          </cell>
          <cell r="O119">
            <v>1.7928509905025817E-2</v>
          </cell>
          <cell r="P119">
            <v>1.4987831506547691E-2</v>
          </cell>
          <cell r="Q119">
            <v>1</v>
          </cell>
        </row>
        <row r="120">
          <cell r="A120" t="str">
            <v>F140T</v>
          </cell>
          <cell r="B120" t="str">
            <v>Revenue Requirement Before Rev Credits</v>
          </cell>
          <cell r="C120">
            <v>0</v>
          </cell>
          <cell r="D120">
            <v>0</v>
          </cell>
          <cell r="E120">
            <v>0</v>
          </cell>
          <cell r="F120">
            <v>0.39043297408329014</v>
          </cell>
          <cell r="G120">
            <v>0.28526095235308935</v>
          </cell>
          <cell r="H120">
            <v>7.8847526862270714E-2</v>
          </cell>
          <cell r="I120">
            <v>3.9079249815270546E-6</v>
          </cell>
          <cell r="J120">
            <v>0.14452849346642621</v>
          </cell>
          <cell r="K120">
            <v>1.1647797337605507E-2</v>
          </cell>
          <cell r="L120">
            <v>1.7180144574955938E-4</v>
          </cell>
          <cell r="M120">
            <v>-1.5315512232262305E-5</v>
          </cell>
          <cell r="N120">
            <v>7.386712029248986E-2</v>
          </cell>
          <cell r="O120">
            <v>1.4584590329164732E-2</v>
          </cell>
          <cell r="P120">
            <v>6.7015141672984758E-4</v>
          </cell>
          <cell r="Q120">
            <v>1</v>
          </cell>
        </row>
        <row r="121">
          <cell r="A121" t="str">
            <v>F140D</v>
          </cell>
          <cell r="B121" t="str">
            <v>Revenue Requirement Before Rev Credits</v>
          </cell>
          <cell r="C121">
            <v>0</v>
          </cell>
          <cell r="D121">
            <v>0</v>
          </cell>
          <cell r="E121">
            <v>0</v>
          </cell>
          <cell r="F121">
            <v>0.55722242213930728</v>
          </cell>
          <cell r="G121">
            <v>0.24608021900807533</v>
          </cell>
          <cell r="H121">
            <v>6.7407841653748024E-2</v>
          </cell>
          <cell r="I121">
            <v>2.3895259412495484E-2</v>
          </cell>
          <cell r="J121">
            <v>3.0444120335825328E-3</v>
          </cell>
          <cell r="K121">
            <v>9.6578548832004455E-3</v>
          </cell>
          <cell r="L121">
            <v>5.4045500073625482E-4</v>
          </cell>
          <cell r="M121">
            <v>8.2456000479019006E-4</v>
          </cell>
          <cell r="N121">
            <v>9.0537976780049378E-2</v>
          </cell>
          <cell r="O121">
            <v>3.0321924882916048E-4</v>
          </cell>
          <cell r="P121">
            <v>4.8577983573917474E-4</v>
          </cell>
          <cell r="Q121">
            <v>1</v>
          </cell>
        </row>
        <row r="122">
          <cell r="A122" t="str">
            <v>F140R</v>
          </cell>
          <cell r="B122" t="str">
            <v>Revenue Requirement Before Rev Credits</v>
          </cell>
          <cell r="C122">
            <v>0</v>
          </cell>
          <cell r="D122">
            <v>0</v>
          </cell>
          <cell r="E122">
            <v>0</v>
          </cell>
          <cell r="F122">
            <v>0.90093436065764898</v>
          </cell>
          <cell r="G122">
            <v>2.2747268098712491E-2</v>
          </cell>
          <cell r="H122">
            <v>-4.4885262076517675E-5</v>
          </cell>
          <cell r="I122">
            <v>8.9724069384586914E-3</v>
          </cell>
          <cell r="J122">
            <v>-1.1636847542460036E-2</v>
          </cell>
          <cell r="K122">
            <v>2.788177907165186E-3</v>
          </cell>
          <cell r="L122">
            <v>2.6801690317733609E-3</v>
          </cell>
          <cell r="M122">
            <v>6.2498872709684848E-4</v>
          </cell>
          <cell r="N122">
            <v>8.0115389136673321E-2</v>
          </cell>
          <cell r="O122">
            <v>4.2414454377295599E-5</v>
          </cell>
          <cell r="P122">
            <v>-7.2234421451389929E-3</v>
          </cell>
          <cell r="Q122">
            <v>1</v>
          </cell>
        </row>
        <row r="123">
          <cell r="A123" t="str">
            <v>F140M</v>
          </cell>
          <cell r="B123" t="str">
            <v>Revenue Requirement Before Rev Credits</v>
          </cell>
          <cell r="C123">
            <v>0</v>
          </cell>
          <cell r="D123">
            <v>0</v>
          </cell>
          <cell r="E123">
            <v>0</v>
          </cell>
          <cell r="F123">
            <v>0.44387372107024337</v>
          </cell>
          <cell r="G123">
            <v>0.26590170098928489</v>
          </cell>
          <cell r="H123">
            <v>7.3325781369774454E-2</v>
          </cell>
          <cell r="I123">
            <v>4.5066657708467839E-3</v>
          </cell>
          <cell r="J123">
            <v>0.1059545892441887</v>
          </cell>
          <cell r="K123">
            <v>1.2590811514811659E-2</v>
          </cell>
          <cell r="L123">
            <v>2.5072490787966649E-4</v>
          </cell>
          <cell r="M123">
            <v>2.1504869741075823E-4</v>
          </cell>
          <cell r="N123">
            <v>7.6192052206813882E-2</v>
          </cell>
          <cell r="O123">
            <v>1.1112335229641663E-2</v>
          </cell>
          <cell r="P123">
            <v>6.0765771681317677E-3</v>
          </cell>
          <cell r="Q123">
            <v>1</v>
          </cell>
        </row>
        <row r="124">
          <cell r="A124" t="str">
            <v>F141</v>
          </cell>
          <cell r="B124" t="str">
            <v>Firm Revenues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 t="str">
            <v>F150</v>
          </cell>
          <cell r="B125" t="str">
            <v>Income Before State Taxes</v>
          </cell>
          <cell r="C125">
            <v>0</v>
          </cell>
          <cell r="D125">
            <v>0</v>
          </cell>
          <cell r="E125">
            <v>0</v>
          </cell>
          <cell r="F125">
            <v>-0.62378468077942817</v>
          </cell>
          <cell r="G125">
            <v>0.87156113290443227</v>
          </cell>
          <cell r="H125">
            <v>0.27551272238863345</v>
          </cell>
          <cell r="I125">
            <v>7.7290622538925116E-2</v>
          </cell>
          <cell r="J125">
            <v>0.11852251627945906</v>
          </cell>
          <cell r="K125">
            <v>-0.11136850445034048</v>
          </cell>
          <cell r="L125">
            <v>1.9368078194343889E-3</v>
          </cell>
          <cell r="M125">
            <v>1.3765737080356784E-2</v>
          </cell>
          <cell r="N125">
            <v>0.18442920537369567</v>
          </cell>
          <cell r="O125">
            <v>-1.1267508288143019E-2</v>
          </cell>
          <cell r="P125">
            <v>0.20340195229955582</v>
          </cell>
          <cell r="Q125">
            <v>1</v>
          </cell>
        </row>
        <row r="126">
          <cell r="A126" t="str">
            <v>F150G</v>
          </cell>
          <cell r="B126" t="str">
            <v>Income Before State Taxes</v>
          </cell>
          <cell r="C126">
            <v>0</v>
          </cell>
          <cell r="D126">
            <v>0</v>
          </cell>
          <cell r="E126">
            <v>0</v>
          </cell>
          <cell r="F126">
            <v>1.4431973734517904</v>
          </cell>
          <cell r="G126">
            <v>-0.12504821782396869</v>
          </cell>
          <cell r="H126">
            <v>-7.8330312067078398E-2</v>
          </cell>
          <cell r="I126">
            <v>-7.3731101772718365E-3</v>
          </cell>
          <cell r="J126">
            <v>-7.1415799472255154E-2</v>
          </cell>
          <cell r="K126">
            <v>0.10774198470814723</v>
          </cell>
          <cell r="L126">
            <v>-2.658886421782846E-4</v>
          </cell>
          <cell r="M126">
            <v>-5.5611201338795569E-3</v>
          </cell>
          <cell r="N126">
            <v>8.0495133803098994E-3</v>
          </cell>
          <cell r="O126">
            <v>2.2155500528749587E-2</v>
          </cell>
          <cell r="P126">
            <v>-0.29314992375204713</v>
          </cell>
          <cell r="Q126">
            <v>1</v>
          </cell>
        </row>
        <row r="127">
          <cell r="A127" t="str">
            <v>F150T</v>
          </cell>
          <cell r="B127" t="str">
            <v>Income Before State Taxes</v>
          </cell>
          <cell r="C127">
            <v>0</v>
          </cell>
          <cell r="D127">
            <v>0</v>
          </cell>
          <cell r="E127">
            <v>0</v>
          </cell>
          <cell r="F127">
            <v>-0.14727396764696887</v>
          </cell>
          <cell r="G127">
            <v>0.59203076699786317</v>
          </cell>
          <cell r="H127">
            <v>0.18124473545547759</v>
          </cell>
          <cell r="I127">
            <v>-1.8144374797251365E-3</v>
          </cell>
          <cell r="J127">
            <v>0.27768982437419942</v>
          </cell>
          <cell r="K127">
            <v>-4.4253324735164364E-2</v>
          </cell>
          <cell r="L127">
            <v>3.9647147821358279E-4</v>
          </cell>
          <cell r="M127">
            <v>-6.4405253150881232E-4</v>
          </cell>
          <cell r="N127">
            <v>0.1272551773263017</v>
          </cell>
          <cell r="O127">
            <v>9.9409633501802673E-3</v>
          </cell>
          <cell r="P127">
            <v>5.4278433965836356E-3</v>
          </cell>
          <cell r="Q127">
            <v>1</v>
          </cell>
        </row>
        <row r="128">
          <cell r="A128" t="str">
            <v>F150D</v>
          </cell>
          <cell r="B128" t="str">
            <v>Income Before State Taxes</v>
          </cell>
          <cell r="C128">
            <v>0</v>
          </cell>
          <cell r="D128">
            <v>0</v>
          </cell>
          <cell r="E128">
            <v>0</v>
          </cell>
          <cell r="F128">
            <v>0.33787888796245985</v>
          </cell>
          <cell r="G128">
            <v>0.37072501636059396</v>
          </cell>
          <cell r="H128">
            <v>0.1064519806836757</v>
          </cell>
          <cell r="I128">
            <v>5.3744962246019511E-2</v>
          </cell>
          <cell r="J128">
            <v>7.5370781992769448E-4</v>
          </cell>
          <cell r="K128">
            <v>-7.4615412049179606E-3</v>
          </cell>
          <cell r="L128">
            <v>9.2180332813359453E-4</v>
          </cell>
          <cell r="M128">
            <v>7.3426189170171614E-3</v>
          </cell>
          <cell r="N128">
            <v>0.12685232412687611</v>
          </cell>
          <cell r="O128">
            <v>7.0545345837940787E-5</v>
          </cell>
          <cell r="P128">
            <v>2.7196944153721502E-3</v>
          </cell>
          <cell r="Q128">
            <v>1</v>
          </cell>
        </row>
        <row r="129">
          <cell r="A129" t="str">
            <v>F150R</v>
          </cell>
          <cell r="B129" t="str">
            <v>Income Before State Taxes</v>
          </cell>
          <cell r="C129">
            <v>0</v>
          </cell>
          <cell r="D129">
            <v>0</v>
          </cell>
          <cell r="E129">
            <v>0</v>
          </cell>
          <cell r="F129">
            <v>-0.878383116030792</v>
          </cell>
          <cell r="G129">
            <v>-4.0341158105739105E-3</v>
          </cell>
          <cell r="H129">
            <v>0.15316142995497148</v>
          </cell>
          <cell r="I129">
            <v>-1.8316031940214885E-2</v>
          </cell>
          <cell r="J129">
            <v>0.9294218302799665</v>
          </cell>
          <cell r="K129">
            <v>4.8136458603555412E-3</v>
          </cell>
          <cell r="L129">
            <v>-4.2753035658495619E-3</v>
          </cell>
          <cell r="M129">
            <v>-2.294285436035221E-3</v>
          </cell>
          <cell r="N129">
            <v>0.51899969242132449</v>
          </cell>
          <cell r="O129">
            <v>-1.5908415869520247E-3</v>
          </cell>
          <cell r="P129">
            <v>0.30249709585616585</v>
          </cell>
          <cell r="Q129">
            <v>1</v>
          </cell>
        </row>
        <row r="130">
          <cell r="A130" t="str">
            <v>F150M</v>
          </cell>
          <cell r="B130" t="str">
            <v>Income Before State Taxes</v>
          </cell>
          <cell r="C130">
            <v>0</v>
          </cell>
          <cell r="D130">
            <v>0</v>
          </cell>
          <cell r="E130">
            <v>0</v>
          </cell>
          <cell r="F130">
            <v>0.27812919335440878</v>
          </cell>
          <cell r="G130">
            <v>0.29862814335254739</v>
          </cell>
          <cell r="H130">
            <v>8.9509177364187745E-2</v>
          </cell>
          <cell r="I130">
            <v>9.2883838250759961E-3</v>
          </cell>
          <cell r="J130">
            <v>0.14071456624006423</v>
          </cell>
          <cell r="K130">
            <v>2.071483411995814E-3</v>
          </cell>
          <cell r="L130">
            <v>2.7958201954420784E-4</v>
          </cell>
          <cell r="M130">
            <v>2.183952882608356E-3</v>
          </cell>
          <cell r="N130">
            <v>7.721278791683342E-2</v>
          </cell>
          <cell r="O130">
            <v>1.2157583695747314E-2</v>
          </cell>
          <cell r="P130">
            <v>8.982528094748396E-2</v>
          </cell>
          <cell r="Q130">
            <v>1</v>
          </cell>
        </row>
        <row r="131">
          <cell r="A131" t="str">
            <v>F151</v>
          </cell>
          <cell r="B131" t="str">
            <v>Depreciation Expense</v>
          </cell>
          <cell r="C131">
            <v>0</v>
          </cell>
          <cell r="D131">
            <v>0</v>
          </cell>
          <cell r="E131">
            <v>0</v>
          </cell>
          <cell r="F131">
            <v>0.45874150529193547</v>
          </cell>
          <cell r="G131">
            <v>0.26267993818489555</v>
          </cell>
          <cell r="H131">
            <v>7.166479382806909E-2</v>
          </cell>
          <cell r="I131">
            <v>7.2246952176331534E-3</v>
          </cell>
          <cell r="J131">
            <v>9.9116010085550932E-2</v>
          </cell>
          <cell r="K131">
            <v>1.324378781248541E-2</v>
          </cell>
          <cell r="L131">
            <v>2.5063427576445469E-4</v>
          </cell>
          <cell r="M131">
            <v>7.5006158748425531E-5</v>
          </cell>
          <cell r="N131">
            <v>7.6456865878453448E-2</v>
          </cell>
          <cell r="O131">
            <v>1.0512210608785981E-2</v>
          </cell>
          <cell r="P131">
            <v>3.4552657678002001E-5</v>
          </cell>
          <cell r="Q131">
            <v>1</v>
          </cell>
        </row>
        <row r="132">
          <cell r="A132" t="str">
            <v>F151G</v>
          </cell>
          <cell r="B132" t="str">
            <v>Depreciation Expense</v>
          </cell>
          <cell r="C132">
            <v>0</v>
          </cell>
          <cell r="D132">
            <v>0</v>
          </cell>
          <cell r="E132">
            <v>0</v>
          </cell>
          <cell r="F132">
            <v>0.41211194577153981</v>
          </cell>
          <cell r="G132">
            <v>0.27512733869836026</v>
          </cell>
          <cell r="H132">
            <v>7.5174098159947508E-2</v>
          </cell>
          <cell r="I132">
            <v>2.2104145383660992E-7</v>
          </cell>
          <cell r="J132">
            <v>0.13631737787535972</v>
          </cell>
          <cell r="K132">
            <v>1.3850553557064178E-2</v>
          </cell>
          <cell r="L132">
            <v>1.6328660730660052E-4</v>
          </cell>
          <cell r="M132">
            <v>4.0886557190268748E-8</v>
          </cell>
          <cell r="N132">
            <v>7.2688173685412277E-2</v>
          </cell>
          <cell r="O132">
            <v>1.4565178372933942E-2</v>
          </cell>
          <cell r="P132">
            <v>1.7853440647057346E-6</v>
          </cell>
          <cell r="Q132">
            <v>1</v>
          </cell>
        </row>
        <row r="133">
          <cell r="A133" t="str">
            <v>F151T</v>
          </cell>
          <cell r="B133" t="str">
            <v>Depreciation Expense</v>
          </cell>
          <cell r="C133">
            <v>0</v>
          </cell>
          <cell r="D133">
            <v>0</v>
          </cell>
          <cell r="E133">
            <v>0</v>
          </cell>
          <cell r="F133">
            <v>0.41004683155212651</v>
          </cell>
          <cell r="G133">
            <v>0.27374447051353196</v>
          </cell>
          <cell r="H133">
            <v>7.479520356711214E-2</v>
          </cell>
          <cell r="I133">
            <v>0</v>
          </cell>
          <cell r="J133">
            <v>0.14048597972129503</v>
          </cell>
          <cell r="K133">
            <v>1.3781239051239652E-2</v>
          </cell>
          <cell r="L133">
            <v>1.6246050375107624E-4</v>
          </cell>
          <cell r="M133">
            <v>0</v>
          </cell>
          <cell r="N133">
            <v>7.2323279036999852E-2</v>
          </cell>
          <cell r="O133">
            <v>1.4660536053943534E-2</v>
          </cell>
          <cell r="P133">
            <v>0</v>
          </cell>
          <cell r="Q133">
            <v>1</v>
          </cell>
        </row>
        <row r="134">
          <cell r="A134" t="str">
            <v>F151D</v>
          </cell>
          <cell r="B134" t="str">
            <v>Depreciation Expense</v>
          </cell>
          <cell r="C134">
            <v>0</v>
          </cell>
          <cell r="D134">
            <v>0</v>
          </cell>
          <cell r="E134">
            <v>0</v>
          </cell>
          <cell r="F134">
            <v>0.57553830689490959</v>
          </cell>
          <cell r="G134">
            <v>0.23427908570921102</v>
          </cell>
          <cell r="H134">
            <v>6.368222745354879E-2</v>
          </cell>
          <cell r="I134">
            <v>2.5816628569931114E-2</v>
          </cell>
          <cell r="J134">
            <v>1.6317543075214827E-3</v>
          </cell>
          <cell r="K134">
            <v>1.1835057658932519E-2</v>
          </cell>
          <cell r="L134">
            <v>4.4739911075700444E-4</v>
          </cell>
          <cell r="M134">
            <v>2.6227747019278368E-4</v>
          </cell>
          <cell r="N134">
            <v>8.6266270722669847E-2</v>
          </cell>
          <cell r="O134">
            <v>1.2049605116296587E-4</v>
          </cell>
          <cell r="P134">
            <v>1.2049605116296587E-4</v>
          </cell>
          <cell r="Q134">
            <v>1</v>
          </cell>
        </row>
        <row r="135">
          <cell r="A135" t="str">
            <v>F151R</v>
          </cell>
          <cell r="B135" t="str">
            <v>Depreciation Expense</v>
          </cell>
          <cell r="C135">
            <v>0</v>
          </cell>
          <cell r="D135">
            <v>0</v>
          </cell>
          <cell r="E135">
            <v>0</v>
          </cell>
          <cell r="F135">
            <v>0.8723608413628593</v>
          </cell>
          <cell r="G135">
            <v>1.9466255169731564E-2</v>
          </cell>
          <cell r="H135">
            <v>3.6347779362569317E-4</v>
          </cell>
          <cell r="I135">
            <v>1.0570312778031523E-2</v>
          </cell>
          <cell r="J135">
            <v>1.359252091134305E-3</v>
          </cell>
          <cell r="K135">
            <v>3.5966089510277095E-3</v>
          </cell>
          <cell r="L135">
            <v>2.7624166909894659E-3</v>
          </cell>
          <cell r="M135">
            <v>6.0086464747510977E-4</v>
          </cell>
          <cell r="N135">
            <v>8.89020856191894E-2</v>
          </cell>
          <cell r="O135">
            <v>8.9424479679888485E-6</v>
          </cell>
          <cell r="P135">
            <v>8.9424479679888485E-6</v>
          </cell>
          <cell r="Q135">
            <v>1</v>
          </cell>
        </row>
        <row r="136">
          <cell r="A136" t="str">
            <v>F151M</v>
          </cell>
          <cell r="B136" t="str">
            <v>Depreciation Expense</v>
          </cell>
          <cell r="C136">
            <v>0</v>
          </cell>
          <cell r="D136">
            <v>0</v>
          </cell>
          <cell r="E136">
            <v>0</v>
          </cell>
          <cell r="F136">
            <v>9.0909090909090912E-2</v>
          </cell>
          <cell r="G136">
            <v>9.0909090909090912E-2</v>
          </cell>
          <cell r="H136">
            <v>9.0909090909090912E-2</v>
          </cell>
          <cell r="I136">
            <v>9.0909090909090912E-2</v>
          </cell>
          <cell r="J136">
            <v>9.0909090909090912E-2</v>
          </cell>
          <cell r="K136">
            <v>9.0909090909090912E-2</v>
          </cell>
          <cell r="L136">
            <v>9.0909090909090912E-2</v>
          </cell>
          <cell r="M136">
            <v>9.0909090909090912E-2</v>
          </cell>
          <cell r="N136">
            <v>9.0909090909090912E-2</v>
          </cell>
          <cell r="O136">
            <v>9.0909090909090912E-2</v>
          </cell>
          <cell r="P136">
            <v>9.0909090909090912E-2</v>
          </cell>
          <cell r="Q136">
            <v>1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Facto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4">
          <cell r="C4" t="str">
            <v>Rocky Mountain Power</v>
          </cell>
        </row>
        <row r="5">
          <cell r="C5" t="str">
            <v>State of Utah</v>
          </cell>
        </row>
        <row r="6">
          <cell r="C6" t="str">
            <v>12 Months Ended May 2013</v>
          </cell>
          <cell r="L6">
            <v>7.9056500159652543E-2</v>
          </cell>
        </row>
        <row r="10">
          <cell r="D10">
            <v>0.5</v>
          </cell>
        </row>
        <row r="11">
          <cell r="W11">
            <v>2</v>
          </cell>
        </row>
        <row r="17">
          <cell r="H17">
            <v>0.37950999999999996</v>
          </cell>
        </row>
        <row r="21">
          <cell r="H21">
            <v>0.61916126045466735</v>
          </cell>
        </row>
        <row r="24">
          <cell r="D24">
            <v>0.3694468413935218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58">
          <cell r="H58">
            <v>5752868671.222681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20">
          <cell r="F120" t="str">
            <v>2010 Protocol</v>
          </cell>
        </row>
      </sheetData>
      <sheetData sheetId="18" refreshError="1">
        <row r="4">
          <cell r="I4">
            <v>0.73983771349904326</v>
          </cell>
        </row>
      </sheetData>
      <sheetData sheetId="19" refreshError="1">
        <row r="90">
          <cell r="Y90" t="str">
            <v>DIS</v>
          </cell>
        </row>
        <row r="91">
          <cell r="Y91" t="str">
            <v>METER</v>
          </cell>
        </row>
        <row r="100">
          <cell r="Y100">
            <v>0</v>
          </cell>
        </row>
        <row r="101">
          <cell r="Y101">
            <v>0</v>
          </cell>
        </row>
        <row r="105">
          <cell r="F105">
            <v>9669240.0363846496</v>
          </cell>
        </row>
        <row r="114">
          <cell r="F114">
            <v>0</v>
          </cell>
          <cell r="Y114">
            <v>0</v>
          </cell>
        </row>
        <row r="115">
          <cell r="Y115">
            <v>0</v>
          </cell>
        </row>
        <row r="121">
          <cell r="Y121">
            <v>0</v>
          </cell>
        </row>
        <row r="124">
          <cell r="Y124">
            <v>0</v>
          </cell>
        </row>
        <row r="125">
          <cell r="Y125">
            <v>0</v>
          </cell>
        </row>
        <row r="130">
          <cell r="Y130">
            <v>0</v>
          </cell>
        </row>
        <row r="131">
          <cell r="Y131">
            <v>301836.05159100029</v>
          </cell>
        </row>
        <row r="132">
          <cell r="F132">
            <v>4531648.3099999996</v>
          </cell>
          <cell r="Y132">
            <v>136705.0518223579</v>
          </cell>
        </row>
        <row r="138">
          <cell r="F138">
            <v>3004767.94</v>
          </cell>
          <cell r="Y138">
            <v>0</v>
          </cell>
        </row>
        <row r="139">
          <cell r="Y139">
            <v>0</v>
          </cell>
        </row>
        <row r="140">
          <cell r="Y140">
            <v>0</v>
          </cell>
        </row>
        <row r="143">
          <cell r="F143">
            <v>3887173.55</v>
          </cell>
          <cell r="Y143">
            <v>0</v>
          </cell>
        </row>
        <row r="144">
          <cell r="Y144">
            <v>0</v>
          </cell>
        </row>
        <row r="145">
          <cell r="Y145">
            <v>0</v>
          </cell>
        </row>
        <row r="150">
          <cell r="Y150">
            <v>0</v>
          </cell>
        </row>
        <row r="153">
          <cell r="F153">
            <v>3377867.6000000006</v>
          </cell>
          <cell r="Y153">
            <v>114590.52530521387</v>
          </cell>
        </row>
        <row r="154">
          <cell r="Y154">
            <v>0</v>
          </cell>
        </row>
        <row r="155">
          <cell r="Y155">
            <v>13675.41245418739</v>
          </cell>
        </row>
        <row r="156">
          <cell r="Y156">
            <v>128265.93775940126</v>
          </cell>
        </row>
        <row r="159">
          <cell r="F159">
            <v>-256595.15999999642</v>
          </cell>
          <cell r="Y159">
            <v>0</v>
          </cell>
        </row>
        <row r="160">
          <cell r="Y160">
            <v>0</v>
          </cell>
        </row>
        <row r="161">
          <cell r="Y161">
            <v>0</v>
          </cell>
        </row>
        <row r="164">
          <cell r="Y164">
            <v>0</v>
          </cell>
        </row>
        <row r="177">
          <cell r="Y177">
            <v>0</v>
          </cell>
        </row>
        <row r="182">
          <cell r="Y182">
            <v>0</v>
          </cell>
        </row>
        <row r="186">
          <cell r="Y186">
            <v>0</v>
          </cell>
        </row>
        <row r="189">
          <cell r="Y189">
            <v>0</v>
          </cell>
        </row>
        <row r="193">
          <cell r="Y193">
            <v>0</v>
          </cell>
        </row>
        <row r="202">
          <cell r="Y202">
            <v>-4941.386957932752</v>
          </cell>
        </row>
        <row r="209">
          <cell r="Y209">
            <v>0</v>
          </cell>
        </row>
        <row r="212">
          <cell r="Y212">
            <v>0</v>
          </cell>
        </row>
        <row r="213">
          <cell r="Y213">
            <v>0</v>
          </cell>
        </row>
        <row r="214">
          <cell r="Y214">
            <v>0</v>
          </cell>
        </row>
        <row r="224">
          <cell r="Y224">
            <v>0</v>
          </cell>
        </row>
        <row r="225">
          <cell r="Y225">
            <v>0</v>
          </cell>
        </row>
        <row r="228">
          <cell r="Y228">
            <v>0</v>
          </cell>
        </row>
        <row r="229">
          <cell r="Y229">
            <v>0</v>
          </cell>
        </row>
        <row r="230">
          <cell r="Y230">
            <v>0</v>
          </cell>
        </row>
        <row r="231">
          <cell r="Y231">
            <v>0</v>
          </cell>
        </row>
        <row r="232">
          <cell r="Y232">
            <v>0</v>
          </cell>
        </row>
        <row r="233">
          <cell r="Y233">
            <v>0</v>
          </cell>
        </row>
        <row r="236">
          <cell r="Y236">
            <v>0</v>
          </cell>
        </row>
        <row r="237">
          <cell r="Y237">
            <v>0</v>
          </cell>
        </row>
        <row r="238">
          <cell r="Y238">
            <v>0</v>
          </cell>
        </row>
        <row r="241">
          <cell r="Y241">
            <v>0</v>
          </cell>
        </row>
        <row r="242">
          <cell r="Y242">
            <v>0</v>
          </cell>
        </row>
        <row r="243">
          <cell r="Y243">
            <v>0</v>
          </cell>
        </row>
        <row r="246">
          <cell r="Y246">
            <v>0</v>
          </cell>
        </row>
        <row r="247">
          <cell r="Y247">
            <v>0</v>
          </cell>
        </row>
        <row r="248">
          <cell r="Y248">
            <v>0</v>
          </cell>
        </row>
        <row r="251">
          <cell r="Y251">
            <v>0</v>
          </cell>
        </row>
        <row r="252">
          <cell r="Y252">
            <v>0</v>
          </cell>
        </row>
        <row r="253">
          <cell r="Y253">
            <v>0</v>
          </cell>
        </row>
        <row r="254">
          <cell r="Y254">
            <v>0</v>
          </cell>
        </row>
        <row r="258">
          <cell r="Y258">
            <v>0</v>
          </cell>
        </row>
        <row r="259">
          <cell r="Y259">
            <v>0</v>
          </cell>
        </row>
        <row r="263">
          <cell r="Y263">
            <v>0</v>
          </cell>
        </row>
        <row r="264">
          <cell r="Y264">
            <v>0</v>
          </cell>
        </row>
        <row r="268">
          <cell r="Y268">
            <v>0</v>
          </cell>
        </row>
        <row r="269">
          <cell r="Y269">
            <v>0</v>
          </cell>
        </row>
        <row r="273">
          <cell r="Y273">
            <v>0</v>
          </cell>
        </row>
        <row r="274">
          <cell r="Y274">
            <v>0</v>
          </cell>
        </row>
        <row r="278">
          <cell r="Y278">
            <v>0</v>
          </cell>
        </row>
        <row r="279">
          <cell r="Y279">
            <v>0</v>
          </cell>
        </row>
        <row r="283">
          <cell r="Y283">
            <v>0</v>
          </cell>
        </row>
        <row r="284">
          <cell r="Y284">
            <v>0</v>
          </cell>
        </row>
        <row r="290">
          <cell r="Y290">
            <v>0</v>
          </cell>
        </row>
        <row r="294">
          <cell r="Y294">
            <v>0</v>
          </cell>
        </row>
        <row r="299">
          <cell r="Y299">
            <v>0</v>
          </cell>
        </row>
        <row r="303">
          <cell r="Y303">
            <v>0</v>
          </cell>
        </row>
        <row r="307">
          <cell r="Y307">
            <v>0</v>
          </cell>
        </row>
        <row r="311">
          <cell r="Y311">
            <v>0</v>
          </cell>
        </row>
        <row r="315">
          <cell r="Y315">
            <v>0</v>
          </cell>
        </row>
        <row r="319">
          <cell r="Y319">
            <v>0</v>
          </cell>
        </row>
        <row r="323">
          <cell r="Y323">
            <v>0</v>
          </cell>
        </row>
        <row r="327">
          <cell r="Y327">
            <v>0</v>
          </cell>
        </row>
        <row r="331">
          <cell r="Y331">
            <v>0</v>
          </cell>
        </row>
        <row r="338">
          <cell r="Y338">
            <v>0</v>
          </cell>
        </row>
        <row r="342">
          <cell r="Y342">
            <v>0</v>
          </cell>
        </row>
        <row r="346">
          <cell r="Y346">
            <v>0</v>
          </cell>
        </row>
        <row r="350">
          <cell r="Y350">
            <v>0</v>
          </cell>
        </row>
        <row r="354">
          <cell r="Y354">
            <v>0</v>
          </cell>
        </row>
        <row r="358">
          <cell r="Y358">
            <v>0</v>
          </cell>
        </row>
        <row r="362">
          <cell r="Y362">
            <v>0</v>
          </cell>
        </row>
        <row r="366">
          <cell r="Y366">
            <v>0</v>
          </cell>
        </row>
        <row r="370">
          <cell r="Y370">
            <v>0</v>
          </cell>
        </row>
        <row r="374">
          <cell r="Y374">
            <v>0</v>
          </cell>
        </row>
        <row r="378">
          <cell r="Y378">
            <v>0</v>
          </cell>
        </row>
        <row r="385">
          <cell r="Y385">
            <v>0</v>
          </cell>
        </row>
        <row r="388">
          <cell r="Y388">
            <v>0</v>
          </cell>
        </row>
        <row r="389">
          <cell r="Y389">
            <v>0</v>
          </cell>
        </row>
        <row r="394">
          <cell r="Y394">
            <v>0</v>
          </cell>
        </row>
        <row r="395">
          <cell r="Y395">
            <v>0</v>
          </cell>
        </row>
        <row r="398">
          <cell r="Y398">
            <v>0</v>
          </cell>
        </row>
        <row r="400">
          <cell r="Y400">
            <v>0</v>
          </cell>
        </row>
        <row r="404">
          <cell r="Y404">
            <v>0</v>
          </cell>
        </row>
        <row r="405">
          <cell r="Y405">
            <v>0</v>
          </cell>
        </row>
        <row r="406">
          <cell r="Y406">
            <v>0</v>
          </cell>
        </row>
        <row r="410">
          <cell r="Y410">
            <v>0</v>
          </cell>
        </row>
        <row r="415">
          <cell r="Y415">
            <v>0</v>
          </cell>
        </row>
        <row r="420">
          <cell r="Y420">
            <v>0</v>
          </cell>
        </row>
        <row r="421">
          <cell r="Y421">
            <v>0</v>
          </cell>
        </row>
        <row r="422">
          <cell r="Y422">
            <v>0</v>
          </cell>
        </row>
        <row r="426">
          <cell r="Y426">
            <v>0</v>
          </cell>
        </row>
        <row r="427">
          <cell r="Y427">
            <v>0</v>
          </cell>
        </row>
        <row r="428">
          <cell r="Y428">
            <v>0</v>
          </cell>
        </row>
        <row r="433">
          <cell r="Y433">
            <v>0</v>
          </cell>
        </row>
        <row r="434">
          <cell r="Y434">
            <v>0</v>
          </cell>
        </row>
        <row r="435">
          <cell r="Y435">
            <v>0</v>
          </cell>
        </row>
        <row r="436">
          <cell r="Y436">
            <v>0</v>
          </cell>
        </row>
        <row r="437">
          <cell r="Y437">
            <v>0</v>
          </cell>
        </row>
        <row r="442">
          <cell r="Y442">
            <v>0</v>
          </cell>
        </row>
        <row r="449">
          <cell r="Y449">
            <v>0</v>
          </cell>
        </row>
        <row r="451">
          <cell r="Y451">
            <v>0</v>
          </cell>
        </row>
        <row r="476">
          <cell r="Y476">
            <v>0</v>
          </cell>
        </row>
        <row r="480">
          <cell r="Y480">
            <v>0</v>
          </cell>
        </row>
        <row r="484">
          <cell r="Y484">
            <v>0</v>
          </cell>
        </row>
        <row r="488">
          <cell r="Y488">
            <v>0</v>
          </cell>
        </row>
        <row r="492">
          <cell r="Y492">
            <v>0</v>
          </cell>
        </row>
        <row r="496">
          <cell r="Y496">
            <v>0</v>
          </cell>
        </row>
        <row r="497">
          <cell r="Y497">
            <v>0</v>
          </cell>
        </row>
        <row r="501">
          <cell r="Y501">
            <v>0</v>
          </cell>
        </row>
        <row r="505">
          <cell r="Y505">
            <v>0</v>
          </cell>
        </row>
        <row r="509">
          <cell r="Y509">
            <v>0</v>
          </cell>
        </row>
        <row r="513">
          <cell r="Y513">
            <v>0</v>
          </cell>
        </row>
        <row r="517">
          <cell r="Y517">
            <v>0</v>
          </cell>
        </row>
        <row r="521">
          <cell r="Y521">
            <v>0</v>
          </cell>
        </row>
        <row r="525">
          <cell r="Y525">
            <v>0</v>
          </cell>
        </row>
        <row r="529">
          <cell r="Y529">
            <v>0</v>
          </cell>
        </row>
        <row r="536">
          <cell r="F536">
            <v>6887747.60906268</v>
          </cell>
          <cell r="Y536">
            <v>233659.4296035236</v>
          </cell>
        </row>
        <row r="541">
          <cell r="F541">
            <v>6801957.418670794</v>
          </cell>
          <cell r="Y541">
            <v>0</v>
          </cell>
        </row>
        <row r="546">
          <cell r="F546">
            <v>1717029.9315471314</v>
          </cell>
          <cell r="Y546">
            <v>0</v>
          </cell>
        </row>
        <row r="551">
          <cell r="F551">
            <v>1690032.7532925711</v>
          </cell>
          <cell r="Y551">
            <v>0</v>
          </cell>
        </row>
        <row r="556">
          <cell r="F556">
            <v>279.70370100421121</v>
          </cell>
          <cell r="Y556">
            <v>0</v>
          </cell>
        </row>
        <row r="561">
          <cell r="F561">
            <v>109073.17651547365</v>
          </cell>
          <cell r="Y561">
            <v>109073.17651547365</v>
          </cell>
        </row>
        <row r="566">
          <cell r="F566">
            <v>2093957.1297450361</v>
          </cell>
          <cell r="Y566">
            <v>2093957.1297450361</v>
          </cell>
        </row>
        <row r="571">
          <cell r="F571">
            <v>5568377.0407811385</v>
          </cell>
          <cell r="Y571">
            <v>0</v>
          </cell>
        </row>
        <row r="576">
          <cell r="F576">
            <v>2887682.4332551132</v>
          </cell>
          <cell r="Y576">
            <v>0</v>
          </cell>
        </row>
        <row r="581">
          <cell r="F581">
            <v>649452.55268583796</v>
          </cell>
          <cell r="Y581">
            <v>0</v>
          </cell>
        </row>
        <row r="586">
          <cell r="F586">
            <v>2286640.7954633571</v>
          </cell>
          <cell r="Y586">
            <v>77571.829617146082</v>
          </cell>
        </row>
        <row r="591">
          <cell r="F591">
            <v>779035.55948743632</v>
          </cell>
          <cell r="Y591">
            <v>0</v>
          </cell>
        </row>
        <row r="596">
          <cell r="F596">
            <v>5614196.9840915361</v>
          </cell>
          <cell r="Y596">
            <v>0</v>
          </cell>
        </row>
        <row r="601">
          <cell r="F601">
            <v>41683283.447724432</v>
          </cell>
          <cell r="Y601">
            <v>0</v>
          </cell>
        </row>
        <row r="606">
          <cell r="F606">
            <v>13290306.073330021</v>
          </cell>
          <cell r="Y606">
            <v>0</v>
          </cell>
        </row>
        <row r="611">
          <cell r="F611">
            <v>429753.26392337057</v>
          </cell>
          <cell r="Y611">
            <v>0</v>
          </cell>
        </row>
        <row r="616">
          <cell r="F616">
            <v>2066463.481951908</v>
          </cell>
          <cell r="Y616">
            <v>0</v>
          </cell>
        </row>
        <row r="621">
          <cell r="F621">
            <v>2844221.8788886126</v>
          </cell>
          <cell r="Y621">
            <v>2844221.8788886126</v>
          </cell>
        </row>
        <row r="626">
          <cell r="F626">
            <v>994803.46999627387</v>
          </cell>
          <cell r="Y626">
            <v>0</v>
          </cell>
        </row>
        <row r="633">
          <cell r="Y633">
            <v>0</v>
          </cell>
        </row>
        <row r="638">
          <cell r="Y638">
            <v>0</v>
          </cell>
        </row>
        <row r="643">
          <cell r="Y643">
            <v>0</v>
          </cell>
        </row>
        <row r="649">
          <cell r="Y649">
            <v>0</v>
          </cell>
        </row>
        <row r="654">
          <cell r="Y654">
            <v>0</v>
          </cell>
        </row>
        <row r="661">
          <cell r="Y661">
            <v>0</v>
          </cell>
        </row>
        <row r="666">
          <cell r="Y666">
            <v>0</v>
          </cell>
        </row>
        <row r="671">
          <cell r="Y671">
            <v>0</v>
          </cell>
        </row>
        <row r="676">
          <cell r="Y676">
            <v>0</v>
          </cell>
        </row>
        <row r="683">
          <cell r="Y683">
            <v>0</v>
          </cell>
        </row>
        <row r="688">
          <cell r="Y688">
            <v>0</v>
          </cell>
        </row>
        <row r="693">
          <cell r="Y693">
            <v>0</v>
          </cell>
        </row>
        <row r="698">
          <cell r="Y698">
            <v>0</v>
          </cell>
        </row>
        <row r="705">
          <cell r="Y705">
            <v>0</v>
          </cell>
        </row>
        <row r="707">
          <cell r="Y707">
            <v>310375.33218447777</v>
          </cell>
        </row>
        <row r="711">
          <cell r="Y711">
            <v>0</v>
          </cell>
        </row>
        <row r="713">
          <cell r="Y713">
            <v>-95402.87358030738</v>
          </cell>
        </row>
        <row r="717">
          <cell r="Y717">
            <v>0</v>
          </cell>
        </row>
        <row r="719">
          <cell r="Y719">
            <v>57260.778270756142</v>
          </cell>
        </row>
        <row r="722">
          <cell r="Y722">
            <v>11440.454450226256</v>
          </cell>
        </row>
        <row r="723">
          <cell r="Y723">
            <v>0</v>
          </cell>
        </row>
        <row r="724">
          <cell r="Y724">
            <v>38084.035315421454</v>
          </cell>
        </row>
        <row r="729">
          <cell r="Y729">
            <v>38295.372316114284</v>
          </cell>
        </row>
        <row r="735">
          <cell r="Y735">
            <v>0</v>
          </cell>
        </row>
        <row r="740">
          <cell r="Y740">
            <v>0</v>
          </cell>
        </row>
        <row r="747">
          <cell r="Y747">
            <v>0</v>
          </cell>
        </row>
        <row r="749">
          <cell r="F749">
            <v>0</v>
          </cell>
          <cell r="Y749">
            <v>0</v>
          </cell>
        </row>
        <row r="754">
          <cell r="Y754">
            <v>-75137.926686523118</v>
          </cell>
        </row>
        <row r="757">
          <cell r="Y757">
            <v>14760.454273913067</v>
          </cell>
        </row>
        <row r="758">
          <cell r="Y758">
            <v>0</v>
          </cell>
        </row>
        <row r="759">
          <cell r="Y759">
            <v>159048.03680597671</v>
          </cell>
        </row>
        <row r="765">
          <cell r="Y765">
            <v>26118.329064479803</v>
          </cell>
        </row>
        <row r="771">
          <cell r="Y771">
            <v>155697.72022374539</v>
          </cell>
        </row>
        <row r="779">
          <cell r="Y779">
            <v>0</v>
          </cell>
        </row>
        <row r="780">
          <cell r="Y780">
            <v>0</v>
          </cell>
        </row>
        <row r="781">
          <cell r="Y781">
            <v>0</v>
          </cell>
        </row>
        <row r="782">
          <cell r="Y782">
            <v>0</v>
          </cell>
        </row>
        <row r="787">
          <cell r="Y787">
            <v>0</v>
          </cell>
        </row>
        <row r="792">
          <cell r="Y792">
            <v>0</v>
          </cell>
        </row>
        <row r="796">
          <cell r="Y796">
            <v>0</v>
          </cell>
        </row>
        <row r="797">
          <cell r="Y797">
            <v>0</v>
          </cell>
        </row>
        <row r="798">
          <cell r="Y798">
            <v>0</v>
          </cell>
        </row>
        <row r="799">
          <cell r="Y799">
            <v>0</v>
          </cell>
        </row>
        <row r="805">
          <cell r="Y805">
            <v>0</v>
          </cell>
        </row>
        <row r="808">
          <cell r="Y808">
            <v>0</v>
          </cell>
        </row>
        <row r="809">
          <cell r="Y809">
            <v>0</v>
          </cell>
        </row>
        <row r="810">
          <cell r="Y810">
            <v>0</v>
          </cell>
        </row>
        <row r="811">
          <cell r="Y811">
            <v>0</v>
          </cell>
        </row>
        <row r="812">
          <cell r="Y812">
            <v>0</v>
          </cell>
        </row>
        <row r="813">
          <cell r="Y813">
            <v>0</v>
          </cell>
        </row>
        <row r="814">
          <cell r="Y814">
            <v>0</v>
          </cell>
        </row>
        <row r="815">
          <cell r="Y815">
            <v>0</v>
          </cell>
        </row>
        <row r="816">
          <cell r="Y816">
            <v>0</v>
          </cell>
        </row>
        <row r="817">
          <cell r="Y817">
            <v>2586247.3326061517</v>
          </cell>
        </row>
        <row r="818">
          <cell r="Y818">
            <v>0</v>
          </cell>
        </row>
        <row r="819">
          <cell r="Y819">
            <v>0</v>
          </cell>
        </row>
        <row r="820">
          <cell r="Y820">
            <v>0</v>
          </cell>
        </row>
        <row r="824">
          <cell r="Y824">
            <v>107376.90781654602</v>
          </cell>
        </row>
        <row r="825">
          <cell r="Y825">
            <v>0</v>
          </cell>
        </row>
        <row r="826">
          <cell r="Y826">
            <v>0</v>
          </cell>
        </row>
        <row r="827">
          <cell r="Y827">
            <v>0</v>
          </cell>
        </row>
        <row r="828">
          <cell r="Y828">
            <v>0</v>
          </cell>
        </row>
        <row r="829">
          <cell r="Y829">
            <v>0</v>
          </cell>
        </row>
        <row r="830">
          <cell r="Y830">
            <v>54916.85591158348</v>
          </cell>
        </row>
        <row r="831">
          <cell r="Y831">
            <v>0</v>
          </cell>
        </row>
        <row r="832">
          <cell r="Y832">
            <v>0</v>
          </cell>
        </row>
        <row r="837">
          <cell r="Y837">
            <v>0</v>
          </cell>
        </row>
        <row r="841">
          <cell r="Y841">
            <v>0</v>
          </cell>
        </row>
        <row r="846">
          <cell r="Y846">
            <v>0</v>
          </cell>
        </row>
        <row r="853">
          <cell r="Y853">
            <v>4919.5405773324683</v>
          </cell>
        </row>
        <row r="855">
          <cell r="Y855">
            <v>0</v>
          </cell>
        </row>
        <row r="857">
          <cell r="Y857">
            <v>4931.9956539889781</v>
          </cell>
        </row>
        <row r="861">
          <cell r="Y861">
            <v>0</v>
          </cell>
        </row>
        <row r="864">
          <cell r="Y864">
            <v>-5949.0576384948245</v>
          </cell>
        </row>
        <row r="865">
          <cell r="Y865">
            <v>0</v>
          </cell>
        </row>
        <row r="866">
          <cell r="Y866">
            <v>82363.571767062298</v>
          </cell>
        </row>
        <row r="867">
          <cell r="Y867">
            <v>0</v>
          </cell>
        </row>
        <row r="868">
          <cell r="Y868">
            <v>0</v>
          </cell>
        </row>
        <row r="869">
          <cell r="Y869">
            <v>0</v>
          </cell>
        </row>
        <row r="870">
          <cell r="Y870">
            <v>0</v>
          </cell>
        </row>
        <row r="875">
          <cell r="Y875">
            <v>0</v>
          </cell>
        </row>
        <row r="880">
          <cell r="Y880">
            <v>0</v>
          </cell>
        </row>
        <row r="888">
          <cell r="Y888">
            <v>0</v>
          </cell>
        </row>
        <row r="894">
          <cell r="Y894">
            <v>0</v>
          </cell>
        </row>
        <row r="903">
          <cell r="Y903">
            <v>0</v>
          </cell>
        </row>
        <row r="908">
          <cell r="Y908">
            <v>0</v>
          </cell>
        </row>
        <row r="916">
          <cell r="Y916">
            <v>549039.89401507436</v>
          </cell>
        </row>
        <row r="921">
          <cell r="Y921">
            <v>-14087.793643621151</v>
          </cell>
        </row>
        <row r="926">
          <cell r="Y926">
            <v>0</v>
          </cell>
        </row>
        <row r="957">
          <cell r="Y957">
            <v>-194013.18520466588</v>
          </cell>
        </row>
        <row r="977">
          <cell r="Y977">
            <v>1534765.6425384094</v>
          </cell>
        </row>
        <row r="992">
          <cell r="Y992">
            <v>0</v>
          </cell>
        </row>
        <row r="1011">
          <cell r="Y1011">
            <v>-1285457.044839297</v>
          </cell>
        </row>
        <row r="1026">
          <cell r="Y1026">
            <v>0</v>
          </cell>
        </row>
        <row r="1031">
          <cell r="Y1031">
            <v>0</v>
          </cell>
        </row>
        <row r="1032">
          <cell r="Y1032">
            <v>0</v>
          </cell>
        </row>
        <row r="1033">
          <cell r="Y1033">
            <v>0</v>
          </cell>
        </row>
        <row r="1034">
          <cell r="Y1034">
            <v>0</v>
          </cell>
        </row>
        <row r="1035">
          <cell r="Y1035">
            <v>0</v>
          </cell>
        </row>
        <row r="1036">
          <cell r="Y1036">
            <v>0</v>
          </cell>
        </row>
        <row r="1040">
          <cell r="Y1040">
            <v>0</v>
          </cell>
        </row>
        <row r="1041">
          <cell r="Y1041">
            <v>0</v>
          </cell>
        </row>
        <row r="1042">
          <cell r="Y1042">
            <v>0</v>
          </cell>
        </row>
        <row r="1043">
          <cell r="Y1043">
            <v>-9491.4712869239065</v>
          </cell>
        </row>
        <row r="1044">
          <cell r="Y1044">
            <v>0</v>
          </cell>
        </row>
        <row r="1045">
          <cell r="Y1045">
            <v>-1105.4908293662215</v>
          </cell>
        </row>
        <row r="1049">
          <cell r="Y1049">
            <v>514.62804262538589</v>
          </cell>
        </row>
        <row r="1050">
          <cell r="Y1050">
            <v>0</v>
          </cell>
        </row>
        <row r="1051">
          <cell r="Y1051">
            <v>611188.27432083024</v>
          </cell>
        </row>
        <row r="1052">
          <cell r="Y1052">
            <v>491892.33903849556</v>
          </cell>
        </row>
        <row r="1053">
          <cell r="Y1053">
            <v>0</v>
          </cell>
        </row>
        <row r="1054">
          <cell r="Y1054">
            <v>0</v>
          </cell>
        </row>
        <row r="1055">
          <cell r="Y1055">
            <v>0</v>
          </cell>
        </row>
        <row r="1056">
          <cell r="Y1056">
            <v>0</v>
          </cell>
        </row>
        <row r="1057">
          <cell r="Y1057">
            <v>0</v>
          </cell>
        </row>
        <row r="1058">
          <cell r="Y1058">
            <v>66482.424861603082</v>
          </cell>
        </row>
        <row r="1059">
          <cell r="Y1059">
            <v>0</v>
          </cell>
        </row>
        <row r="1060">
          <cell r="Y1060">
            <v>0</v>
          </cell>
        </row>
        <row r="1061">
          <cell r="Y1061">
            <v>0</v>
          </cell>
        </row>
        <row r="1062">
          <cell r="Y1062">
            <v>2673734.0565705975</v>
          </cell>
        </row>
        <row r="1068">
          <cell r="Y1068">
            <v>0</v>
          </cell>
        </row>
        <row r="1069">
          <cell r="Y1069">
            <v>0</v>
          </cell>
        </row>
        <row r="1070">
          <cell r="Y1070">
            <v>0</v>
          </cell>
        </row>
        <row r="1073">
          <cell r="Y1073">
            <v>0</v>
          </cell>
        </row>
        <row r="1074">
          <cell r="Y1074">
            <v>0</v>
          </cell>
        </row>
        <row r="1075">
          <cell r="Y1075">
            <v>3117.2500792954934</v>
          </cell>
        </row>
        <row r="1076">
          <cell r="Y1076">
            <v>0</v>
          </cell>
        </row>
        <row r="1077">
          <cell r="Y1077">
            <v>0</v>
          </cell>
        </row>
        <row r="1078">
          <cell r="Y1078">
            <v>-41869.937946670994</v>
          </cell>
        </row>
        <row r="1082">
          <cell r="Y1082">
            <v>0</v>
          </cell>
        </row>
        <row r="1083">
          <cell r="Y1083">
            <v>0</v>
          </cell>
        </row>
        <row r="1084">
          <cell r="Y1084">
            <v>615063.87669115607</v>
          </cell>
        </row>
        <row r="1085">
          <cell r="Y1085">
            <v>0</v>
          </cell>
        </row>
        <row r="1086">
          <cell r="Y1086">
            <v>254.20817479575297</v>
          </cell>
        </row>
        <row r="1087">
          <cell r="Y1087">
            <v>0</v>
          </cell>
        </row>
        <row r="1088">
          <cell r="Y1088">
            <v>0</v>
          </cell>
        </row>
        <row r="1089">
          <cell r="Y1089">
            <v>0</v>
          </cell>
        </row>
        <row r="1090">
          <cell r="Y1090">
            <v>240834.08021339832</v>
          </cell>
        </row>
        <row r="1091">
          <cell r="Y1091">
            <v>-1083.4518747593802</v>
          </cell>
        </row>
        <row r="1092">
          <cell r="Y1092">
            <v>7142188.3529288154</v>
          </cell>
        </row>
        <row r="1093">
          <cell r="Y1093">
            <v>0</v>
          </cell>
        </row>
        <row r="1101">
          <cell r="Y1101">
            <v>103603.97418797985</v>
          </cell>
        </row>
        <row r="1103">
          <cell r="Y1103">
            <v>0</v>
          </cell>
        </row>
        <row r="1120">
          <cell r="Y1120">
            <v>-4125289.6175481696</v>
          </cell>
        </row>
        <row r="1124">
          <cell r="Y1124">
            <v>103603.97418762023</v>
          </cell>
        </row>
        <row r="1133">
          <cell r="Y1133">
            <v>0</v>
          </cell>
        </row>
        <row r="1134">
          <cell r="Y1134">
            <v>0</v>
          </cell>
        </row>
        <row r="1135">
          <cell r="Y1135">
            <v>0</v>
          </cell>
        </row>
        <row r="1136">
          <cell r="Y1136">
            <v>0</v>
          </cell>
        </row>
        <row r="1142">
          <cell r="Y1142">
            <v>762447.66114379407</v>
          </cell>
        </row>
        <row r="1150">
          <cell r="Y1150">
            <v>0</v>
          </cell>
        </row>
        <row r="1151">
          <cell r="Y1151">
            <v>0</v>
          </cell>
        </row>
        <row r="1155">
          <cell r="Y1155">
            <v>0</v>
          </cell>
        </row>
        <row r="1156">
          <cell r="Y1156">
            <v>0</v>
          </cell>
        </row>
        <row r="1160">
          <cell r="Y1160">
            <v>0</v>
          </cell>
        </row>
        <row r="1161">
          <cell r="Y1161">
            <v>0</v>
          </cell>
        </row>
        <row r="1165">
          <cell r="Y1165">
            <v>0</v>
          </cell>
        </row>
        <row r="1166">
          <cell r="Y1166">
            <v>0</v>
          </cell>
        </row>
        <row r="1170">
          <cell r="Y1170">
            <v>0</v>
          </cell>
        </row>
        <row r="1171">
          <cell r="Y1171">
            <v>0</v>
          </cell>
        </row>
        <row r="1175">
          <cell r="Y1175">
            <v>0</v>
          </cell>
        </row>
        <row r="1176">
          <cell r="Y1176">
            <v>0</v>
          </cell>
        </row>
        <row r="1181">
          <cell r="Y1181">
            <v>0</v>
          </cell>
        </row>
        <row r="1188">
          <cell r="Y1188">
            <v>0</v>
          </cell>
        </row>
        <row r="1192">
          <cell r="Y1192">
            <v>0</v>
          </cell>
        </row>
        <row r="1196">
          <cell r="Y1196">
            <v>0</v>
          </cell>
        </row>
        <row r="1200">
          <cell r="Y1200">
            <v>0</v>
          </cell>
        </row>
        <row r="1204">
          <cell r="Y1204">
            <v>0</v>
          </cell>
        </row>
        <row r="1208">
          <cell r="Y1208">
            <v>0</v>
          </cell>
        </row>
        <row r="1213">
          <cell r="Y1213">
            <v>0</v>
          </cell>
        </row>
        <row r="1221">
          <cell r="Y1221">
            <v>0</v>
          </cell>
        </row>
        <row r="1226">
          <cell r="Y1226">
            <v>0</v>
          </cell>
        </row>
        <row r="1231">
          <cell r="Y1231">
            <v>0</v>
          </cell>
        </row>
        <row r="1236">
          <cell r="Y1236">
            <v>0</v>
          </cell>
        </row>
        <row r="1241">
          <cell r="Y1241">
            <v>0</v>
          </cell>
        </row>
        <row r="1246">
          <cell r="Y1246">
            <v>0</v>
          </cell>
        </row>
        <row r="1251">
          <cell r="Y1251">
            <v>0</v>
          </cell>
        </row>
        <row r="1257">
          <cell r="Y1257">
            <v>0</v>
          </cell>
        </row>
        <row r="1264">
          <cell r="Y1264">
            <v>0</v>
          </cell>
        </row>
        <row r="1266">
          <cell r="Y1266">
            <v>0</v>
          </cell>
        </row>
        <row r="1270">
          <cell r="Y1270">
            <v>0</v>
          </cell>
        </row>
        <row r="1271">
          <cell r="Y1271">
            <v>0</v>
          </cell>
        </row>
        <row r="1272">
          <cell r="Y1272">
            <v>0</v>
          </cell>
        </row>
        <row r="1276">
          <cell r="Y1276">
            <v>0</v>
          </cell>
        </row>
        <row r="1277">
          <cell r="Y1277">
            <v>0</v>
          </cell>
        </row>
        <row r="1282">
          <cell r="Y1282">
            <v>0</v>
          </cell>
        </row>
        <row r="1283">
          <cell r="Y1283">
            <v>0</v>
          </cell>
        </row>
        <row r="1284">
          <cell r="Y1284">
            <v>0</v>
          </cell>
        </row>
        <row r="1289">
          <cell r="Y1289">
            <v>0</v>
          </cell>
        </row>
        <row r="1290">
          <cell r="Y1290">
            <v>0</v>
          </cell>
        </row>
        <row r="1291">
          <cell r="Y1291">
            <v>0</v>
          </cell>
        </row>
        <row r="1295">
          <cell r="Y1295">
            <v>0</v>
          </cell>
        </row>
        <row r="1296">
          <cell r="Y1296">
            <v>0</v>
          </cell>
        </row>
        <row r="1297">
          <cell r="Y1297">
            <v>0</v>
          </cell>
        </row>
        <row r="1301">
          <cell r="Y1301">
            <v>0</v>
          </cell>
        </row>
        <row r="1303">
          <cell r="Y1303">
            <v>0</v>
          </cell>
        </row>
        <row r="1308">
          <cell r="Y1308">
            <v>0</v>
          </cell>
        </row>
        <row r="1315">
          <cell r="Y1315">
            <v>0</v>
          </cell>
        </row>
        <row r="1323">
          <cell r="F1323">
            <v>65523788.682003349</v>
          </cell>
          <cell r="Y1323">
            <v>0</v>
          </cell>
        </row>
        <row r="1330">
          <cell r="F1330">
            <v>50845744.158184782</v>
          </cell>
          <cell r="Y1330">
            <v>0</v>
          </cell>
        </row>
        <row r="1336">
          <cell r="F1336">
            <v>634490802.10434282</v>
          </cell>
          <cell r="Y1336">
            <v>0</v>
          </cell>
        </row>
        <row r="1342">
          <cell r="F1342">
            <v>337979514.75243306</v>
          </cell>
          <cell r="Y1342">
            <v>0</v>
          </cell>
        </row>
        <row r="1348">
          <cell r="F1348">
            <v>545994485.22805691</v>
          </cell>
          <cell r="Y1348">
            <v>0</v>
          </cell>
        </row>
        <row r="1354">
          <cell r="F1354">
            <v>358772623.28166842</v>
          </cell>
          <cell r="Y1354">
            <v>0</v>
          </cell>
        </row>
        <row r="1360">
          <cell r="F1360">
            <v>1409441.8474685166</v>
          </cell>
          <cell r="Y1360">
            <v>0</v>
          </cell>
        </row>
        <row r="1366">
          <cell r="F1366">
            <v>3237640.7806528024</v>
          </cell>
          <cell r="Y1366">
            <v>0</v>
          </cell>
        </row>
        <row r="1372">
          <cell r="F1372">
            <v>4996120.9293602761</v>
          </cell>
          <cell r="Y1372">
            <v>0</v>
          </cell>
        </row>
        <row r="1376">
          <cell r="Y1376">
            <v>0</v>
          </cell>
        </row>
        <row r="1380">
          <cell r="F1380">
            <v>0</v>
          </cell>
        </row>
        <row r="1388">
          <cell r="F1388">
            <v>32758008.455924053</v>
          </cell>
          <cell r="Y1388">
            <v>0</v>
          </cell>
        </row>
        <row r="1394">
          <cell r="F1394">
            <v>41611910.685070224</v>
          </cell>
          <cell r="Y1394">
            <v>0</v>
          </cell>
        </row>
        <row r="1400">
          <cell r="F1400">
            <v>426968537.48323786</v>
          </cell>
          <cell r="Y1400">
            <v>0</v>
          </cell>
        </row>
        <row r="1407">
          <cell r="F1407">
            <v>323877080.59625232</v>
          </cell>
        </row>
        <row r="1414">
          <cell r="F1414">
            <v>217986859.43925196</v>
          </cell>
        </row>
        <row r="1421">
          <cell r="F1421">
            <v>169418841.40714058</v>
          </cell>
        </row>
        <row r="1428">
          <cell r="F1428">
            <v>470936475.3446579</v>
          </cell>
        </row>
        <row r="1434">
          <cell r="F1434">
            <v>432805782.20940626</v>
          </cell>
          <cell r="Y1434">
            <v>0</v>
          </cell>
        </row>
        <row r="1441">
          <cell r="F1441">
            <v>228878373.42927888</v>
          </cell>
          <cell r="Y1441">
            <v>0</v>
          </cell>
        </row>
        <row r="1447">
          <cell r="F1447">
            <v>80788746.213291228</v>
          </cell>
          <cell r="Y1447">
            <v>80788746.213291228</v>
          </cell>
        </row>
        <row r="1454">
          <cell r="F1454">
            <v>4665237.088400173</v>
          </cell>
        </row>
        <row r="1458">
          <cell r="F1458">
            <v>0</v>
          </cell>
          <cell r="Y1458">
            <v>0</v>
          </cell>
        </row>
        <row r="1459">
          <cell r="F1459">
            <v>0</v>
          </cell>
          <cell r="Y1459">
            <v>0</v>
          </cell>
        </row>
        <row r="1460">
          <cell r="F1460">
            <v>0</v>
          </cell>
          <cell r="Y1460">
            <v>0</v>
          </cell>
        </row>
        <row r="1461">
          <cell r="F1461">
            <v>0</v>
          </cell>
        </row>
        <row r="1467">
          <cell r="F1467">
            <v>25142234.001355112</v>
          </cell>
          <cell r="Y1467">
            <v>0</v>
          </cell>
        </row>
        <row r="1471">
          <cell r="Y1471">
            <v>0</v>
          </cell>
        </row>
        <row r="1475">
          <cell r="Y1475">
            <v>0</v>
          </cell>
        </row>
        <row r="1481">
          <cell r="Y1481">
            <v>101265.58183782731</v>
          </cell>
        </row>
        <row r="1482">
          <cell r="Y1482">
            <v>0</v>
          </cell>
        </row>
        <row r="1483">
          <cell r="Y1483">
            <v>0</v>
          </cell>
        </row>
        <row r="1484">
          <cell r="Y1484">
            <v>0</v>
          </cell>
        </row>
        <row r="1485">
          <cell r="Y1485">
            <v>21867.254750698467</v>
          </cell>
        </row>
        <row r="1489">
          <cell r="Y1489">
            <v>942256.5408805476</v>
          </cell>
        </row>
        <row r="1490">
          <cell r="Y1490">
            <v>0</v>
          </cell>
        </row>
        <row r="1491">
          <cell r="Y1491">
            <v>0</v>
          </cell>
        </row>
        <row r="1492">
          <cell r="Y1492">
            <v>0</v>
          </cell>
        </row>
        <row r="1493">
          <cell r="Y1493">
            <v>0</v>
          </cell>
        </row>
        <row r="1494">
          <cell r="Y1494">
            <v>404252.9430815645</v>
          </cell>
        </row>
        <row r="1498">
          <cell r="Y1498">
            <v>62999.884783196314</v>
          </cell>
        </row>
        <row r="1499">
          <cell r="Y1499">
            <v>0</v>
          </cell>
        </row>
        <row r="1500">
          <cell r="Y1500">
            <v>0</v>
          </cell>
        </row>
        <row r="1501">
          <cell r="Y1501">
            <v>0</v>
          </cell>
        </row>
        <row r="1502">
          <cell r="Y1502">
            <v>0</v>
          </cell>
        </row>
        <row r="1503">
          <cell r="Y1503">
            <v>0</v>
          </cell>
        </row>
        <row r="1504">
          <cell r="Y1504">
            <v>206803.06166919714</v>
          </cell>
        </row>
        <row r="1505">
          <cell r="Y1505">
            <v>0</v>
          </cell>
        </row>
        <row r="1506">
          <cell r="Y1506">
            <v>0</v>
          </cell>
        </row>
        <row r="1510">
          <cell r="Y1510">
            <v>788735.59571950044</v>
          </cell>
        </row>
        <row r="1511">
          <cell r="Y1511">
            <v>29737.663268964639</v>
          </cell>
        </row>
        <row r="1512">
          <cell r="Y1512">
            <v>0</v>
          </cell>
        </row>
        <row r="1513">
          <cell r="Y1513">
            <v>0</v>
          </cell>
        </row>
        <row r="1514">
          <cell r="Y1514">
            <v>0</v>
          </cell>
        </row>
        <row r="1515">
          <cell r="Y1515">
            <v>0</v>
          </cell>
        </row>
        <row r="1516">
          <cell r="Y1516">
            <v>0</v>
          </cell>
        </row>
        <row r="1517">
          <cell r="Y1517">
            <v>0</v>
          </cell>
        </row>
        <row r="1518">
          <cell r="Y1518">
            <v>0</v>
          </cell>
        </row>
        <row r="1522">
          <cell r="Y1522">
            <v>88278.71379745884</v>
          </cell>
        </row>
        <row r="1523">
          <cell r="Y1523">
            <v>0</v>
          </cell>
        </row>
        <row r="1524">
          <cell r="Y1524">
            <v>0</v>
          </cell>
        </row>
        <row r="1525">
          <cell r="Y1525">
            <v>1345.6894533043651</v>
          </cell>
        </row>
        <row r="1526">
          <cell r="Y1526">
            <v>0</v>
          </cell>
        </row>
        <row r="1527">
          <cell r="Y1527">
            <v>0</v>
          </cell>
        </row>
        <row r="1531">
          <cell r="Y1531">
            <v>302506.83164974279</v>
          </cell>
        </row>
        <row r="1532">
          <cell r="Y1532">
            <v>0</v>
          </cell>
        </row>
        <row r="1533">
          <cell r="Y1533">
            <v>0</v>
          </cell>
        </row>
        <row r="1534">
          <cell r="Y1534">
            <v>15124.93488335246</v>
          </cell>
        </row>
        <row r="1535">
          <cell r="Y1535">
            <v>0</v>
          </cell>
        </row>
        <row r="1536">
          <cell r="Y1536">
            <v>0</v>
          </cell>
        </row>
        <row r="1537">
          <cell r="Y1537">
            <v>0</v>
          </cell>
        </row>
        <row r="1538">
          <cell r="Y1538">
            <v>0</v>
          </cell>
        </row>
        <row r="1542">
          <cell r="Y1542">
            <v>179898.8990322403</v>
          </cell>
        </row>
        <row r="1543">
          <cell r="Y1543">
            <v>0</v>
          </cell>
        </row>
        <row r="1544">
          <cell r="Y1544">
            <v>0</v>
          </cell>
        </row>
        <row r="1545">
          <cell r="Y1545">
            <v>20890.15354817707</v>
          </cell>
        </row>
        <row r="1546">
          <cell r="Y1546">
            <v>0</v>
          </cell>
        </row>
        <row r="1547">
          <cell r="Y1547">
            <v>0</v>
          </cell>
        </row>
        <row r="1548">
          <cell r="Y1548">
            <v>0</v>
          </cell>
        </row>
        <row r="1549">
          <cell r="Y1549">
            <v>0</v>
          </cell>
        </row>
        <row r="1553">
          <cell r="Y1553">
            <v>895096.34506212233</v>
          </cell>
        </row>
        <row r="1554">
          <cell r="Y1554">
            <v>0</v>
          </cell>
        </row>
        <row r="1555">
          <cell r="Y1555">
            <v>0</v>
          </cell>
        </row>
        <row r="1556">
          <cell r="Y1556">
            <v>4977.2527658881372</v>
          </cell>
        </row>
        <row r="1557">
          <cell r="Y1557">
            <v>0</v>
          </cell>
        </row>
        <row r="1558">
          <cell r="Y1558">
            <v>0</v>
          </cell>
        </row>
        <row r="1559">
          <cell r="Y1559">
            <v>0</v>
          </cell>
        </row>
        <row r="1560">
          <cell r="Y1560">
            <v>0</v>
          </cell>
        </row>
        <row r="1564">
          <cell r="Y1564">
            <v>1466728.4068507515</v>
          </cell>
        </row>
        <row r="1565">
          <cell r="Y1565">
            <v>0</v>
          </cell>
        </row>
        <row r="1566">
          <cell r="Y1566">
            <v>0</v>
          </cell>
        </row>
        <row r="1567">
          <cell r="Y1567">
            <v>201326.50887063431</v>
          </cell>
        </row>
        <row r="1568">
          <cell r="Y1568">
            <v>0</v>
          </cell>
        </row>
        <row r="1569">
          <cell r="Y1569">
            <v>0</v>
          </cell>
        </row>
        <row r="1570">
          <cell r="Y1570">
            <v>0</v>
          </cell>
        </row>
        <row r="1571">
          <cell r="Y1571">
            <v>0</v>
          </cell>
        </row>
        <row r="1572">
          <cell r="Y1572">
            <v>0</v>
          </cell>
        </row>
        <row r="1576">
          <cell r="Y1576">
            <v>10147.52024848265</v>
          </cell>
        </row>
        <row r="1577">
          <cell r="Y1577">
            <v>0</v>
          </cell>
        </row>
        <row r="1578">
          <cell r="Y1578">
            <v>0</v>
          </cell>
        </row>
        <row r="1579">
          <cell r="Y1579">
            <v>0</v>
          </cell>
        </row>
        <row r="1580">
          <cell r="Y1580">
            <v>12111.113448174949</v>
          </cell>
        </row>
        <row r="1581">
          <cell r="Y1581">
            <v>0</v>
          </cell>
        </row>
        <row r="1582">
          <cell r="Y1582">
            <v>0</v>
          </cell>
        </row>
        <row r="1583">
          <cell r="Y1583">
            <v>0</v>
          </cell>
        </row>
        <row r="1590">
          <cell r="Y1590">
            <v>0</v>
          </cell>
        </row>
        <row r="1594">
          <cell r="Y1594">
            <v>0</v>
          </cell>
        </row>
        <row r="1596">
          <cell r="Y1596">
            <v>0</v>
          </cell>
        </row>
        <row r="1601">
          <cell r="Y1601">
            <v>295211.46033860912</v>
          </cell>
        </row>
        <row r="1602">
          <cell r="Y1602">
            <v>0</v>
          </cell>
        </row>
        <row r="1603">
          <cell r="Y1603">
            <v>49474.613030731496</v>
          </cell>
        </row>
        <row r="1611">
          <cell r="Y1611">
            <v>0</v>
          </cell>
        </row>
        <row r="1614">
          <cell r="F1614">
            <v>0</v>
          </cell>
        </row>
        <row r="1623">
          <cell r="Y1623">
            <v>-776.58512581808077</v>
          </cell>
        </row>
        <row r="1631">
          <cell r="Y1631">
            <v>0</v>
          </cell>
        </row>
        <row r="1636">
          <cell r="Y1636">
            <v>0</v>
          </cell>
        </row>
        <row r="1637">
          <cell r="Y1637">
            <v>0</v>
          </cell>
        </row>
        <row r="1638">
          <cell r="Y1638">
            <v>0</v>
          </cell>
        </row>
        <row r="1641">
          <cell r="Y1641">
            <v>0</v>
          </cell>
        </row>
        <row r="1642">
          <cell r="Y1642">
            <v>0</v>
          </cell>
        </row>
        <row r="1643">
          <cell r="Y1643">
            <v>0</v>
          </cell>
        </row>
        <row r="1644">
          <cell r="Y1644">
            <v>0</v>
          </cell>
        </row>
        <row r="1648">
          <cell r="Y1648">
            <v>51372.058256774704</v>
          </cell>
        </row>
        <row r="1649">
          <cell r="Y1649">
            <v>0</v>
          </cell>
        </row>
        <row r="1650">
          <cell r="Y1650">
            <v>1497901.9444749004</v>
          </cell>
        </row>
        <row r="1651">
          <cell r="Y1651">
            <v>0</v>
          </cell>
        </row>
        <row r="1652">
          <cell r="Y1652">
            <v>0</v>
          </cell>
        </row>
        <row r="1654">
          <cell r="Y1654">
            <v>0</v>
          </cell>
        </row>
        <row r="1665">
          <cell r="Y1665">
            <v>0</v>
          </cell>
        </row>
        <row r="1673">
          <cell r="Y1673">
            <v>85230.408112353121</v>
          </cell>
        </row>
        <row r="1674">
          <cell r="Y1674">
            <v>0</v>
          </cell>
        </row>
        <row r="1675">
          <cell r="Y1675">
            <v>0</v>
          </cell>
        </row>
        <row r="1676">
          <cell r="Y1676">
            <v>0</v>
          </cell>
        </row>
        <row r="1677">
          <cell r="Y1677">
            <v>0</v>
          </cell>
        </row>
        <row r="1678">
          <cell r="Y1678">
            <v>0</v>
          </cell>
        </row>
        <row r="1685">
          <cell r="Y1685">
            <v>0</v>
          </cell>
        </row>
        <row r="1689">
          <cell r="Y1689">
            <v>0</v>
          </cell>
        </row>
        <row r="1694">
          <cell r="Y1694">
            <v>0</v>
          </cell>
        </row>
        <row r="1701">
          <cell r="Y1701">
            <v>0</v>
          </cell>
        </row>
        <row r="1709">
          <cell r="Y1709">
            <v>0</v>
          </cell>
        </row>
        <row r="1715">
          <cell r="Y1715">
            <v>0</v>
          </cell>
        </row>
        <row r="1716">
          <cell r="Y1716">
            <v>0</v>
          </cell>
        </row>
        <row r="1724">
          <cell r="Y1724">
            <v>0</v>
          </cell>
        </row>
        <row r="1728">
          <cell r="Y1728">
            <v>0</v>
          </cell>
        </row>
        <row r="1732">
          <cell r="Y1732">
            <v>0</v>
          </cell>
        </row>
        <row r="1749">
          <cell r="Y1749">
            <v>0</v>
          </cell>
        </row>
        <row r="1750">
          <cell r="Y1750">
            <v>408231.79532516038</v>
          </cell>
        </row>
        <row r="1755">
          <cell r="Y1755">
            <v>0</v>
          </cell>
        </row>
        <row r="1760">
          <cell r="Y1760">
            <v>-601.17712280735304</v>
          </cell>
        </row>
        <row r="1768">
          <cell r="Y1768">
            <v>0</v>
          </cell>
        </row>
        <row r="1770">
          <cell r="Y1770">
            <v>65626.116575501277</v>
          </cell>
        </row>
        <row r="1778">
          <cell r="Y1778">
            <v>0</v>
          </cell>
        </row>
        <row r="1780">
          <cell r="Y1780">
            <v>27654.647045515041</v>
          </cell>
        </row>
        <row r="1788">
          <cell r="Y1788">
            <v>0</v>
          </cell>
        </row>
        <row r="1791">
          <cell r="Y1791">
            <v>46.301605417910494</v>
          </cell>
        </row>
        <row r="1798">
          <cell r="Y1798">
            <v>73634.676801837399</v>
          </cell>
        </row>
        <row r="1809">
          <cell r="Y1809">
            <v>0</v>
          </cell>
        </row>
        <row r="1810">
          <cell r="Y1810">
            <v>199297.80722946802</v>
          </cell>
        </row>
        <row r="1824">
          <cell r="Y1824">
            <v>0</v>
          </cell>
        </row>
        <row r="1829">
          <cell r="Y1829">
            <v>0</v>
          </cell>
        </row>
        <row r="1834">
          <cell r="Y1834">
            <v>0</v>
          </cell>
        </row>
        <row r="1843">
          <cell r="Y1843">
            <v>0</v>
          </cell>
        </row>
        <row r="1847">
          <cell r="F1847">
            <v>0</v>
          </cell>
          <cell r="Y1847">
            <v>0</v>
          </cell>
        </row>
        <row r="1850">
          <cell r="F1850">
            <v>-2956470.2857848713</v>
          </cell>
        </row>
        <row r="1851">
          <cell r="F1851">
            <v>-2956470.2857848713</v>
          </cell>
          <cell r="Y1851">
            <v>-26952.298544626792</v>
          </cell>
        </row>
        <row r="1855">
          <cell r="F1855">
            <v>-10270013.358761465</v>
          </cell>
          <cell r="Y1855">
            <v>-93625.316457107736</v>
          </cell>
        </row>
        <row r="1859">
          <cell r="F1859">
            <v>-647320.21573147376</v>
          </cell>
          <cell r="Y1859">
            <v>0</v>
          </cell>
        </row>
        <row r="1863">
          <cell r="Y1863">
            <v>0</v>
          </cell>
        </row>
        <row r="1864">
          <cell r="F1864">
            <v>-446748.89750999969</v>
          </cell>
          <cell r="Y1864">
            <v>0</v>
          </cell>
        </row>
        <row r="1867">
          <cell r="F1867">
            <v>-2239290.6767274253</v>
          </cell>
        </row>
        <row r="1868">
          <cell r="F1868">
            <v>-2239290.6767274253</v>
          </cell>
          <cell r="Y1868">
            <v>0</v>
          </cell>
        </row>
        <row r="1876">
          <cell r="Y1876">
            <v>-98823.602009310547</v>
          </cell>
        </row>
        <row r="1880">
          <cell r="F1880">
            <v>-778472.93409763381</v>
          </cell>
          <cell r="Y1880">
            <v>0</v>
          </cell>
        </row>
        <row r="1887">
          <cell r="F1887">
            <v>-5840281.8868034603</v>
          </cell>
          <cell r="Y1887">
            <v>0</v>
          </cell>
        </row>
        <row r="1891">
          <cell r="Y1891">
            <v>0</v>
          </cell>
        </row>
        <row r="1892">
          <cell r="Y1892">
            <v>851175.07160338084</v>
          </cell>
        </row>
        <row r="1894">
          <cell r="Y1894">
            <v>0</v>
          </cell>
        </row>
        <row r="1901">
          <cell r="Y1901">
            <v>0</v>
          </cell>
        </row>
        <row r="1902">
          <cell r="Y1902">
            <v>864335.08093002078</v>
          </cell>
        </row>
        <row r="1908">
          <cell r="Y1908">
            <v>0</v>
          </cell>
        </row>
        <row r="1912">
          <cell r="F1912">
            <v>1.0719561604796075</v>
          </cell>
        </row>
        <row r="1914">
          <cell r="Y1914">
            <v>246349.14090247222</v>
          </cell>
        </row>
        <row r="1926">
          <cell r="Y1926">
            <v>-13898473.445420917</v>
          </cell>
        </row>
        <row r="1932">
          <cell r="Y1932">
            <v>-104396.69531253657</v>
          </cell>
        </row>
        <row r="1939">
          <cell r="Y1939">
            <v>-156820.33035747628</v>
          </cell>
        </row>
        <row r="1952">
          <cell r="Y1952">
            <v>-1054.1465351026409</v>
          </cell>
        </row>
        <row r="1961">
          <cell r="Y1961">
            <v>0</v>
          </cell>
        </row>
        <row r="1962">
          <cell r="Y1962">
            <v>0</v>
          </cell>
        </row>
        <row r="1968">
          <cell r="Y1968">
            <v>0</v>
          </cell>
        </row>
        <row r="1975">
          <cell r="Y1975">
            <v>0</v>
          </cell>
        </row>
        <row r="1980">
          <cell r="Y1980">
            <v>0</v>
          </cell>
        </row>
        <row r="1982">
          <cell r="Y1982">
            <v>0</v>
          </cell>
        </row>
        <row r="1983">
          <cell r="Y1983">
            <v>0</v>
          </cell>
        </row>
        <row r="1988">
          <cell r="Y1988">
            <v>0</v>
          </cell>
        </row>
        <row r="2002">
          <cell r="Y2002">
            <v>0</v>
          </cell>
        </row>
        <row r="2006">
          <cell r="Y2006">
            <v>0</v>
          </cell>
        </row>
        <row r="2010">
          <cell r="Y2010">
            <v>0</v>
          </cell>
        </row>
        <row r="2014">
          <cell r="Y2014">
            <v>0</v>
          </cell>
        </row>
        <row r="2018">
          <cell r="Y2018">
            <v>0</v>
          </cell>
        </row>
        <row r="2022">
          <cell r="Y2022">
            <v>0</v>
          </cell>
        </row>
        <row r="2026">
          <cell r="Y2026">
            <v>0</v>
          </cell>
        </row>
        <row r="2030">
          <cell r="Y2030">
            <v>0</v>
          </cell>
        </row>
        <row r="2034">
          <cell r="Y2034">
            <v>0</v>
          </cell>
        </row>
        <row r="2038">
          <cell r="Y2038">
            <v>0</v>
          </cell>
        </row>
        <row r="2042">
          <cell r="Y2042">
            <v>-29001886.223786578</v>
          </cell>
        </row>
        <row r="2046">
          <cell r="Y2046">
            <v>0</v>
          </cell>
        </row>
        <row r="2050">
          <cell r="Y2050">
            <v>0</v>
          </cell>
        </row>
        <row r="2054">
          <cell r="Y2054">
            <v>0</v>
          </cell>
        </row>
        <row r="2057">
          <cell r="F2057">
            <v>0</v>
          </cell>
        </row>
        <row r="2058">
          <cell r="Y2058">
            <v>0</v>
          </cell>
        </row>
        <row r="2061">
          <cell r="F2061">
            <v>0</v>
          </cell>
        </row>
        <row r="2062">
          <cell r="Y2062">
            <v>0</v>
          </cell>
        </row>
        <row r="2065">
          <cell r="F2065">
            <v>538164.5</v>
          </cell>
        </row>
        <row r="2066">
          <cell r="Y2066">
            <v>18256.651846158136</v>
          </cell>
        </row>
        <row r="2072">
          <cell r="Y2072">
            <v>-1391592.5819716619</v>
          </cell>
        </row>
        <row r="2073">
          <cell r="Y2073">
            <v>0</v>
          </cell>
        </row>
        <row r="2074">
          <cell r="Y2074">
            <v>0</v>
          </cell>
        </row>
        <row r="2075">
          <cell r="Y2075">
            <v>0</v>
          </cell>
        </row>
        <row r="2076">
          <cell r="Y2076">
            <v>0</v>
          </cell>
        </row>
        <row r="2077">
          <cell r="Y2077">
            <v>-251047.15576095413</v>
          </cell>
        </row>
        <row r="2078">
          <cell r="Y2078">
            <v>0</v>
          </cell>
        </row>
        <row r="2079">
          <cell r="Y2079">
            <v>0</v>
          </cell>
        </row>
        <row r="2080">
          <cell r="Y2080">
            <v>0</v>
          </cell>
        </row>
        <row r="2092">
          <cell r="Y2092">
            <v>0</v>
          </cell>
        </row>
        <row r="2098">
          <cell r="Y2098">
            <v>0</v>
          </cell>
        </row>
        <row r="2099">
          <cell r="Y2099">
            <v>0</v>
          </cell>
        </row>
        <row r="2106">
          <cell r="Y2106">
            <v>0</v>
          </cell>
        </row>
        <row r="2107">
          <cell r="Y2107">
            <v>0</v>
          </cell>
        </row>
        <row r="2119">
          <cell r="Y2119">
            <v>0</v>
          </cell>
        </row>
        <row r="2124">
          <cell r="Y2124">
            <v>0</v>
          </cell>
        </row>
        <row r="2126">
          <cell r="Y2126">
            <v>-51196.748568084222</v>
          </cell>
        </row>
        <row r="2127">
          <cell r="Y2127">
            <v>0</v>
          </cell>
        </row>
        <row r="2128">
          <cell r="Y2128">
            <v>-51528.184162782003</v>
          </cell>
        </row>
        <row r="2134">
          <cell r="Y2134">
            <v>0</v>
          </cell>
        </row>
        <row r="2138">
          <cell r="Y2138">
            <v>-881.31927976879228</v>
          </cell>
        </row>
        <row r="2139">
          <cell r="Y2139">
            <v>0</v>
          </cell>
        </row>
        <row r="2140">
          <cell r="Y2140">
            <v>0</v>
          </cell>
        </row>
        <row r="2141">
          <cell r="Y2141">
            <v>0</v>
          </cell>
        </row>
        <row r="2142">
          <cell r="Y2142">
            <v>0</v>
          </cell>
        </row>
        <row r="2143">
          <cell r="Y2143">
            <v>0</v>
          </cell>
        </row>
        <row r="2145">
          <cell r="Y2145">
            <v>0</v>
          </cell>
        </row>
        <row r="2146">
          <cell r="Y2146">
            <v>-1105700.5510010931</v>
          </cell>
        </row>
        <row r="2159">
          <cell r="Y2159">
            <v>0</v>
          </cell>
        </row>
      </sheetData>
      <sheetData sheetId="20" refreshError="1"/>
      <sheetData sheetId="21" refreshError="1">
        <row r="10">
          <cell r="A10" t="str">
            <v>FACTOR NAME</v>
          </cell>
          <cell r="B10" t="str">
            <v>GEN</v>
          </cell>
          <cell r="C10" t="str">
            <v>TRN</v>
          </cell>
          <cell r="D10" t="str">
            <v>DIS</v>
          </cell>
          <cell r="E10" t="str">
            <v>Distribution</v>
          </cell>
          <cell r="F10" t="str">
            <v>Retail</v>
          </cell>
          <cell r="G10" t="str">
            <v>Misc</v>
          </cell>
          <cell r="H10" t="str">
            <v>TOT</v>
          </cell>
        </row>
        <row r="11">
          <cell r="A11" t="str">
            <v>ACCMDIT</v>
          </cell>
          <cell r="B11">
            <v>0.73983771349904326</v>
          </cell>
          <cell r="C11">
            <v>0.13136654769351463</v>
          </cell>
          <cell r="D11">
            <v>0.12879573880744205</v>
          </cell>
          <cell r="E11">
            <v>0.12618654548359934</v>
          </cell>
          <cell r="F11">
            <v>2.6091933238426997E-3</v>
          </cell>
          <cell r="G11">
            <v>0</v>
          </cell>
          <cell r="H11">
            <v>1</v>
          </cell>
        </row>
        <row r="12">
          <cell r="A12" t="str">
            <v>BOOKDEPR</v>
          </cell>
          <cell r="B12">
            <v>0.53330883081307834</v>
          </cell>
          <cell r="C12">
            <v>0.16661852821541756</v>
          </cell>
          <cell r="D12">
            <v>0.30007264097150399</v>
          </cell>
          <cell r="E12">
            <v>0.29663707297504832</v>
          </cell>
          <cell r="F12">
            <v>3.4355679964556858E-3</v>
          </cell>
          <cell r="G12">
            <v>0</v>
          </cell>
          <cell r="H12">
            <v>1</v>
          </cell>
        </row>
        <row r="13">
          <cell r="A13" t="str">
            <v>CUST</v>
          </cell>
          <cell r="B13">
            <v>0</v>
          </cell>
          <cell r="C13">
            <v>0</v>
          </cell>
          <cell r="D13">
            <v>1</v>
          </cell>
          <cell r="E13">
            <v>0</v>
          </cell>
          <cell r="F13">
            <v>1</v>
          </cell>
          <cell r="G13">
            <v>0</v>
          </cell>
          <cell r="H13">
            <v>1</v>
          </cell>
        </row>
        <row r="14">
          <cell r="A14" t="str">
            <v>CWC</v>
          </cell>
          <cell r="B14">
            <v>0.75646892039982017</v>
          </cell>
          <cell r="C14">
            <v>8.8444614506006478E-2</v>
          </cell>
          <cell r="D14">
            <v>0.15508646509414725</v>
          </cell>
          <cell r="E14">
            <v>0.11633571872970792</v>
          </cell>
          <cell r="F14">
            <v>3.3873720093208132E-2</v>
          </cell>
          <cell r="G14">
            <v>4.8770262712312098E-3</v>
          </cell>
          <cell r="H14">
            <v>0.99999999999997402</v>
          </cell>
        </row>
        <row r="15">
          <cell r="A15" t="str">
            <v>DDS2</v>
          </cell>
          <cell r="B15">
            <v>0.8654170762895036</v>
          </cell>
          <cell r="C15">
            <v>1.1344409372251537E-2</v>
          </cell>
          <cell r="D15">
            <v>0.12323851433824477</v>
          </cell>
          <cell r="E15">
            <v>7.1894508570484687E-3</v>
          </cell>
          <cell r="F15">
            <v>0.14539156536514505</v>
          </cell>
          <cell r="G15">
            <v>-2.9342501883948758E-2</v>
          </cell>
          <cell r="H15">
            <v>0.99999999999999967</v>
          </cell>
        </row>
        <row r="16">
          <cell r="A16" t="str">
            <v>DDS6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A17" t="str">
            <v>DDSO2</v>
          </cell>
          <cell r="B17">
            <v>0.11177468612147946</v>
          </cell>
          <cell r="C17">
            <v>3.7258228707159828E-2</v>
          </cell>
          <cell r="D17">
            <v>0.85096708517136066</v>
          </cell>
          <cell r="E17">
            <v>0.22354937224295893</v>
          </cell>
          <cell r="F17">
            <v>0</v>
          </cell>
          <cell r="G17">
            <v>0.62741771292840176</v>
          </cell>
          <cell r="H17">
            <v>1</v>
          </cell>
        </row>
        <row r="18">
          <cell r="A18" t="str">
            <v>DDSO6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A19" t="str">
            <v>DEFSG</v>
          </cell>
          <cell r="B19">
            <v>0.63464816167518867</v>
          </cell>
          <cell r="C19">
            <v>0.36535183832481127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1</v>
          </cell>
        </row>
        <row r="20">
          <cell r="A20" t="str">
            <v>DITEXP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A21" t="str">
            <v>DMSC</v>
          </cell>
          <cell r="B21">
            <v>0</v>
          </cell>
          <cell r="C21">
            <v>0</v>
          </cell>
          <cell r="D21">
            <v>1</v>
          </cell>
          <cell r="E21">
            <v>0</v>
          </cell>
          <cell r="F21">
            <v>0</v>
          </cell>
          <cell r="G21">
            <v>1</v>
          </cell>
          <cell r="H21">
            <v>1</v>
          </cell>
        </row>
        <row r="22">
          <cell r="A22" t="str">
            <v>DPW</v>
          </cell>
          <cell r="B22">
            <v>0</v>
          </cell>
          <cell r="C22">
            <v>0</v>
          </cell>
          <cell r="D22">
            <v>1</v>
          </cell>
          <cell r="E22">
            <v>1</v>
          </cell>
          <cell r="F22">
            <v>0</v>
          </cell>
          <cell r="G22">
            <v>0</v>
          </cell>
          <cell r="H22">
            <v>1</v>
          </cell>
        </row>
        <row r="23">
          <cell r="A23" t="str">
            <v>ESD</v>
          </cell>
          <cell r="B23">
            <v>0.3</v>
          </cell>
          <cell r="C23">
            <v>0.1</v>
          </cell>
          <cell r="D23">
            <v>0.6</v>
          </cell>
          <cell r="E23">
            <v>0.6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FERC</v>
          </cell>
          <cell r="B24">
            <v>0.53728866283770005</v>
          </cell>
          <cell r="C24">
            <v>0.4627113371622999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FIT</v>
          </cell>
          <cell r="B25">
            <v>3.5937574256291764</v>
          </cell>
          <cell r="C25">
            <v>-0.65055639122877695</v>
          </cell>
          <cell r="D25">
            <v>-1.9432010344014681</v>
          </cell>
          <cell r="E25">
            <v>-1.9876502590952456</v>
          </cell>
          <cell r="F25">
            <v>7.3386872107999337E-2</v>
          </cell>
          <cell r="G25">
            <v>-2.8937647414221689E-2</v>
          </cell>
          <cell r="H25">
            <v>0.99999999999893163</v>
          </cell>
        </row>
        <row r="26">
          <cell r="A26" t="str">
            <v>G</v>
          </cell>
          <cell r="B26">
            <v>0.23284244722796199</v>
          </cell>
          <cell r="C26">
            <v>0.2990202443759668</v>
          </cell>
          <cell r="D26">
            <v>0.46813730839607121</v>
          </cell>
          <cell r="E26">
            <v>0.44193116167922869</v>
          </cell>
          <cell r="F26">
            <v>2.6206146716842512E-2</v>
          </cell>
          <cell r="G26">
            <v>0</v>
          </cell>
          <cell r="H26">
            <v>1</v>
          </cell>
        </row>
        <row r="27">
          <cell r="A27" t="str">
            <v>G-DGP</v>
          </cell>
          <cell r="B27">
            <v>0.69712876692486192</v>
          </cell>
          <cell r="C27">
            <v>0.30287123307513802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1</v>
          </cell>
        </row>
        <row r="28">
          <cell r="A28" t="str">
            <v>G-DGU</v>
          </cell>
          <cell r="B28">
            <v>0.69712876692486192</v>
          </cell>
          <cell r="C28">
            <v>0.30287123307513802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</row>
        <row r="29">
          <cell r="A29" t="str">
            <v>GP</v>
          </cell>
          <cell r="B29">
            <v>0.50926645632842615</v>
          </cell>
          <cell r="C29">
            <v>0.21576006978240711</v>
          </cell>
          <cell r="D29">
            <v>0.27497347388916676</v>
          </cell>
          <cell r="E29">
            <v>0.26867509095069092</v>
          </cell>
          <cell r="F29">
            <v>6.2983829384758213E-3</v>
          </cell>
          <cell r="G29">
            <v>0</v>
          </cell>
          <cell r="H29">
            <v>1</v>
          </cell>
        </row>
        <row r="30">
          <cell r="A30" t="str">
            <v>G-SG</v>
          </cell>
          <cell r="B30">
            <v>0.47156660238274711</v>
          </cell>
          <cell r="C30">
            <v>0.52843339761725294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1</v>
          </cell>
        </row>
        <row r="31">
          <cell r="A31" t="str">
            <v>G-SITUS</v>
          </cell>
          <cell r="B31">
            <v>0</v>
          </cell>
          <cell r="C31">
            <v>0.25712929813384683</v>
          </cell>
          <cell r="D31">
            <v>0.74287070186615312</v>
          </cell>
          <cell r="E31">
            <v>0.74287070186615312</v>
          </cell>
          <cell r="F31">
            <v>0</v>
          </cell>
          <cell r="G31">
            <v>0</v>
          </cell>
          <cell r="H31">
            <v>1</v>
          </cell>
        </row>
        <row r="32">
          <cell r="A32" t="str">
            <v>I</v>
          </cell>
          <cell r="B32">
            <v>0.55656937860616518</v>
          </cell>
          <cell r="C32">
            <v>0.14769088765991648</v>
          </cell>
          <cell r="D32">
            <v>0.29573973373391843</v>
          </cell>
          <cell r="E32">
            <v>0.14123903943769978</v>
          </cell>
          <cell r="F32">
            <v>0.15450069429621865</v>
          </cell>
          <cell r="G32">
            <v>0</v>
          </cell>
          <cell r="H32">
            <v>1</v>
          </cell>
        </row>
        <row r="33">
          <cell r="A33" t="str">
            <v>IBT</v>
          </cell>
          <cell r="B33">
            <v>-0.93460571069614073</v>
          </cell>
          <cell r="C33">
            <v>0.48523046032165246</v>
          </cell>
          <cell r="D33">
            <v>1.4493752503749655</v>
          </cell>
          <cell r="E33">
            <v>1.482528591191925</v>
          </cell>
          <cell r="F33">
            <v>-5.4737062327873461E-2</v>
          </cell>
          <cell r="G33">
            <v>2.1583721510914099E-2</v>
          </cell>
          <cell r="H33">
            <v>1.0000000000004774</v>
          </cell>
        </row>
        <row r="34">
          <cell r="A34" t="str">
            <v>I-DGP</v>
          </cell>
          <cell r="B34">
            <v>1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</v>
          </cell>
        </row>
        <row r="35">
          <cell r="A35" t="str">
            <v>I-DGU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A36" t="str">
            <v>I-SG</v>
          </cell>
          <cell r="B36">
            <v>0.85459762506580794</v>
          </cell>
          <cell r="C36">
            <v>0.14540237493419209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</v>
          </cell>
        </row>
        <row r="37">
          <cell r="A37" t="str">
            <v>I-SITUS</v>
          </cell>
          <cell r="B37">
            <v>2.7634291901946124E-2</v>
          </cell>
          <cell r="C37">
            <v>0.46796630452447796</v>
          </cell>
          <cell r="D37">
            <v>0.50439940357357582</v>
          </cell>
          <cell r="E37">
            <v>0.50439940357357582</v>
          </cell>
          <cell r="F37">
            <v>0</v>
          </cell>
          <cell r="G37">
            <v>0</v>
          </cell>
          <cell r="H37">
            <v>0.99999999999999989</v>
          </cell>
        </row>
        <row r="38">
          <cell r="A38" t="str">
            <v>LABOR</v>
          </cell>
          <cell r="B38">
            <v>0.42712904549402431</v>
          </cell>
          <cell r="C38">
            <v>6.855059317608897E-2</v>
          </cell>
          <cell r="D38">
            <v>0.50432036132988678</v>
          </cell>
          <cell r="E38">
            <v>0.35533822131657783</v>
          </cell>
          <cell r="F38">
            <v>0.14898214001330889</v>
          </cell>
          <cell r="G38">
            <v>0</v>
          </cell>
          <cell r="H38">
            <v>1</v>
          </cell>
        </row>
        <row r="39">
          <cell r="A39" t="str">
            <v>MSS</v>
          </cell>
          <cell r="B39">
            <v>0.84309552049741154</v>
          </cell>
          <cell r="C39">
            <v>6.4844048397869371E-3</v>
          </cell>
          <cell r="D39">
            <v>0.15042007466280158</v>
          </cell>
          <cell r="E39">
            <v>0.15042007466280158</v>
          </cell>
          <cell r="F39">
            <v>0</v>
          </cell>
          <cell r="G39">
            <v>0</v>
          </cell>
          <cell r="H39">
            <v>0.99999999999999989</v>
          </cell>
        </row>
        <row r="40">
          <cell r="A40" t="str">
            <v>NONE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A41" t="str">
            <v>NUTIL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OTHDGP</v>
          </cell>
          <cell r="B42">
            <v>0.65778675941071063</v>
          </cell>
          <cell r="C42">
            <v>0.34221324058928942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1</v>
          </cell>
        </row>
        <row r="43">
          <cell r="A43" t="str">
            <v>OTHDGU</v>
          </cell>
          <cell r="B43">
            <v>0.65778675941071063</v>
          </cell>
          <cell r="C43">
            <v>0.34221324058928942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</row>
        <row r="44">
          <cell r="A44" t="str">
            <v>OTHSE</v>
          </cell>
          <cell r="B44">
            <v>0</v>
          </cell>
          <cell r="C44">
            <v>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</row>
        <row r="45">
          <cell r="A45" t="str">
            <v>OTHSG</v>
          </cell>
          <cell r="B45">
            <v>0.65778675941071063</v>
          </cell>
          <cell r="C45">
            <v>0.34221324058928942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</row>
        <row r="46">
          <cell r="A46" t="str">
            <v>OTHSGR</v>
          </cell>
          <cell r="B46">
            <v>0.65778675941071063</v>
          </cell>
          <cell r="C46">
            <v>0.34221324058928942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</row>
        <row r="47">
          <cell r="A47" t="str">
            <v>OTHSITUS</v>
          </cell>
          <cell r="B47">
            <v>0</v>
          </cell>
          <cell r="C47">
            <v>0</v>
          </cell>
          <cell r="D47">
            <v>1</v>
          </cell>
          <cell r="E47">
            <v>0</v>
          </cell>
          <cell r="F47">
            <v>0</v>
          </cell>
          <cell r="G47">
            <v>1</v>
          </cell>
          <cell r="H47">
            <v>1</v>
          </cell>
        </row>
        <row r="48">
          <cell r="A48" t="str">
            <v>OTHSO</v>
          </cell>
          <cell r="B48">
            <v>0</v>
          </cell>
          <cell r="C48">
            <v>0</v>
          </cell>
          <cell r="D48">
            <v>1</v>
          </cell>
          <cell r="E48">
            <v>0</v>
          </cell>
          <cell r="F48">
            <v>0</v>
          </cell>
          <cell r="G48">
            <v>1</v>
          </cell>
          <cell r="H48">
            <v>1</v>
          </cell>
        </row>
        <row r="49">
          <cell r="A49" t="str">
            <v>P</v>
          </cell>
          <cell r="B49">
            <v>1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1</v>
          </cell>
        </row>
        <row r="50">
          <cell r="A50" t="str">
            <v>PT</v>
          </cell>
          <cell r="B50">
            <v>0.69712876692486192</v>
          </cell>
          <cell r="C50">
            <v>0.30287123307513802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</row>
        <row r="51">
          <cell r="A51" t="str">
            <v>PTD</v>
          </cell>
          <cell r="B51">
            <v>0.50978933160451001</v>
          </cell>
          <cell r="C51">
            <v>0.22148063714640825</v>
          </cell>
          <cell r="D51">
            <v>0.26873003124908162</v>
          </cell>
          <cell r="E51">
            <v>0.26873003124908162</v>
          </cell>
          <cell r="F51">
            <v>0</v>
          </cell>
          <cell r="G51">
            <v>0</v>
          </cell>
          <cell r="H51">
            <v>1</v>
          </cell>
        </row>
        <row r="52">
          <cell r="A52" t="str">
            <v>REVREQ</v>
          </cell>
          <cell r="B52">
            <v>0.68943708603711984</v>
          </cell>
          <cell r="C52">
            <v>0.12661977371849539</v>
          </cell>
          <cell r="D52">
            <v>0.18394314024439659</v>
          </cell>
          <cell r="E52">
            <v>0.1556837233431935</v>
          </cell>
          <cell r="F52">
            <v>2.4697572147382281E-2</v>
          </cell>
          <cell r="G52">
            <v>3.5618447538208289E-3</v>
          </cell>
          <cell r="H52">
            <v>1.000000000000012</v>
          </cell>
        </row>
        <row r="53">
          <cell r="A53" t="str">
            <v>SCHMA</v>
          </cell>
          <cell r="B53">
            <v>0.52592735793137158</v>
          </cell>
          <cell r="C53">
            <v>0.17749230447050818</v>
          </cell>
          <cell r="D53">
            <v>0.2965803375981203</v>
          </cell>
          <cell r="E53">
            <v>0.2797551697710543</v>
          </cell>
          <cell r="F53">
            <v>1.2090484078880118E-2</v>
          </cell>
          <cell r="G53">
            <v>4.7346837481858691E-3</v>
          </cell>
          <cell r="H53">
            <v>0.99999999999999989</v>
          </cell>
        </row>
        <row r="54">
          <cell r="A54" t="str">
            <v>SCHMAF</v>
          </cell>
          <cell r="B54">
            <v>1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1</v>
          </cell>
        </row>
        <row r="55">
          <cell r="A55" t="str">
            <v>SCHMAP</v>
          </cell>
          <cell r="B55">
            <v>0.43956098409095457</v>
          </cell>
          <cell r="C55">
            <v>7.8689969960154899E-2</v>
          </cell>
          <cell r="D55">
            <v>0.48174904594889062</v>
          </cell>
          <cell r="E55">
            <v>0.34527455396186357</v>
          </cell>
          <cell r="F55">
            <v>0.13647449198702705</v>
          </cell>
          <cell r="G55">
            <v>0</v>
          </cell>
          <cell r="H55">
            <v>1</v>
          </cell>
        </row>
        <row r="56">
          <cell r="A56" t="str">
            <v>SCHMAP-SO</v>
          </cell>
          <cell r="B56">
            <v>0.43281923253404248</v>
          </cell>
          <cell r="C56">
            <v>7.9188139695999277E-2</v>
          </cell>
          <cell r="D56">
            <v>0.48799262776995828</v>
          </cell>
          <cell r="E56">
            <v>0.34951873105478648</v>
          </cell>
          <cell r="F56">
            <v>0.1384738967151718</v>
          </cell>
          <cell r="G56">
            <v>0</v>
          </cell>
          <cell r="H56">
            <v>1</v>
          </cell>
        </row>
        <row r="57">
          <cell r="A57" t="str">
            <v>SCHMAT</v>
          </cell>
          <cell r="B57">
            <v>0.52740517946323806</v>
          </cell>
          <cell r="C57">
            <v>0.17918291866264574</v>
          </cell>
          <cell r="D57">
            <v>0.29341190187411625</v>
          </cell>
          <cell r="E57">
            <v>0.27863406265023533</v>
          </cell>
          <cell r="F57">
            <v>9.9621399452459927E-3</v>
          </cell>
          <cell r="G57">
            <v>4.8156992786349741E-3</v>
          </cell>
          <cell r="H57">
            <v>1</v>
          </cell>
        </row>
        <row r="58">
          <cell r="A58" t="str">
            <v>SCHMAT-GPS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</row>
        <row r="59">
          <cell r="A59" t="str">
            <v>SCHMAT-SE</v>
          </cell>
          <cell r="B59">
            <v>0.99970273171677915</v>
          </cell>
          <cell r="C59">
            <v>3.5571566313406565E-5</v>
          </cell>
          <cell r="D59">
            <v>2.6169671690754479E-4</v>
          </cell>
          <cell r="E59">
            <v>1.8438844242794246E-4</v>
          </cell>
          <cell r="F59">
            <v>7.7308274479602295E-5</v>
          </cell>
          <cell r="G59">
            <v>0</v>
          </cell>
          <cell r="H59">
            <v>1</v>
          </cell>
        </row>
        <row r="60">
          <cell r="A60" t="str">
            <v>SCHMAT-SITUS</v>
          </cell>
          <cell r="B60">
            <v>0.56171083564203561</v>
          </cell>
          <cell r="C60">
            <v>4.5221940914908262E-2</v>
          </cell>
          <cell r="D60">
            <v>0.39306722344305611</v>
          </cell>
          <cell r="E60">
            <v>0.22924058443625531</v>
          </cell>
          <cell r="F60">
            <v>3.5863226649137943E-2</v>
          </cell>
          <cell r="G60">
            <v>0.12796341235766287</v>
          </cell>
          <cell r="H60">
            <v>1</v>
          </cell>
        </row>
        <row r="61">
          <cell r="A61" t="str">
            <v>SCHMAT-SNP</v>
          </cell>
          <cell r="B61">
            <v>0.50786983377167305</v>
          </cell>
          <cell r="C61">
            <v>0.21920008801843979</v>
          </cell>
          <cell r="D61">
            <v>0.27293007820988724</v>
          </cell>
          <cell r="E61">
            <v>0.2726403702431649</v>
          </cell>
          <cell r="F61">
            <v>2.8970796672232258E-4</v>
          </cell>
          <cell r="G61">
            <v>0</v>
          </cell>
          <cell r="H61">
            <v>1</v>
          </cell>
        </row>
        <row r="62">
          <cell r="A62" t="str">
            <v>SCHMAT-SO</v>
          </cell>
          <cell r="B62">
            <v>0.47953534255774422</v>
          </cell>
          <cell r="C62">
            <v>0.16652178797705691</v>
          </cell>
          <cell r="D62">
            <v>0.35394286946519882</v>
          </cell>
          <cell r="E62">
            <v>0.30174104897865572</v>
          </cell>
          <cell r="F62">
            <v>5.2201820486543121E-2</v>
          </cell>
          <cell r="G62">
            <v>0</v>
          </cell>
          <cell r="H62">
            <v>0.99999999999999989</v>
          </cell>
        </row>
        <row r="63">
          <cell r="A63" t="str">
            <v>SCHMD</v>
          </cell>
          <cell r="B63">
            <v>0.58363443343232746</v>
          </cell>
          <cell r="C63">
            <v>0.18373948447688987</v>
          </cell>
          <cell r="D63">
            <v>0.23262608209078267</v>
          </cell>
          <cell r="E63">
            <v>0.21126920683782022</v>
          </cell>
          <cell r="F63">
            <v>5.3105496369128327E-3</v>
          </cell>
          <cell r="G63">
            <v>1.6046325616049614E-2</v>
          </cell>
          <cell r="H63">
            <v>1</v>
          </cell>
        </row>
        <row r="64">
          <cell r="A64" t="str">
            <v>SCHMDF</v>
          </cell>
          <cell r="B64">
            <v>1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1</v>
          </cell>
        </row>
        <row r="65">
          <cell r="A65" t="str">
            <v>SCHMDP</v>
          </cell>
          <cell r="B65">
            <v>0.44350674696753561</v>
          </cell>
          <cell r="C65">
            <v>6.9241309808896062E-2</v>
          </cell>
          <cell r="D65">
            <v>0.48725194322356835</v>
          </cell>
          <cell r="E65">
            <v>0.34464326134131928</v>
          </cell>
          <cell r="F65">
            <v>0.14260868188224907</v>
          </cell>
          <cell r="G65">
            <v>0</v>
          </cell>
          <cell r="H65">
            <v>0.99999999999999989</v>
          </cell>
        </row>
        <row r="66">
          <cell r="A66" t="str">
            <v>SCHMDP-SO</v>
          </cell>
          <cell r="B66">
            <v>0.42712904549402431</v>
          </cell>
          <cell r="C66">
            <v>6.855059317608897E-2</v>
          </cell>
          <cell r="D66">
            <v>0.50432036132988678</v>
          </cell>
          <cell r="E66">
            <v>0.35533822131657783</v>
          </cell>
          <cell r="F66">
            <v>0.14898214001330889</v>
          </cell>
          <cell r="G66">
            <v>0</v>
          </cell>
          <cell r="H66">
            <v>1</v>
          </cell>
        </row>
        <row r="67">
          <cell r="A67" t="str">
            <v>SCHMDT</v>
          </cell>
          <cell r="B67">
            <v>0.58457280955951785</v>
          </cell>
          <cell r="C67">
            <v>0.18450623055274348</v>
          </cell>
          <cell r="D67">
            <v>0.23092095988773861</v>
          </cell>
          <cell r="E67">
            <v>0.21037605694082162</v>
          </cell>
          <cell r="F67">
            <v>4.3911218431825199E-3</v>
          </cell>
          <cell r="G67">
            <v>1.6153781103734471E-2</v>
          </cell>
          <cell r="H67">
            <v>0.99999999999999978</v>
          </cell>
        </row>
        <row r="68">
          <cell r="A68" t="str">
            <v>SCHMDT-GPS</v>
          </cell>
          <cell r="B68">
            <v>0.50790729766261489</v>
          </cell>
          <cell r="C68">
            <v>0.21910781078332736</v>
          </cell>
          <cell r="D68">
            <v>0.27298489155405781</v>
          </cell>
          <cell r="E68">
            <v>0.27253400307169895</v>
          </cell>
          <cell r="F68">
            <v>4.5088848235883444E-4</v>
          </cell>
          <cell r="G68">
            <v>0</v>
          </cell>
          <cell r="H68">
            <v>1</v>
          </cell>
        </row>
        <row r="69">
          <cell r="A69" t="str">
            <v>SCHMDT-SG</v>
          </cell>
          <cell r="B69">
            <v>1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1</v>
          </cell>
        </row>
        <row r="70">
          <cell r="A70" t="str">
            <v>SCHMDT-SITUS</v>
          </cell>
          <cell r="B70">
            <v>0.83446664233208079</v>
          </cell>
          <cell r="C70">
            <v>1.1838611749211416E-2</v>
          </cell>
          <cell r="D70">
            <v>0.15369474591870777</v>
          </cell>
          <cell r="E70">
            <v>6.3316079492887853E-2</v>
          </cell>
          <cell r="F70">
            <v>2.9438266343328669E-2</v>
          </cell>
          <cell r="G70">
            <v>6.0940400082491235E-2</v>
          </cell>
          <cell r="H70">
            <v>0.99999999999999967</v>
          </cell>
        </row>
        <row r="71">
          <cell r="A71" t="str">
            <v>SCHMDT-SNP</v>
          </cell>
          <cell r="B71">
            <v>0.50780249568414171</v>
          </cell>
          <cell r="C71">
            <v>0.2193659483276317</v>
          </cell>
          <cell r="D71">
            <v>0.27283155598822667</v>
          </cell>
          <cell r="E71">
            <v>0.27283155598822667</v>
          </cell>
          <cell r="F71">
            <v>0</v>
          </cell>
          <cell r="G71">
            <v>0</v>
          </cell>
          <cell r="H71">
            <v>1</v>
          </cell>
        </row>
        <row r="72">
          <cell r="A72" t="str">
            <v>SCHMDT-SO</v>
          </cell>
          <cell r="B72">
            <v>0.44777325063596862</v>
          </cell>
          <cell r="C72">
            <v>0.18161323250672493</v>
          </cell>
          <cell r="D72">
            <v>0.37061351685730654</v>
          </cell>
          <cell r="E72">
            <v>0.36596892501547851</v>
          </cell>
          <cell r="F72">
            <v>4.6445918418280508E-3</v>
          </cell>
          <cell r="G72">
            <v>0</v>
          </cell>
          <cell r="H72">
            <v>1</v>
          </cell>
        </row>
        <row r="73">
          <cell r="A73" t="str">
            <v>SIT</v>
          </cell>
          <cell r="B73">
            <v>-1.2761393147128948</v>
          </cell>
          <cell r="C73">
            <v>0.57089262236857008</v>
          </cell>
          <cell r="D73">
            <v>1.7052466923369718</v>
          </cell>
          <cell r="E73">
            <v>1.7442528950100766</v>
          </cell>
          <cell r="F73">
            <v>-6.4400295545277972E-2</v>
          </cell>
          <cell r="G73">
            <v>2.5394092872173184E-2</v>
          </cell>
          <cell r="H73">
            <v>0.99999999999264699</v>
          </cell>
        </row>
        <row r="74">
          <cell r="A74" t="str">
            <v>T</v>
          </cell>
          <cell r="B74">
            <v>0</v>
          </cell>
          <cell r="C74">
            <v>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</row>
        <row r="75">
          <cell r="A75" t="str">
            <v>TAXDEPR</v>
          </cell>
          <cell r="B75">
            <v>0.57747451163818431</v>
          </cell>
          <cell r="C75">
            <v>0.1959065237010699</v>
          </cell>
          <cell r="D75">
            <v>0.2266189646607458</v>
          </cell>
          <cell r="E75">
            <v>0.22210242530333088</v>
          </cell>
          <cell r="F75">
            <v>4.516539357414911E-3</v>
          </cell>
          <cell r="G75">
            <v>0</v>
          </cell>
          <cell r="H75">
            <v>0.99999999999999989</v>
          </cell>
        </row>
        <row r="76">
          <cell r="A76" t="str">
            <v>TD</v>
          </cell>
          <cell r="B76">
            <v>0</v>
          </cell>
          <cell r="C76">
            <v>0.44568683588216201</v>
          </cell>
          <cell r="D76">
            <v>0.55431316411783793</v>
          </cell>
          <cell r="E76">
            <v>0.55431316411783793</v>
          </cell>
          <cell r="F76">
            <v>0</v>
          </cell>
          <cell r="G76">
            <v>0</v>
          </cell>
          <cell r="H76">
            <v>1</v>
          </cell>
        </row>
      </sheetData>
      <sheetData sheetId="22" refreshError="1">
        <row r="11">
          <cell r="A11" t="str">
            <v>FACTOR</v>
          </cell>
          <cell r="B11" t="str">
            <v>SUB</v>
          </cell>
          <cell r="C11" t="str">
            <v>PC</v>
          </cell>
          <cell r="D11" t="str">
            <v>XFMR</v>
          </cell>
          <cell r="E11" t="str">
            <v>METER</v>
          </cell>
          <cell r="F11" t="str">
            <v>SERVICE</v>
          </cell>
          <cell r="G11" t="str">
            <v>TOTAL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PLNT</v>
          </cell>
          <cell r="B19">
            <v>0.17928794655401331</v>
          </cell>
          <cell r="C19">
            <v>0.50894097370860392</v>
          </cell>
          <cell r="D19">
            <v>0.1817390583540931</v>
          </cell>
          <cell r="E19">
            <v>3.3923924462052286E-2</v>
          </cell>
          <cell r="F19">
            <v>9.6108096921237493E-2</v>
          </cell>
          <cell r="G19">
            <v>1.0000000000000002</v>
          </cell>
        </row>
        <row r="20">
          <cell r="A20" t="str">
            <v>PLNT2</v>
          </cell>
          <cell r="B20">
            <v>0.26050626655677284</v>
          </cell>
          <cell r="C20">
            <v>0.73949373344322733</v>
          </cell>
          <cell r="D20">
            <v>0</v>
          </cell>
          <cell r="E20">
            <v>0</v>
          </cell>
          <cell r="F20">
            <v>0</v>
          </cell>
          <cell r="G20">
            <v>1.0000000000000002</v>
          </cell>
        </row>
        <row r="21">
          <cell r="A21" t="str">
            <v>DISom</v>
          </cell>
          <cell r="B21">
            <v>0.10247932079409991</v>
          </cell>
          <cell r="C21">
            <v>0.82248520974213024</v>
          </cell>
          <cell r="D21">
            <v>6.0072922448994905E-3</v>
          </cell>
          <cell r="E21">
            <v>6.9028177218870321E-2</v>
          </cell>
          <cell r="F21">
            <v>0</v>
          </cell>
          <cell r="G21">
            <v>1</v>
          </cell>
        </row>
        <row r="22">
          <cell r="A22" t="str">
            <v>INTN</v>
          </cell>
          <cell r="B22">
            <v>0.17928794655401331</v>
          </cell>
          <cell r="C22">
            <v>0.50894097370860392</v>
          </cell>
          <cell r="D22">
            <v>0.1817390583540931</v>
          </cell>
          <cell r="E22">
            <v>3.3923924462052286E-2</v>
          </cell>
          <cell r="F22">
            <v>9.6108096921237479E-2</v>
          </cell>
          <cell r="G22">
            <v>1.0000000000000002</v>
          </cell>
        </row>
        <row r="23">
          <cell r="A23" t="str">
            <v>GENL</v>
          </cell>
          <cell r="B23">
            <v>0.17928794655401334</v>
          </cell>
          <cell r="C23">
            <v>0.50894097370860381</v>
          </cell>
          <cell r="D23">
            <v>0.18173905835409307</v>
          </cell>
          <cell r="E23">
            <v>3.3923924462052286E-2</v>
          </cell>
          <cell r="F23">
            <v>9.6108096921237507E-2</v>
          </cell>
          <cell r="G23">
            <v>1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DRB</v>
          </cell>
          <cell r="B25">
            <v>0.21179501770106898</v>
          </cell>
          <cell r="C25">
            <v>0.46478503569781732</v>
          </cell>
          <cell r="D25">
            <v>0.19565496795865137</v>
          </cell>
          <cell r="E25">
            <v>3.0166739003265219E-2</v>
          </cell>
          <cell r="F25">
            <v>9.7598239639197559E-2</v>
          </cell>
          <cell r="G25">
            <v>1.0000000000000004</v>
          </cell>
        </row>
      </sheetData>
      <sheetData sheetId="23" refreshError="1"/>
      <sheetData sheetId="24" refreshError="1">
        <row r="14">
          <cell r="A14" t="str">
            <v>A</v>
          </cell>
          <cell r="B14" t="str">
            <v>Direct Assignment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A15" t="str">
            <v>F10</v>
          </cell>
          <cell r="B15" t="str">
            <v xml:space="preserve">Coincident Peak, System </v>
          </cell>
          <cell r="C15">
            <v>1</v>
          </cell>
          <cell r="D15" t="str">
            <v>/</v>
          </cell>
          <cell r="E15">
            <v>0</v>
          </cell>
          <cell r="F15">
            <v>0.41211832256664166</v>
          </cell>
          <cell r="G15">
            <v>0.27512738379881591</v>
          </cell>
          <cell r="H15">
            <v>7.5173056973591668E-2</v>
          </cell>
          <cell r="I15">
            <v>0</v>
          </cell>
          <cell r="J15">
            <v>0.13631379153323206</v>
          </cell>
          <cell r="K15">
            <v>1.3850859666903158E-2</v>
          </cell>
          <cell r="L15">
            <v>1.6328122823383863E-4</v>
          </cell>
          <cell r="M15">
            <v>0</v>
          </cell>
          <cell r="N15">
            <v>7.2688644676086323E-2</v>
          </cell>
          <cell r="O15">
            <v>1.4564659556495305E-2</v>
          </cell>
          <cell r="P15">
            <v>0</v>
          </cell>
          <cell r="Q15">
            <v>1</v>
          </cell>
        </row>
        <row r="16">
          <cell r="A16" t="str">
            <v>F11</v>
          </cell>
          <cell r="B16" t="str">
            <v xml:space="preserve">Coincident Peak, System </v>
          </cell>
          <cell r="C16">
            <v>0.5</v>
          </cell>
          <cell r="D16" t="str">
            <v>/</v>
          </cell>
          <cell r="E16">
            <v>0.5</v>
          </cell>
          <cell r="F16">
            <v>0.35644877894888038</v>
          </cell>
          <cell r="G16">
            <v>0.27473365595527444</v>
          </cell>
          <cell r="H16">
            <v>8.4262633841551582E-2</v>
          </cell>
          <cell r="I16">
            <v>1.9296961340489523E-3</v>
          </cell>
          <cell r="J16">
            <v>0.16762262713359435</v>
          </cell>
          <cell r="K16">
            <v>1.117851489797907E-2</v>
          </cell>
          <cell r="L16">
            <v>2.1024063667596888E-4</v>
          </cell>
          <cell r="M16">
            <v>3.5694042893399318E-4</v>
          </cell>
          <cell r="N16">
            <v>6.8576887052728228E-2</v>
          </cell>
          <cell r="O16">
            <v>1.9093937022519783E-2</v>
          </cell>
          <cell r="P16">
            <v>1.5586087947813222E-2</v>
          </cell>
          <cell r="Q16">
            <v>1</v>
          </cell>
        </row>
        <row r="17">
          <cell r="A17" t="str">
            <v>F12</v>
          </cell>
          <cell r="B17" t="str">
            <v xml:space="preserve">Coincident Peak, System </v>
          </cell>
          <cell r="C17">
            <v>1</v>
          </cell>
          <cell r="D17" t="str">
            <v>/</v>
          </cell>
          <cell r="E17">
            <v>0</v>
          </cell>
          <cell r="F17">
            <v>0.41211832256664166</v>
          </cell>
          <cell r="G17">
            <v>0.27512738379881591</v>
          </cell>
          <cell r="H17">
            <v>7.5173056973591668E-2</v>
          </cell>
          <cell r="I17">
            <v>0</v>
          </cell>
          <cell r="J17">
            <v>0.13631379153323206</v>
          </cell>
          <cell r="K17">
            <v>1.3850859666903158E-2</v>
          </cell>
          <cell r="L17">
            <v>1.6328122823383863E-4</v>
          </cell>
          <cell r="M17">
            <v>0</v>
          </cell>
          <cell r="N17">
            <v>7.2688644676086323E-2</v>
          </cell>
          <cell r="O17">
            <v>1.4564659556495305E-2</v>
          </cell>
          <cell r="P17">
            <v>0</v>
          </cell>
          <cell r="Q17">
            <v>1</v>
          </cell>
        </row>
        <row r="18">
          <cell r="A18" t="str">
            <v>F20</v>
          </cell>
          <cell r="B18" t="str">
            <v>12 Weighted Distribution Peaks</v>
          </cell>
          <cell r="C18">
            <v>0</v>
          </cell>
          <cell r="D18">
            <v>0</v>
          </cell>
          <cell r="E18">
            <v>0</v>
          </cell>
          <cell r="F18">
            <v>0.49164012535987578</v>
          </cell>
          <cell r="G18">
            <v>0.31833765729272945</v>
          </cell>
          <cell r="H18">
            <v>9.0341104180462567E-2</v>
          </cell>
          <cell r="I18">
            <v>8.0690928123709716E-4</v>
          </cell>
          <cell r="J18">
            <v>0</v>
          </cell>
          <cell r="K18">
            <v>1.2017021468444966E-2</v>
          </cell>
          <cell r="L18">
            <v>1.9426455932775339E-4</v>
          </cell>
          <cell r="M18">
            <v>1.4489141046728271E-4</v>
          </cell>
          <cell r="N18">
            <v>8.6518026447455251E-2</v>
          </cell>
          <cell r="O18">
            <v>0</v>
          </cell>
          <cell r="P18">
            <v>0</v>
          </cell>
          <cell r="Q18">
            <v>1</v>
          </cell>
        </row>
        <row r="19">
          <cell r="A19" t="str">
            <v>F21</v>
          </cell>
          <cell r="B19" t="str">
            <v>Transformers      - NCP</v>
          </cell>
          <cell r="C19">
            <v>0</v>
          </cell>
          <cell r="D19">
            <v>0</v>
          </cell>
          <cell r="E19">
            <v>0</v>
          </cell>
          <cell r="F19">
            <v>0.58769899110886759</v>
          </cell>
          <cell r="G19">
            <v>0.2493136908616341</v>
          </cell>
          <cell r="H19">
            <v>6.2904140421850857E-2</v>
          </cell>
          <cell r="I19">
            <v>3.4392196894104661E-3</v>
          </cell>
          <cell r="J19">
            <v>0</v>
          </cell>
          <cell r="K19">
            <v>2.8667733780318675E-2</v>
          </cell>
          <cell r="L19">
            <v>1.1928399899876234E-4</v>
          </cell>
          <cell r="M19">
            <v>7.1129534858342842E-4</v>
          </cell>
          <cell r="N19">
            <v>6.7145644790336065E-2</v>
          </cell>
          <cell r="O19">
            <v>0</v>
          </cell>
          <cell r="P19">
            <v>0</v>
          </cell>
          <cell r="Q19">
            <v>1</v>
          </cell>
        </row>
        <row r="20">
          <cell r="A20" t="str">
            <v>F22</v>
          </cell>
          <cell r="B20" t="str">
            <v>Secondary Lines - NCP</v>
          </cell>
          <cell r="C20">
            <v>0</v>
          </cell>
          <cell r="D20">
            <v>0</v>
          </cell>
          <cell r="E20">
            <v>0</v>
          </cell>
          <cell r="F20">
            <v>0.89746324378432962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0.10253675621567035</v>
          </cell>
          <cell r="O20">
            <v>0</v>
          </cell>
          <cell r="P20">
            <v>0</v>
          </cell>
          <cell r="Q20">
            <v>1</v>
          </cell>
        </row>
        <row r="21">
          <cell r="A21" t="str">
            <v>F30</v>
          </cell>
          <cell r="B21" t="str">
            <v>MWH @ Input</v>
          </cell>
          <cell r="C21">
            <v>0</v>
          </cell>
          <cell r="D21">
            <v>0</v>
          </cell>
          <cell r="E21">
            <v>0</v>
          </cell>
          <cell r="F21">
            <v>0.30077923533111905</v>
          </cell>
          <cell r="G21">
            <v>0.27433992811173291</v>
          </cell>
          <cell r="H21">
            <v>9.3352210709511496E-2</v>
          </cell>
          <cell r="I21">
            <v>3.8593922680979047E-3</v>
          </cell>
          <cell r="J21">
            <v>0.19893146273395665</v>
          </cell>
          <cell r="K21">
            <v>8.5061701290549824E-3</v>
          </cell>
          <cell r="L21">
            <v>2.5720004511809916E-4</v>
          </cell>
          <cell r="M21">
            <v>7.1388085786798635E-4</v>
          </cell>
          <cell r="N21">
            <v>6.4465129429370133E-2</v>
          </cell>
          <cell r="O21">
            <v>2.3623214488544257E-2</v>
          </cell>
          <cell r="P21">
            <v>3.1172175895626444E-2</v>
          </cell>
          <cell r="Q21">
            <v>1</v>
          </cell>
        </row>
        <row r="22">
          <cell r="A22" t="str">
            <v>F40</v>
          </cell>
          <cell r="B22" t="str">
            <v>Average Customers</v>
          </cell>
          <cell r="C22">
            <v>0</v>
          </cell>
          <cell r="D22">
            <v>0</v>
          </cell>
          <cell r="E22">
            <v>0</v>
          </cell>
          <cell r="F22">
            <v>0.86764424087019154</v>
          </cell>
          <cell r="G22">
            <v>1.9169313672045576E-2</v>
          </cell>
          <cell r="H22">
            <v>3.5793324283902526E-4</v>
          </cell>
          <cell r="I22">
            <v>1.1434581171907985E-2</v>
          </cell>
          <cell r="J22">
            <v>1.8318468993781765E-4</v>
          </cell>
          <cell r="K22">
            <v>3.5070226823621666E-3</v>
          </cell>
          <cell r="L22">
            <v>2.986392510959948E-3</v>
          </cell>
          <cell r="M22">
            <v>6.4958255181897181E-4</v>
          </cell>
          <cell r="N22">
            <v>9.4065338283069358E-2</v>
          </cell>
          <cell r="O22">
            <v>1.2051624338014318E-6</v>
          </cell>
          <cell r="P22">
            <v>1.2051624338014318E-6</v>
          </cell>
          <cell r="Q22">
            <v>1</v>
          </cell>
        </row>
        <row r="23">
          <cell r="A23" t="str">
            <v>F41</v>
          </cell>
          <cell r="B23" t="str">
            <v>Weighted Customers Acct 902</v>
          </cell>
          <cell r="C23">
            <v>0</v>
          </cell>
          <cell r="D23">
            <v>0</v>
          </cell>
          <cell r="E23">
            <v>0</v>
          </cell>
          <cell r="F23">
            <v>0.79566753371364696</v>
          </cell>
          <cell r="G23">
            <v>3.6388726640361045E-2</v>
          </cell>
          <cell r="H23">
            <v>1.0759719098602157E-2</v>
          </cell>
          <cell r="I23">
            <v>0</v>
          </cell>
          <cell r="J23">
            <v>7.073988741267136E-3</v>
          </cell>
          <cell r="K23">
            <v>1.5019151719993688E-2</v>
          </cell>
          <cell r="L23">
            <v>3.0399036283347124E-3</v>
          </cell>
          <cell r="M23">
            <v>6.6122197565472555E-4</v>
          </cell>
          <cell r="N23">
            <v>0.13111825438930952</v>
          </cell>
          <cell r="O23">
            <v>1.3575004641506615E-4</v>
          </cell>
          <cell r="P23">
            <v>1.3575004641506615E-4</v>
          </cell>
          <cell r="Q23">
            <v>1</v>
          </cell>
        </row>
        <row r="24">
          <cell r="A24" t="str">
            <v>F42</v>
          </cell>
          <cell r="B24" t="str">
            <v>Weighted Customers Acct 903</v>
          </cell>
          <cell r="C24">
            <v>0</v>
          </cell>
          <cell r="D24">
            <v>0</v>
          </cell>
          <cell r="E24">
            <v>0</v>
          </cell>
          <cell r="F24">
            <v>0.8723608413628593</v>
          </cell>
          <cell r="G24">
            <v>1.9466255169731564E-2</v>
          </cell>
          <cell r="H24">
            <v>3.6347779362569312E-4</v>
          </cell>
          <cell r="I24">
            <v>1.0570312778031523E-2</v>
          </cell>
          <cell r="J24">
            <v>1.359252091134305E-3</v>
          </cell>
          <cell r="K24">
            <v>3.5966089510277095E-3</v>
          </cell>
          <cell r="L24">
            <v>2.7624166909894659E-3</v>
          </cell>
          <cell r="M24">
            <v>6.0086464747510977E-4</v>
          </cell>
          <cell r="N24">
            <v>8.8902085619189386E-2</v>
          </cell>
          <cell r="O24">
            <v>8.9424479679888485E-6</v>
          </cell>
          <cell r="P24">
            <v>8.9424479679888485E-6</v>
          </cell>
          <cell r="Q24">
            <v>1</v>
          </cell>
        </row>
        <row r="25">
          <cell r="A25" t="str">
            <v>F43</v>
          </cell>
          <cell r="B25" t="str">
            <v>Residential Split</v>
          </cell>
          <cell r="C25">
            <v>0</v>
          </cell>
          <cell r="D25">
            <v>0</v>
          </cell>
          <cell r="E25">
            <v>0</v>
          </cell>
          <cell r="F25">
            <v>1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1</v>
          </cell>
        </row>
        <row r="26">
          <cell r="A26" t="str">
            <v>F44</v>
          </cell>
          <cell r="B26" t="str">
            <v>Commercial Split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0.16274202574146615</v>
          </cell>
          <cell r="H26">
            <v>1.9585898153329602E-3</v>
          </cell>
          <cell r="I26">
            <v>0</v>
          </cell>
          <cell r="J26">
            <v>3.0218242865137103E-4</v>
          </cell>
          <cell r="K26">
            <v>0</v>
          </cell>
          <cell r="L26">
            <v>0</v>
          </cell>
          <cell r="M26">
            <v>0</v>
          </cell>
          <cell r="N26">
            <v>0.83499720201454952</v>
          </cell>
          <cell r="O26">
            <v>0</v>
          </cell>
          <cell r="P26">
            <v>0</v>
          </cell>
          <cell r="Q26">
            <v>1</v>
          </cell>
        </row>
        <row r="27">
          <cell r="A27" t="str">
            <v>F45</v>
          </cell>
          <cell r="B27" t="str">
            <v>Industrial / Irrigation Split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0.17100138208317628</v>
          </cell>
          <cell r="H27">
            <v>1.5328558864178917E-2</v>
          </cell>
          <cell r="I27">
            <v>0</v>
          </cell>
          <cell r="J27">
            <v>1.5328558864178917E-2</v>
          </cell>
          <cell r="K27">
            <v>0.36562382208820204</v>
          </cell>
          <cell r="L27">
            <v>0</v>
          </cell>
          <cell r="M27">
            <v>0</v>
          </cell>
          <cell r="N27">
            <v>0.43246639025003142</v>
          </cell>
          <cell r="O27">
            <v>1.2564392511622062E-4</v>
          </cell>
          <cell r="P27">
            <v>1.2564392511622062E-4</v>
          </cell>
          <cell r="Q27">
            <v>1</v>
          </cell>
        </row>
        <row r="28">
          <cell r="A28" t="str">
            <v>F46</v>
          </cell>
          <cell r="B28" t="str">
            <v>Lighting / OSPA  Split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0.75873650539784088</v>
          </cell>
          <cell r="J28">
            <v>0</v>
          </cell>
          <cell r="K28">
            <v>0</v>
          </cell>
          <cell r="L28">
            <v>0.19816073570571771</v>
          </cell>
          <cell r="M28">
            <v>4.3102758896441426E-2</v>
          </cell>
          <cell r="N28">
            <v>0</v>
          </cell>
          <cell r="O28">
            <v>0</v>
          </cell>
          <cell r="P28">
            <v>0</v>
          </cell>
          <cell r="Q28">
            <v>1</v>
          </cell>
        </row>
        <row r="29">
          <cell r="A29" t="str">
            <v>F47</v>
          </cell>
          <cell r="B29" t="str">
            <v>Wtd Customers Acct 902 - irrigation</v>
          </cell>
          <cell r="C29">
            <v>0</v>
          </cell>
          <cell r="D29">
            <v>0</v>
          </cell>
          <cell r="E29">
            <v>0</v>
          </cell>
          <cell r="F29">
            <v>0.80130901755092743</v>
          </cell>
          <cell r="G29">
            <v>3.6646731905754591E-2</v>
          </cell>
          <cell r="H29">
            <v>1.0836008225425181E-2</v>
          </cell>
          <cell r="I29">
            <v>0</v>
          </cell>
          <cell r="J29">
            <v>7.1241451086668465E-3</v>
          </cell>
          <cell r="K29">
            <v>8.0353886529406504E-3</v>
          </cell>
          <cell r="L29">
            <v>3.061457313083037E-3</v>
          </cell>
          <cell r="M29">
            <v>6.6591020651806168E-4</v>
          </cell>
          <cell r="N29">
            <v>0.13204791593960213</v>
          </cell>
          <cell r="O29">
            <v>1.3671254854103111E-4</v>
          </cell>
          <cell r="P29">
            <v>1.3671254854103111E-4</v>
          </cell>
          <cell r="Q29">
            <v>1</v>
          </cell>
        </row>
        <row r="30">
          <cell r="A30" t="str">
            <v>F48</v>
          </cell>
          <cell r="B30" t="str">
            <v>Wtd Customers Acct 903 - irrigation</v>
          </cell>
          <cell r="C30">
            <v>0</v>
          </cell>
          <cell r="D30">
            <v>0</v>
          </cell>
          <cell r="E30">
            <v>0</v>
          </cell>
          <cell r="F30">
            <v>0.8738340698493916</v>
          </cell>
          <cell r="G30">
            <v>1.9499129457849942E-2</v>
          </cell>
          <cell r="H30">
            <v>3.6409162888101555E-4</v>
          </cell>
          <cell r="I30">
            <v>1.0588163746527339E-2</v>
          </cell>
          <cell r="J30">
            <v>1.3615475734692403E-3</v>
          </cell>
          <cell r="K30">
            <v>1.9138994687021907E-3</v>
          </cell>
          <cell r="L30">
            <v>2.7670818143740506E-3</v>
          </cell>
          <cell r="M30">
            <v>6.0187937770283021E-4</v>
          </cell>
          <cell r="N30">
            <v>8.9052221983450891E-2</v>
          </cell>
          <cell r="O30">
            <v>8.9575498254555275E-6</v>
          </cell>
          <cell r="P30">
            <v>8.9575498254555275E-6</v>
          </cell>
          <cell r="Q30">
            <v>1</v>
          </cell>
        </row>
        <row r="31">
          <cell r="A31" t="str">
            <v>F50</v>
          </cell>
          <cell r="B31" t="str">
            <v>Contribution in Aid of Construction</v>
          </cell>
          <cell r="C31">
            <v>0</v>
          </cell>
          <cell r="D31">
            <v>0</v>
          </cell>
          <cell r="E31">
            <v>0</v>
          </cell>
          <cell r="F31">
            <v>0.25323044470455486</v>
          </cell>
          <cell r="G31">
            <v>0.12064853098448039</v>
          </cell>
          <cell r="H31">
            <v>6.0988634673088959E-2</v>
          </cell>
          <cell r="I31">
            <v>2.7396045932713511E-2</v>
          </cell>
          <cell r="J31">
            <v>0.2463709688737688</v>
          </cell>
          <cell r="K31">
            <v>1.3960349071883097E-2</v>
          </cell>
          <cell r="L31">
            <v>1.3209321609023788E-3</v>
          </cell>
          <cell r="M31">
            <v>2.5850381361495357E-3</v>
          </cell>
          <cell r="N31">
            <v>0.27349905546245851</v>
          </cell>
          <cell r="O31">
            <v>0</v>
          </cell>
          <cell r="P31">
            <v>0</v>
          </cell>
          <cell r="Q31">
            <v>1</v>
          </cell>
        </row>
        <row r="32">
          <cell r="A32" t="str">
            <v>F51</v>
          </cell>
          <cell r="B32" t="str">
            <v>Security Deposits</v>
          </cell>
          <cell r="C32">
            <v>0</v>
          </cell>
          <cell r="D32">
            <v>0</v>
          </cell>
          <cell r="E32">
            <v>0</v>
          </cell>
          <cell r="F32">
            <v>0.19648367727022512</v>
          </cell>
          <cell r="G32">
            <v>2.8116419775727201E-2</v>
          </cell>
          <cell r="H32">
            <v>6.7219642612959984E-2</v>
          </cell>
          <cell r="I32">
            <v>5.4818919966663515E-4</v>
          </cell>
          <cell r="J32">
            <v>0.38706334466450776</v>
          </cell>
          <cell r="K32">
            <v>5.0861469570849874E-3</v>
          </cell>
          <cell r="L32">
            <v>0</v>
          </cell>
          <cell r="M32">
            <v>7.6222080042635581E-5</v>
          </cell>
          <cell r="N32">
            <v>0.27399673068254282</v>
          </cell>
          <cell r="O32">
            <v>0</v>
          </cell>
          <cell r="P32">
            <v>4.1409626757242891E-2</v>
          </cell>
          <cell r="Q32">
            <v>1</v>
          </cell>
        </row>
        <row r="33">
          <cell r="A33" t="str">
            <v>F60</v>
          </cell>
          <cell r="B33" t="str">
            <v>Meters</v>
          </cell>
          <cell r="C33">
            <v>0</v>
          </cell>
          <cell r="D33">
            <v>0</v>
          </cell>
          <cell r="E33">
            <v>0</v>
          </cell>
          <cell r="F33">
            <v>0.70881158058379934</v>
          </cell>
          <cell r="G33">
            <v>0.10567524530241849</v>
          </cell>
          <cell r="H33">
            <v>1.4549237279013401E-2</v>
          </cell>
          <cell r="I33">
            <v>0</v>
          </cell>
          <cell r="J33">
            <v>3.9289776562640356E-2</v>
          </cell>
          <cell r="K33">
            <v>9.8558266872212086E-3</v>
          </cell>
          <cell r="L33">
            <v>2.3829789317951705E-3</v>
          </cell>
          <cell r="M33">
            <v>5.1833157555996646E-4</v>
          </cell>
          <cell r="N33">
            <v>0.11311435670179797</v>
          </cell>
          <cell r="O33">
            <v>2.9013331878770489E-3</v>
          </cell>
          <cell r="P33">
            <v>2.9013331878770489E-3</v>
          </cell>
          <cell r="Q33">
            <v>1</v>
          </cell>
        </row>
        <row r="34">
          <cell r="A34" t="str">
            <v>F70</v>
          </cell>
          <cell r="B34" t="str">
            <v>Services</v>
          </cell>
          <cell r="C34">
            <v>0</v>
          </cell>
          <cell r="D34">
            <v>0</v>
          </cell>
          <cell r="E34">
            <v>0</v>
          </cell>
          <cell r="F34">
            <v>0.8042474854852234</v>
          </cell>
          <cell r="G34">
            <v>7.3318708977329894E-2</v>
          </cell>
          <cell r="H34">
            <v>7.3419809105201321E-3</v>
          </cell>
          <cell r="I34">
            <v>0</v>
          </cell>
          <cell r="J34">
            <v>0</v>
          </cell>
          <cell r="K34">
            <v>0</v>
          </cell>
          <cell r="L34">
            <v>3.0279824670523792E-3</v>
          </cell>
          <cell r="M34">
            <v>6.58628954697834E-4</v>
          </cell>
          <cell r="N34">
            <v>0.11140521320517636</v>
          </cell>
          <cell r="O34">
            <v>0</v>
          </cell>
          <cell r="P34">
            <v>0</v>
          </cell>
          <cell r="Q34">
            <v>1</v>
          </cell>
        </row>
        <row r="35">
          <cell r="A35" t="str">
            <v>F80</v>
          </cell>
          <cell r="B35" t="str">
            <v>Uncollectables</v>
          </cell>
          <cell r="C35">
            <v>0</v>
          </cell>
          <cell r="D35">
            <v>0</v>
          </cell>
          <cell r="E35">
            <v>0</v>
          </cell>
          <cell r="F35">
            <v>0.93230947832260325</v>
          </cell>
          <cell r="G35">
            <v>3.2569275136414985E-2</v>
          </cell>
          <cell r="H35">
            <v>9.7045431342324146E-3</v>
          </cell>
          <cell r="I35">
            <v>0</v>
          </cell>
          <cell r="J35">
            <v>1.5721100693143388E-2</v>
          </cell>
          <cell r="K35">
            <v>7.9045864916509436E-4</v>
          </cell>
          <cell r="L35">
            <v>0</v>
          </cell>
          <cell r="M35">
            <v>0</v>
          </cell>
          <cell r="N35">
            <v>8.9051440644407186E-3</v>
          </cell>
          <cell r="O35">
            <v>0</v>
          </cell>
          <cell r="P35">
            <v>0</v>
          </cell>
          <cell r="Q35">
            <v>1</v>
          </cell>
        </row>
        <row r="36">
          <cell r="A36" t="str">
            <v>F85</v>
          </cell>
          <cell r="B36" t="str">
            <v>Firm Sales - Scaled</v>
          </cell>
          <cell r="C36">
            <v>0</v>
          </cell>
          <cell r="D36">
            <v>0</v>
          </cell>
          <cell r="E36">
            <v>0</v>
          </cell>
          <cell r="F36" t="e">
            <v>#DIV/0!</v>
          </cell>
          <cell r="G36" t="e">
            <v>#DIV/0!</v>
          </cell>
          <cell r="H36" t="e">
            <v>#DIV/0!</v>
          </cell>
          <cell r="I36" t="e">
            <v>#DIV/0!</v>
          </cell>
          <cell r="J36" t="e">
            <v>#DIV/0!</v>
          </cell>
          <cell r="K36" t="e">
            <v>#DIV/0!</v>
          </cell>
          <cell r="L36" t="e">
            <v>#DIV/0!</v>
          </cell>
          <cell r="M36" t="e">
            <v>#DIV/0!</v>
          </cell>
          <cell r="N36" t="e">
            <v>#DIV/0!</v>
          </cell>
          <cell r="O36" t="e">
            <v>#DIV/0!</v>
          </cell>
          <cell r="P36" t="e">
            <v>#DIV/0!</v>
          </cell>
          <cell r="Q36" t="e">
            <v>#DIV/0!</v>
          </cell>
        </row>
        <row r="37">
          <cell r="A37" t="str">
            <v>F86</v>
          </cell>
          <cell r="B37" t="str">
            <v>Non Firm Sales - Utah Share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1</v>
          </cell>
        </row>
        <row r="38">
          <cell r="A38" t="str">
            <v>F87</v>
          </cell>
          <cell r="B38" t="str">
            <v>Firm Purchases (Non-Seasonal) - Scaled</v>
          </cell>
          <cell r="C38">
            <v>0</v>
          </cell>
          <cell r="D38">
            <v>0</v>
          </cell>
          <cell r="E38">
            <v>0</v>
          </cell>
          <cell r="F38" t="e">
            <v>#DIV/0!</v>
          </cell>
          <cell r="G38" t="e">
            <v>#DIV/0!</v>
          </cell>
          <cell r="H38" t="e">
            <v>#DIV/0!</v>
          </cell>
          <cell r="I38" t="e">
            <v>#DIV/0!</v>
          </cell>
          <cell r="J38" t="e">
            <v>#DIV/0!</v>
          </cell>
          <cell r="K38" t="e">
            <v>#DIV/0!</v>
          </cell>
          <cell r="L38" t="e">
            <v>#DIV/0!</v>
          </cell>
          <cell r="M38" t="e">
            <v>#DIV/0!</v>
          </cell>
          <cell r="N38" t="e">
            <v>#DIV/0!</v>
          </cell>
          <cell r="O38" t="e">
            <v>#DIV/0!</v>
          </cell>
          <cell r="P38" t="e">
            <v>#DIV/0!</v>
          </cell>
          <cell r="Q38" t="e">
            <v>#DIV/0!</v>
          </cell>
        </row>
        <row r="39">
          <cell r="A39" t="str">
            <v>F88</v>
          </cell>
          <cell r="B39" t="str">
            <v>Seasonal Purchases - Scaled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1</v>
          </cell>
        </row>
        <row r="40">
          <cell r="A40" t="str">
            <v>F89</v>
          </cell>
          <cell r="B40" t="str">
            <v>Non firm Purchases - Scaled</v>
          </cell>
          <cell r="C40">
            <v>0</v>
          </cell>
          <cell r="D40">
            <v>0</v>
          </cell>
          <cell r="E40">
            <v>0</v>
          </cell>
          <cell r="F40" t="e">
            <v>#DIV/0!</v>
          </cell>
          <cell r="G40" t="e">
            <v>#DIV/0!</v>
          </cell>
          <cell r="H40" t="e">
            <v>#DIV/0!</v>
          </cell>
          <cell r="I40" t="e">
            <v>#DIV/0!</v>
          </cell>
          <cell r="J40" t="e">
            <v>#DIV/0!</v>
          </cell>
          <cell r="K40" t="e">
            <v>#DIV/0!</v>
          </cell>
          <cell r="L40" t="e">
            <v>#DIV/0!</v>
          </cell>
          <cell r="M40" t="e">
            <v>#DIV/0!</v>
          </cell>
          <cell r="N40" t="e">
            <v>#DIV/0!</v>
          </cell>
          <cell r="O40" t="e">
            <v>#DIV/0!</v>
          </cell>
          <cell r="P40" t="e">
            <v>#DIV/0!</v>
          </cell>
          <cell r="Q40" t="e">
            <v>#DIV/0!</v>
          </cell>
        </row>
        <row r="41">
          <cell r="A41" t="str">
            <v>F90</v>
          </cell>
          <cell r="B41" t="str">
            <v>Coal (Non-Seasonal) - Scaled</v>
          </cell>
          <cell r="C41">
            <v>0</v>
          </cell>
          <cell r="D41">
            <v>0</v>
          </cell>
          <cell r="E41">
            <v>0</v>
          </cell>
          <cell r="F41" t="e">
            <v>#DIV/0!</v>
          </cell>
          <cell r="G41" t="e">
            <v>#DIV/0!</v>
          </cell>
          <cell r="H41" t="e">
            <v>#DIV/0!</v>
          </cell>
          <cell r="I41" t="e">
            <v>#DIV/0!</v>
          </cell>
          <cell r="J41" t="e">
            <v>#DIV/0!</v>
          </cell>
          <cell r="K41" t="e">
            <v>#DIV/0!</v>
          </cell>
          <cell r="L41" t="e">
            <v>#DIV/0!</v>
          </cell>
          <cell r="M41" t="e">
            <v>#DIV/0!</v>
          </cell>
          <cell r="N41" t="e">
            <v>#DIV/0!</v>
          </cell>
          <cell r="O41" t="e">
            <v>#DIV/0!</v>
          </cell>
          <cell r="P41" t="e">
            <v>#DIV/0!</v>
          </cell>
          <cell r="Q41" t="e">
            <v>#DIV/0!</v>
          </cell>
        </row>
        <row r="42">
          <cell r="A42" t="str">
            <v>F91</v>
          </cell>
          <cell r="B42" t="str">
            <v>Seasonal Cholla Coal - Scaled</v>
          </cell>
          <cell r="C42">
            <v>0</v>
          </cell>
          <cell r="D42">
            <v>0</v>
          </cell>
          <cell r="E42">
            <v>0</v>
          </cell>
          <cell r="F42">
            <v>0.30101360459864346</v>
          </cell>
          <cell r="G42">
            <v>0.2745541378526275</v>
          </cell>
          <cell r="H42">
            <v>9.336199624871358E-2</v>
          </cell>
          <cell r="I42">
            <v>3.8620350311723587E-3</v>
          </cell>
          <cell r="J42">
            <v>0.19865678486233318</v>
          </cell>
          <cell r="K42">
            <v>8.2967805396901208E-3</v>
          </cell>
          <cell r="L42">
            <v>2.5734366680461331E-4</v>
          </cell>
          <cell r="M42">
            <v>7.1582550693575781E-4</v>
          </cell>
          <cell r="N42">
            <v>6.4495439340537059E-2</v>
          </cell>
          <cell r="O42">
            <v>2.357400186540495E-2</v>
          </cell>
          <cell r="P42">
            <v>3.1212050487137585E-2</v>
          </cell>
          <cell r="Q42">
            <v>1</v>
          </cell>
        </row>
        <row r="43">
          <cell r="A43" t="str">
            <v>F92</v>
          </cell>
          <cell r="B43" t="str">
            <v>Gas (Non-Seasonal) - Scaled</v>
          </cell>
          <cell r="C43">
            <v>0</v>
          </cell>
          <cell r="D43">
            <v>0</v>
          </cell>
          <cell r="E43">
            <v>0</v>
          </cell>
          <cell r="F43" t="e">
            <v>#DIV/0!</v>
          </cell>
          <cell r="G43" t="e">
            <v>#DIV/0!</v>
          </cell>
          <cell r="H43" t="e">
            <v>#DIV/0!</v>
          </cell>
          <cell r="I43" t="e">
            <v>#DIV/0!</v>
          </cell>
          <cell r="J43" t="e">
            <v>#DIV/0!</v>
          </cell>
          <cell r="K43" t="e">
            <v>#DIV/0!</v>
          </cell>
          <cell r="L43" t="e">
            <v>#DIV/0!</v>
          </cell>
          <cell r="M43" t="e">
            <v>#DIV/0!</v>
          </cell>
          <cell r="N43" t="e">
            <v>#DIV/0!</v>
          </cell>
          <cell r="O43" t="e">
            <v>#DIV/0!</v>
          </cell>
          <cell r="P43" t="e">
            <v>#DIV/0!</v>
          </cell>
          <cell r="Q43" t="e">
            <v>#DIV/0!</v>
          </cell>
        </row>
        <row r="44">
          <cell r="A44" t="str">
            <v>F93</v>
          </cell>
          <cell r="B44" t="str">
            <v>Seasonal CT Gas - Scaled</v>
          </cell>
          <cell r="C44">
            <v>0</v>
          </cell>
          <cell r="D44">
            <v>0</v>
          </cell>
          <cell r="E44">
            <v>0</v>
          </cell>
          <cell r="F44">
            <v>0.29996062721168415</v>
          </cell>
          <cell r="G44">
            <v>0.27483717935372259</v>
          </cell>
          <cell r="H44">
            <v>9.352187773184481E-2</v>
          </cell>
          <cell r="I44">
            <v>3.856106619042024E-3</v>
          </cell>
          <cell r="J44">
            <v>0.19866893964910762</v>
          </cell>
          <cell r="K44">
            <v>8.879767805005748E-3</v>
          </cell>
          <cell r="L44">
            <v>2.5647705928289984E-4</v>
          </cell>
          <cell r="M44">
            <v>7.1750499373592503E-4</v>
          </cell>
          <cell r="N44">
            <v>6.4344803082258178E-2</v>
          </cell>
          <cell r="O44">
            <v>2.3627892852760447E-2</v>
          </cell>
          <cell r="P44">
            <v>3.1328823641555752E-2</v>
          </cell>
          <cell r="Q44">
            <v>1</v>
          </cell>
        </row>
        <row r="45">
          <cell r="A45" t="str">
            <v>F94</v>
          </cell>
          <cell r="B45" t="str">
            <v>Other Generation - Scaled</v>
          </cell>
          <cell r="C45">
            <v>0</v>
          </cell>
          <cell r="D45">
            <v>0</v>
          </cell>
          <cell r="E45">
            <v>0</v>
          </cell>
          <cell r="F45" t="e">
            <v>#DIV/0!</v>
          </cell>
          <cell r="G45" t="e">
            <v>#DIV/0!</v>
          </cell>
          <cell r="H45" t="e">
            <v>#DIV/0!</v>
          </cell>
          <cell r="I45" t="e">
            <v>#DIV/0!</v>
          </cell>
          <cell r="J45" t="e">
            <v>#DIV/0!</v>
          </cell>
          <cell r="K45" t="e">
            <v>#DIV/0!</v>
          </cell>
          <cell r="L45" t="e">
            <v>#DIV/0!</v>
          </cell>
          <cell r="M45" t="e">
            <v>#DIV/0!</v>
          </cell>
          <cell r="N45" t="e">
            <v>#DIV/0!</v>
          </cell>
          <cell r="O45" t="e">
            <v>#DIV/0!</v>
          </cell>
          <cell r="P45" t="e">
            <v>#DIV/0!</v>
          </cell>
          <cell r="Q45" t="e">
            <v>#DIV/0!</v>
          </cell>
        </row>
        <row r="46">
          <cell r="A46" t="str">
            <v>F95</v>
          </cell>
          <cell r="B46" t="str">
            <v>Firm Wheeling - Scaled</v>
          </cell>
          <cell r="C46">
            <v>0</v>
          </cell>
          <cell r="D46">
            <v>0</v>
          </cell>
          <cell r="E46">
            <v>0</v>
          </cell>
          <cell r="F46" t="e">
            <v>#DIV/0!</v>
          </cell>
          <cell r="G46" t="e">
            <v>#DIV/0!</v>
          </cell>
          <cell r="H46" t="e">
            <v>#DIV/0!</v>
          </cell>
          <cell r="I46" t="e">
            <v>#DIV/0!</v>
          </cell>
          <cell r="J46" t="e">
            <v>#DIV/0!</v>
          </cell>
          <cell r="K46" t="e">
            <v>#DIV/0!</v>
          </cell>
          <cell r="L46" t="e">
            <v>#DIV/0!</v>
          </cell>
          <cell r="M46" t="e">
            <v>#DIV/0!</v>
          </cell>
          <cell r="N46" t="e">
            <v>#DIV/0!</v>
          </cell>
          <cell r="O46" t="e">
            <v>#DIV/0!</v>
          </cell>
          <cell r="P46" t="e">
            <v>#DIV/0!</v>
          </cell>
          <cell r="Q46" t="e">
            <v>#DIV/0!</v>
          </cell>
        </row>
        <row r="47">
          <cell r="A47" t="str">
            <v>F96</v>
          </cell>
          <cell r="B47" t="str">
            <v>Non-Firm Wheeling - Scaled</v>
          </cell>
          <cell r="C47">
            <v>0</v>
          </cell>
          <cell r="D47">
            <v>0</v>
          </cell>
          <cell r="E47">
            <v>0</v>
          </cell>
          <cell r="F47" t="e">
            <v>#DIV/0!</v>
          </cell>
          <cell r="G47" t="e">
            <v>#DIV/0!</v>
          </cell>
          <cell r="H47" t="e">
            <v>#DIV/0!</v>
          </cell>
          <cell r="I47" t="e">
            <v>#DIV/0!</v>
          </cell>
          <cell r="J47" t="e">
            <v>#DIV/0!</v>
          </cell>
          <cell r="K47" t="e">
            <v>#DIV/0!</v>
          </cell>
          <cell r="L47" t="e">
            <v>#DIV/0!</v>
          </cell>
          <cell r="M47" t="e">
            <v>#DIV/0!</v>
          </cell>
          <cell r="N47" t="e">
            <v>#DIV/0!</v>
          </cell>
          <cell r="O47" t="e">
            <v>#DIV/0!</v>
          </cell>
          <cell r="P47" t="e">
            <v>#DIV/0!</v>
          </cell>
          <cell r="Q47" t="e">
            <v>#DIV/0!</v>
          </cell>
        </row>
        <row r="48">
          <cell r="A48" t="str">
            <v>F101</v>
          </cell>
          <cell r="B48" t="str">
            <v>Rate Base</v>
          </cell>
          <cell r="C48">
            <v>0</v>
          </cell>
          <cell r="D48">
            <v>0</v>
          </cell>
          <cell r="E48">
            <v>0</v>
          </cell>
          <cell r="F48">
            <v>0.45378817176052955</v>
          </cell>
          <cell r="G48">
            <v>0.264573102971011</v>
          </cell>
          <cell r="H48">
            <v>7.2681998782379645E-2</v>
          </cell>
          <cell r="I48">
            <v>2.8922572459532917E-3</v>
          </cell>
          <cell r="J48">
            <v>0.10472807285348248</v>
          </cell>
          <cell r="K48">
            <v>1.3242015692012769E-2</v>
          </cell>
          <cell r="L48">
            <v>2.5651895696860463E-4</v>
          </cell>
          <cell r="M48">
            <v>1.0409663140361493E-4</v>
          </cell>
          <cell r="N48">
            <v>7.5097713515809489E-2</v>
          </cell>
          <cell r="O48">
            <v>1.134948424990017E-2</v>
          </cell>
          <cell r="P48">
            <v>1.2865673405494916E-3</v>
          </cell>
          <cell r="Q48">
            <v>1</v>
          </cell>
        </row>
        <row r="49">
          <cell r="A49" t="str">
            <v>F101G</v>
          </cell>
          <cell r="B49" t="str">
            <v>Generation Rate Base</v>
          </cell>
          <cell r="C49">
            <v>0</v>
          </cell>
          <cell r="D49">
            <v>0</v>
          </cell>
          <cell r="E49">
            <v>0</v>
          </cell>
          <cell r="F49">
            <v>0.40299205757185619</v>
          </cell>
          <cell r="G49">
            <v>0.27510269192675446</v>
          </cell>
          <cell r="H49">
            <v>7.6679676681942879E-2</v>
          </cell>
          <cell r="I49">
            <v>3.1487783596122182E-4</v>
          </cell>
          <cell r="J49">
            <v>0.14141584941172713</v>
          </cell>
          <cell r="K49">
            <v>1.339812310191282E-2</v>
          </cell>
          <cell r="L49">
            <v>1.7093553851278784E-4</v>
          </cell>
          <cell r="M49">
            <v>5.8420956383830169E-5</v>
          </cell>
          <cell r="N49">
            <v>7.2018224837593944E-2</v>
          </cell>
          <cell r="O49">
            <v>1.5302267165017725E-2</v>
          </cell>
          <cell r="P49">
            <v>2.546874972337361E-3</v>
          </cell>
          <cell r="Q49">
            <v>1</v>
          </cell>
        </row>
        <row r="50">
          <cell r="A50" t="str">
            <v>F101T</v>
          </cell>
          <cell r="B50" t="str">
            <v>Transmission Rate Base</v>
          </cell>
          <cell r="C50">
            <v>0</v>
          </cell>
          <cell r="D50">
            <v>0</v>
          </cell>
          <cell r="E50">
            <v>0</v>
          </cell>
          <cell r="F50">
            <v>0.4105134846028759</v>
          </cell>
          <cell r="G50">
            <v>0.27449795539884803</v>
          </cell>
          <cell r="H50">
            <v>7.4921751694764491E-2</v>
          </cell>
          <cell r="I50">
            <v>-1.1942446951881677E-4</v>
          </cell>
          <cell r="J50">
            <v>0.14010322989934965</v>
          </cell>
          <cell r="K50">
            <v>1.3754228314403004E-2</v>
          </cell>
          <cell r="L50">
            <v>1.5724137219551822E-4</v>
          </cell>
          <cell r="M50">
            <v>-1.0382211601644794E-5</v>
          </cell>
          <cell r="N50">
            <v>7.1360850837823037E-2</v>
          </cell>
          <cell r="O50">
            <v>1.4747876359320717E-2</v>
          </cell>
          <cell r="P50">
            <v>7.3188201540267742E-5</v>
          </cell>
          <cell r="Q50">
            <v>1</v>
          </cell>
        </row>
        <row r="51">
          <cell r="A51" t="str">
            <v>F101D</v>
          </cell>
          <cell r="B51" t="str">
            <v>Distribution Rate Base</v>
          </cell>
          <cell r="C51">
            <v>0</v>
          </cell>
          <cell r="D51">
            <v>0</v>
          </cell>
          <cell r="E51">
            <v>0</v>
          </cell>
          <cell r="F51">
            <v>0.59190080695585179</v>
          </cell>
          <cell r="G51">
            <v>0.23354058800748179</v>
          </cell>
          <cell r="H51">
            <v>6.2880275045593195E-2</v>
          </cell>
          <cell r="I51">
            <v>1.0823812797558169E-2</v>
          </cell>
          <cell r="J51">
            <v>7.2561264575782703E-4</v>
          </cell>
          <cell r="K51">
            <v>1.2475553228536541E-2</v>
          </cell>
          <cell r="L51">
            <v>4.999613576597518E-4</v>
          </cell>
          <cell r="M51">
            <v>2.9474096053520133E-4</v>
          </cell>
          <cell r="N51">
            <v>8.6676937109290822E-2</v>
          </cell>
          <cell r="O51">
            <v>9.1138490348559981E-5</v>
          </cell>
          <cell r="P51">
            <v>9.0573401386521732E-5</v>
          </cell>
          <cell r="Q51">
            <v>1</v>
          </cell>
        </row>
        <row r="52">
          <cell r="A52" t="str">
            <v>F101R</v>
          </cell>
          <cell r="B52" t="str">
            <v>Retail Rate Base</v>
          </cell>
          <cell r="C52">
            <v>0</v>
          </cell>
          <cell r="D52">
            <v>0</v>
          </cell>
          <cell r="E52">
            <v>0</v>
          </cell>
          <cell r="F52">
            <v>-2.9111170386286092</v>
          </cell>
          <cell r="G52">
            <v>5.8881018376450149E-2</v>
          </cell>
          <cell r="H52">
            <v>0.36961522180050771</v>
          </cell>
          <cell r="I52">
            <v>-3.9721071552115982E-2</v>
          </cell>
          <cell r="J52">
            <v>2.1595541023237761</v>
          </cell>
          <cell r="K52">
            <v>1.3995730007269305E-2</v>
          </cell>
          <cell r="L52">
            <v>-1.2200181864581725E-2</v>
          </cell>
          <cell r="M52">
            <v>-2.226599254197382E-3</v>
          </cell>
          <cell r="N52">
            <v>1.1311331890346923</v>
          </cell>
          <cell r="O52">
            <v>-9.8199655958833705E-5</v>
          </cell>
          <cell r="P52">
            <v>0.23218382941276469</v>
          </cell>
          <cell r="Q52">
            <v>1</v>
          </cell>
        </row>
        <row r="53">
          <cell r="A53" t="str">
            <v>F101M</v>
          </cell>
          <cell r="B53" t="str">
            <v>Misc Rate Base</v>
          </cell>
          <cell r="C53">
            <v>0</v>
          </cell>
          <cell r="D53">
            <v>0</v>
          </cell>
          <cell r="E53">
            <v>0</v>
          </cell>
          <cell r="F53">
            <v>0.41482254593334705</v>
          </cell>
          <cell r="G53">
            <v>0.26822268075141104</v>
          </cell>
          <cell r="H53">
            <v>7.7134888399055634E-2</v>
          </cell>
          <cell r="I53">
            <v>3.2790339417739459E-3</v>
          </cell>
          <cell r="J53">
            <v>0.12960220153720126</v>
          </cell>
          <cell r="K53">
            <v>1.2422703218888975E-2</v>
          </cell>
          <cell r="L53">
            <v>2.3321571597314814E-4</v>
          </cell>
          <cell r="M53">
            <v>1.9690790417674302E-4</v>
          </cell>
          <cell r="N53">
            <v>7.3067822266258034E-2</v>
          </cell>
          <cell r="O53">
            <v>1.4305662361442734E-2</v>
          </cell>
          <cell r="P53">
            <v>6.7123379704712525E-3</v>
          </cell>
          <cell r="Q53">
            <v>1</v>
          </cell>
        </row>
        <row r="54">
          <cell r="A54" t="str">
            <v>F102</v>
          </cell>
          <cell r="B54" t="str">
            <v>SGP - System Gross Plant</v>
          </cell>
          <cell r="C54">
            <v>0</v>
          </cell>
          <cell r="D54">
            <v>0</v>
          </cell>
          <cell r="E54">
            <v>0</v>
          </cell>
          <cell r="F54">
            <v>0.45881007819751091</v>
          </cell>
          <cell r="G54">
            <v>0.26331633760026024</v>
          </cell>
          <cell r="H54">
            <v>7.1763778244284093E-2</v>
          </cell>
          <cell r="I54">
            <v>4.295826988012565E-3</v>
          </cell>
          <cell r="J54">
            <v>0.10095192275591902</v>
          </cell>
          <cell r="K54">
            <v>1.3360260905088728E-2</v>
          </cell>
          <cell r="L54">
            <v>2.5052857916604989E-4</v>
          </cell>
          <cell r="M54">
            <v>7.6315449556702279E-5</v>
          </cell>
          <cell r="N54">
            <v>7.64519649695031E-2</v>
          </cell>
          <cell r="O54">
            <v>1.0697459618593331E-2</v>
          </cell>
          <cell r="P54">
            <v>2.5526692105047385E-5</v>
          </cell>
          <cell r="Q54">
            <v>1</v>
          </cell>
        </row>
        <row r="55">
          <cell r="A55" t="str">
            <v>F102G</v>
          </cell>
          <cell r="B55" t="str">
            <v>SGGP - System Gross Generation Plant</v>
          </cell>
          <cell r="C55">
            <v>0</v>
          </cell>
          <cell r="D55">
            <v>0</v>
          </cell>
          <cell r="E55">
            <v>0</v>
          </cell>
          <cell r="F55">
            <v>0.4121183225666416</v>
          </cell>
          <cell r="G55">
            <v>0.27512738379881596</v>
          </cell>
          <cell r="H55">
            <v>7.5173056973591668E-2</v>
          </cell>
          <cell r="I55">
            <v>0</v>
          </cell>
          <cell r="J55">
            <v>0.13631379153323206</v>
          </cell>
          <cell r="K55">
            <v>1.3850859666903158E-2</v>
          </cell>
          <cell r="L55">
            <v>1.6328122823383863E-4</v>
          </cell>
          <cell r="M55">
            <v>0</v>
          </cell>
          <cell r="N55">
            <v>7.2688644676086323E-2</v>
          </cell>
          <cell r="O55">
            <v>1.4564659556495304E-2</v>
          </cell>
          <cell r="P55">
            <v>0</v>
          </cell>
          <cell r="Q55">
            <v>1</v>
          </cell>
        </row>
        <row r="56">
          <cell r="A56" t="str">
            <v>F102T</v>
          </cell>
          <cell r="B56" t="str">
            <v>SGTP - System Gross Transmission Plant</v>
          </cell>
          <cell r="C56">
            <v>0</v>
          </cell>
          <cell r="D56">
            <v>0</v>
          </cell>
          <cell r="E56">
            <v>0</v>
          </cell>
          <cell r="F56">
            <v>0.41004683155212651</v>
          </cell>
          <cell r="G56">
            <v>0.27374447051353196</v>
          </cell>
          <cell r="H56">
            <v>7.479520356711214E-2</v>
          </cell>
          <cell r="I56">
            <v>0</v>
          </cell>
          <cell r="J56">
            <v>0.14048597972129503</v>
          </cell>
          <cell r="K56">
            <v>1.3781239051239654E-2</v>
          </cell>
          <cell r="L56">
            <v>1.6246050375107624E-4</v>
          </cell>
          <cell r="M56">
            <v>0</v>
          </cell>
          <cell r="N56">
            <v>7.2323279036999866E-2</v>
          </cell>
          <cell r="O56">
            <v>1.4660536053943535E-2</v>
          </cell>
          <cell r="P56">
            <v>0</v>
          </cell>
          <cell r="Q56">
            <v>1</v>
          </cell>
        </row>
        <row r="57">
          <cell r="A57" t="str">
            <v>F102D</v>
          </cell>
          <cell r="B57" t="str">
            <v>SGDP - System Gross Distribution Plant</v>
          </cell>
          <cell r="C57">
            <v>0</v>
          </cell>
          <cell r="D57">
            <v>0</v>
          </cell>
          <cell r="E57">
            <v>0</v>
          </cell>
          <cell r="F57">
            <v>0.58757526930775283</v>
          </cell>
          <cell r="G57">
            <v>0.23231580211761113</v>
          </cell>
          <cell r="H57">
            <v>6.2797843453037627E-2</v>
          </cell>
          <cell r="I57">
            <v>1.5985660285324901E-2</v>
          </cell>
          <cell r="J57">
            <v>1.2863533759124863E-3</v>
          </cell>
          <cell r="K57">
            <v>1.2082619841640331E-2</v>
          </cell>
          <cell r="L57">
            <v>4.8862307822059524E-4</v>
          </cell>
          <cell r="M57">
            <v>2.8398556425562535E-4</v>
          </cell>
          <cell r="N57">
            <v>8.6993862779491685E-2</v>
          </cell>
          <cell r="O57">
            <v>9.4990098376415165E-5</v>
          </cell>
          <cell r="P57">
            <v>9.4990098376415165E-5</v>
          </cell>
          <cell r="Q57">
            <v>1</v>
          </cell>
        </row>
        <row r="58">
          <cell r="A58" t="str">
            <v>F102R</v>
          </cell>
          <cell r="B58" t="str">
            <v>SGTP - System Gross Retail Plant</v>
          </cell>
          <cell r="C58">
            <v>0</v>
          </cell>
          <cell r="D58">
            <v>0</v>
          </cell>
          <cell r="E58">
            <v>0</v>
          </cell>
          <cell r="F58">
            <v>0.45881007819751091</v>
          </cell>
          <cell r="G58">
            <v>0.26331633760026024</v>
          </cell>
          <cell r="H58">
            <v>7.1763778244284093E-2</v>
          </cell>
          <cell r="I58">
            <v>4.295826988012565E-3</v>
          </cell>
          <cell r="J58">
            <v>0.10095192275591902</v>
          </cell>
          <cell r="K58">
            <v>1.3360260905088728E-2</v>
          </cell>
          <cell r="L58">
            <v>2.5052857916604989E-4</v>
          </cell>
          <cell r="M58">
            <v>7.6315449556702279E-5</v>
          </cell>
          <cell r="N58">
            <v>7.64519649695031E-2</v>
          </cell>
          <cell r="O58">
            <v>1.0697459618593331E-2</v>
          </cell>
          <cell r="P58">
            <v>2.5526692105047385E-5</v>
          </cell>
          <cell r="Q58">
            <v>1</v>
          </cell>
        </row>
        <row r="59">
          <cell r="A59" t="str">
            <v>F102M</v>
          </cell>
          <cell r="B59" t="str">
            <v>SGDP - System Gross Misc Plant</v>
          </cell>
          <cell r="C59">
            <v>0</v>
          </cell>
          <cell r="D59">
            <v>0</v>
          </cell>
          <cell r="E59">
            <v>0</v>
          </cell>
          <cell r="F59">
            <v>0.45881007819751091</v>
          </cell>
          <cell r="G59">
            <v>0.26331633760026024</v>
          </cell>
          <cell r="H59">
            <v>7.1763778244284093E-2</v>
          </cell>
          <cell r="I59">
            <v>4.295826988012565E-3</v>
          </cell>
          <cell r="J59">
            <v>0.10095192275591902</v>
          </cell>
          <cell r="K59">
            <v>1.3360260905088728E-2</v>
          </cell>
          <cell r="L59">
            <v>2.5052857916604989E-4</v>
          </cell>
          <cell r="M59">
            <v>7.6315449556702279E-5</v>
          </cell>
          <cell r="N59">
            <v>7.64519649695031E-2</v>
          </cell>
          <cell r="O59">
            <v>1.0697459618593331E-2</v>
          </cell>
          <cell r="P59">
            <v>2.5526692105047385E-5</v>
          </cell>
          <cell r="Q59">
            <v>1</v>
          </cell>
        </row>
        <row r="60">
          <cell r="A60" t="str">
            <v>F103</v>
          </cell>
          <cell r="B60" t="str">
            <v>SGP - System Gross Plant (Regulatory fees)</v>
          </cell>
          <cell r="C60">
            <v>0</v>
          </cell>
          <cell r="D60">
            <v>0</v>
          </cell>
          <cell r="E60">
            <v>0</v>
          </cell>
          <cell r="F60">
            <v>0.33333333333333331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0.33333333333333331</v>
          </cell>
          <cell r="L60">
            <v>0</v>
          </cell>
          <cell r="M60">
            <v>0</v>
          </cell>
          <cell r="N60">
            <v>0.33333333333333331</v>
          </cell>
          <cell r="O60">
            <v>0</v>
          </cell>
          <cell r="P60">
            <v>0</v>
          </cell>
          <cell r="Q60">
            <v>1</v>
          </cell>
        </row>
        <row r="61">
          <cell r="A61" t="str">
            <v>F104</v>
          </cell>
          <cell r="B61" t="str">
            <v>SNP - System Net Plant</v>
          </cell>
          <cell r="C61">
            <v>0</v>
          </cell>
          <cell r="D61">
            <v>0</v>
          </cell>
          <cell r="E61">
            <v>0</v>
          </cell>
          <cell r="F61">
            <v>0.45705645937424816</v>
          </cell>
          <cell r="G61">
            <v>0.26327855748433593</v>
          </cell>
          <cell r="H61">
            <v>7.2070570542026355E-2</v>
          </cell>
          <cell r="I61">
            <v>3.1749571264844808E-3</v>
          </cell>
          <cell r="J61">
            <v>0.10291579539742153</v>
          </cell>
          <cell r="K61">
            <v>1.3337821790545342E-2</v>
          </cell>
          <cell r="L61">
            <v>2.5748135387042536E-4</v>
          </cell>
          <cell r="M61">
            <v>9.3110666447700419E-5</v>
          </cell>
          <cell r="N61">
            <v>7.621773643796978E-2</v>
          </cell>
          <cell r="O61">
            <v>1.0953218499813148E-2</v>
          </cell>
          <cell r="P61">
            <v>6.4429132683729536E-4</v>
          </cell>
          <cell r="Q61">
            <v>1</v>
          </cell>
        </row>
        <row r="62">
          <cell r="A62" t="str">
            <v>F104G</v>
          </cell>
          <cell r="B62" t="str">
            <v>SNP - System Net Generation Plant</v>
          </cell>
          <cell r="C62">
            <v>0</v>
          </cell>
          <cell r="D62">
            <v>0</v>
          </cell>
          <cell r="E62">
            <v>0</v>
          </cell>
          <cell r="F62">
            <v>0.40877522730707461</v>
          </cell>
          <cell r="G62">
            <v>0.27495727380557811</v>
          </cell>
          <cell r="H62">
            <v>7.5657533003932173E-2</v>
          </cell>
          <cell r="I62">
            <v>1.2196716553323544E-4</v>
          </cell>
          <cell r="J62">
            <v>0.13830344653436941</v>
          </cell>
          <cell r="K62">
            <v>1.3743849425120129E-2</v>
          </cell>
          <cell r="L62">
            <v>1.6627774160888801E-4</v>
          </cell>
          <cell r="M62">
            <v>2.1838355783517017E-5</v>
          </cell>
          <cell r="N62">
            <v>7.2427668787547667E-2</v>
          </cell>
          <cell r="O62">
            <v>1.4854590435372681E-2</v>
          </cell>
          <cell r="P62">
            <v>9.7032743807959007E-4</v>
          </cell>
          <cell r="Q62">
            <v>1</v>
          </cell>
        </row>
        <row r="63">
          <cell r="A63" t="str">
            <v>F104T</v>
          </cell>
          <cell r="B63" t="str">
            <v>SNP - System Net Transmission Plant</v>
          </cell>
          <cell r="C63">
            <v>0</v>
          </cell>
          <cell r="D63">
            <v>0</v>
          </cell>
          <cell r="E63">
            <v>0</v>
          </cell>
          <cell r="F63">
            <v>0.41105996311973853</v>
          </cell>
          <cell r="G63">
            <v>0.27362634695543442</v>
          </cell>
          <cell r="H63">
            <v>7.4577282184679669E-2</v>
          </cell>
          <cell r="I63">
            <v>-2.9912465489271658E-5</v>
          </cell>
          <cell r="J63">
            <v>0.14000981499018197</v>
          </cell>
          <cell r="K63">
            <v>1.3875619058555565E-2</v>
          </cell>
          <cell r="L63">
            <v>1.6175691075761786E-4</v>
          </cell>
          <cell r="M63">
            <v>-6.1508474086935062E-6</v>
          </cell>
          <cell r="N63">
            <v>7.2386087605557869E-2</v>
          </cell>
          <cell r="O63">
            <v>1.459345390417798E-2</v>
          </cell>
          <cell r="P63">
            <v>-2.5426141618576135E-4</v>
          </cell>
          <cell r="Q63">
            <v>1</v>
          </cell>
        </row>
        <row r="64">
          <cell r="A64" t="str">
            <v>F104D</v>
          </cell>
          <cell r="B64" t="str">
            <v>SNP - System Net Distribution Plant</v>
          </cell>
          <cell r="C64">
            <v>0</v>
          </cell>
          <cell r="D64">
            <v>0</v>
          </cell>
          <cell r="E64">
            <v>0</v>
          </cell>
          <cell r="F64">
            <v>0.58757875122739411</v>
          </cell>
          <cell r="G64">
            <v>0.23231485349522929</v>
          </cell>
          <cell r="H64">
            <v>6.2797915439090787E-2</v>
          </cell>
          <cell r="I64">
            <v>1.5985660285324905E-2</v>
          </cell>
          <cell r="J64">
            <v>1.2865488867585234E-3</v>
          </cell>
          <cell r="K64">
            <v>1.2082490489625208E-2</v>
          </cell>
          <cell r="L64">
            <v>4.8863476598618252E-4</v>
          </cell>
          <cell r="M64">
            <v>2.8398810650972204E-4</v>
          </cell>
          <cell r="N64">
            <v>8.6991148232534302E-2</v>
          </cell>
          <cell r="O64">
            <v>9.5004535773514964E-5</v>
          </cell>
          <cell r="P64">
            <v>9.5004535773514964E-5</v>
          </cell>
          <cell r="Q64">
            <v>1</v>
          </cell>
        </row>
        <row r="65">
          <cell r="A65" t="str">
            <v>F104R</v>
          </cell>
          <cell r="B65" t="str">
            <v>SNP - System Net Retail Plant</v>
          </cell>
          <cell r="C65">
            <v>0</v>
          </cell>
          <cell r="D65">
            <v>0</v>
          </cell>
          <cell r="E65">
            <v>0</v>
          </cell>
          <cell r="F65">
            <v>0.87281006316227649</v>
          </cell>
          <cell r="G65">
            <v>1.9494536681833246E-2</v>
          </cell>
          <cell r="H65">
            <v>3.6400587165248807E-4</v>
          </cell>
          <cell r="I65">
            <v>1.0487997516503603E-2</v>
          </cell>
          <cell r="J65">
            <v>1.4712639342027956E-3</v>
          </cell>
          <cell r="K65">
            <v>3.6051413897779439E-3</v>
          </cell>
          <cell r="L65">
            <v>2.7410846275616849E-3</v>
          </cell>
          <cell r="M65">
            <v>5.9622462237923649E-4</v>
          </cell>
          <cell r="N65">
            <v>8.8410323457836185E-2</v>
          </cell>
          <cell r="O65">
            <v>9.6793679881762908E-6</v>
          </cell>
          <cell r="P65">
            <v>9.6793679881762908E-6</v>
          </cell>
          <cell r="Q65">
            <v>1</v>
          </cell>
        </row>
        <row r="66">
          <cell r="A66" t="str">
            <v>F104M</v>
          </cell>
          <cell r="B66" t="str">
            <v>SNP - System Net Misc Plant</v>
          </cell>
          <cell r="C66">
            <v>0</v>
          </cell>
          <cell r="D66">
            <v>0</v>
          </cell>
          <cell r="E66">
            <v>0</v>
          </cell>
          <cell r="F66">
            <v>0.45705645937424816</v>
          </cell>
          <cell r="G66">
            <v>0.26327855748433593</v>
          </cell>
          <cell r="H66">
            <v>7.2070570542026355E-2</v>
          </cell>
          <cell r="I66">
            <v>3.1749571264844808E-3</v>
          </cell>
          <cell r="J66">
            <v>0.10291579539742153</v>
          </cell>
          <cell r="K66">
            <v>1.3337821790545342E-2</v>
          </cell>
          <cell r="L66">
            <v>2.5748135387042536E-4</v>
          </cell>
          <cell r="M66">
            <v>9.3110666447700419E-5</v>
          </cell>
          <cell r="N66">
            <v>7.621773643796978E-2</v>
          </cell>
          <cell r="O66">
            <v>1.0953218499813148E-2</v>
          </cell>
          <cell r="P66">
            <v>6.4429132683729536E-4</v>
          </cell>
          <cell r="Q66">
            <v>1</v>
          </cell>
        </row>
        <row r="67">
          <cell r="A67" t="str">
            <v>F105</v>
          </cell>
          <cell r="B67" t="str">
            <v>STP - System Prod &amp; Trans Plant</v>
          </cell>
          <cell r="C67">
            <v>0</v>
          </cell>
          <cell r="D67">
            <v>0</v>
          </cell>
          <cell r="E67">
            <v>0</v>
          </cell>
          <cell r="F67">
            <v>0.41149092752877131</v>
          </cell>
          <cell r="G67">
            <v>0.27470853914686599</v>
          </cell>
          <cell r="H67">
            <v>7.5058616046449575E-2</v>
          </cell>
          <cell r="I67">
            <v>0</v>
          </cell>
          <cell r="J67">
            <v>0.1375774273143722</v>
          </cell>
          <cell r="K67">
            <v>1.3829773585189701E-2</v>
          </cell>
          <cell r="L67">
            <v>1.6303265439772944E-4</v>
          </cell>
          <cell r="M67">
            <v>0</v>
          </cell>
          <cell r="N67">
            <v>7.2577985934452915E-2</v>
          </cell>
          <cell r="O67">
            <v>1.4593697789500374E-2</v>
          </cell>
          <cell r="P67">
            <v>0</v>
          </cell>
          <cell r="Q67">
            <v>1</v>
          </cell>
        </row>
        <row r="68">
          <cell r="A68" t="str">
            <v>F105G</v>
          </cell>
          <cell r="B68" t="str">
            <v>SGGP - System Gross Generation Plant</v>
          </cell>
          <cell r="C68">
            <v>0</v>
          </cell>
          <cell r="D68">
            <v>0</v>
          </cell>
          <cell r="E68">
            <v>0</v>
          </cell>
          <cell r="F68">
            <v>0.4121183225666416</v>
          </cell>
          <cell r="G68">
            <v>0.27512738379881596</v>
          </cell>
          <cell r="H68">
            <v>7.5173056973591668E-2</v>
          </cell>
          <cell r="I68">
            <v>0</v>
          </cell>
          <cell r="J68">
            <v>0.13631379153323206</v>
          </cell>
          <cell r="K68">
            <v>1.3850859666903158E-2</v>
          </cell>
          <cell r="L68">
            <v>1.6328122823383863E-4</v>
          </cell>
          <cell r="M68">
            <v>0</v>
          </cell>
          <cell r="N68">
            <v>7.2688644676086323E-2</v>
          </cell>
          <cell r="O68">
            <v>1.4564659556495304E-2</v>
          </cell>
          <cell r="P68">
            <v>0</v>
          </cell>
          <cell r="Q68">
            <v>1</v>
          </cell>
        </row>
        <row r="69">
          <cell r="A69" t="str">
            <v>F105T</v>
          </cell>
          <cell r="B69" t="str">
            <v>SGTP - System Gross Transmission Plant</v>
          </cell>
          <cell r="C69">
            <v>0</v>
          </cell>
          <cell r="D69">
            <v>0</v>
          </cell>
          <cell r="E69">
            <v>0</v>
          </cell>
          <cell r="F69">
            <v>0.41004683155212651</v>
          </cell>
          <cell r="G69">
            <v>0.27374447051353196</v>
          </cell>
          <cell r="H69">
            <v>7.479520356711214E-2</v>
          </cell>
          <cell r="I69">
            <v>0</v>
          </cell>
          <cell r="J69">
            <v>0.14048597972129503</v>
          </cell>
          <cell r="K69">
            <v>1.3781239051239654E-2</v>
          </cell>
          <cell r="L69">
            <v>1.6246050375107624E-4</v>
          </cell>
          <cell r="M69">
            <v>0</v>
          </cell>
          <cell r="N69">
            <v>7.2323279036999866E-2</v>
          </cell>
          <cell r="O69">
            <v>1.4660536053943535E-2</v>
          </cell>
          <cell r="P69">
            <v>0</v>
          </cell>
          <cell r="Q69">
            <v>1</v>
          </cell>
        </row>
        <row r="70">
          <cell r="A70" t="str">
            <v>F105D</v>
          </cell>
          <cell r="B70" t="str">
            <v>SGDP - System Gross Distribution Plant</v>
          </cell>
          <cell r="C70">
            <v>0</v>
          </cell>
          <cell r="D70">
            <v>0</v>
          </cell>
          <cell r="E70">
            <v>0</v>
          </cell>
          <cell r="F70">
            <v>9.0909090909090912E-2</v>
          </cell>
          <cell r="G70">
            <v>9.0909090909090912E-2</v>
          </cell>
          <cell r="H70">
            <v>9.0909090909090912E-2</v>
          </cell>
          <cell r="I70">
            <v>9.0909090909090912E-2</v>
          </cell>
          <cell r="J70">
            <v>9.0909090909090912E-2</v>
          </cell>
          <cell r="K70">
            <v>9.0909090909090912E-2</v>
          </cell>
          <cell r="L70">
            <v>9.0909090909090912E-2</v>
          </cell>
          <cell r="M70">
            <v>9.0909090909090912E-2</v>
          </cell>
          <cell r="N70">
            <v>9.0909090909090912E-2</v>
          </cell>
          <cell r="O70">
            <v>9.0909090909090912E-2</v>
          </cell>
          <cell r="P70">
            <v>9.0909090909090912E-2</v>
          </cell>
          <cell r="Q70">
            <v>1</v>
          </cell>
        </row>
        <row r="71">
          <cell r="A71" t="str">
            <v>F105R</v>
          </cell>
          <cell r="B71" t="str">
            <v>SGTP - System Gross Retail Plant</v>
          </cell>
          <cell r="C71">
            <v>0</v>
          </cell>
          <cell r="D71">
            <v>0</v>
          </cell>
          <cell r="E71">
            <v>0</v>
          </cell>
          <cell r="F71">
            <v>9.0909090909090912E-2</v>
          </cell>
          <cell r="G71">
            <v>9.0909090909090912E-2</v>
          </cell>
          <cell r="H71">
            <v>9.0909090909090912E-2</v>
          </cell>
          <cell r="I71">
            <v>9.0909090909090912E-2</v>
          </cell>
          <cell r="J71">
            <v>9.0909090909090912E-2</v>
          </cell>
          <cell r="K71">
            <v>9.0909090909090912E-2</v>
          </cell>
          <cell r="L71">
            <v>9.0909090909090912E-2</v>
          </cell>
          <cell r="M71">
            <v>9.0909090909090912E-2</v>
          </cell>
          <cell r="N71">
            <v>9.0909090909090912E-2</v>
          </cell>
          <cell r="O71">
            <v>9.0909090909090912E-2</v>
          </cell>
          <cell r="P71">
            <v>9.0909090909090912E-2</v>
          </cell>
          <cell r="Q71">
            <v>1</v>
          </cell>
        </row>
        <row r="72">
          <cell r="A72" t="str">
            <v>F105M</v>
          </cell>
          <cell r="B72" t="str">
            <v>SGDP - System Gross Misc Plant</v>
          </cell>
          <cell r="C72">
            <v>0</v>
          </cell>
          <cell r="D72">
            <v>0</v>
          </cell>
          <cell r="E72">
            <v>0</v>
          </cell>
          <cell r="F72">
            <v>9.0909090909090912E-2</v>
          </cell>
          <cell r="G72">
            <v>9.0909090909090912E-2</v>
          </cell>
          <cell r="H72">
            <v>9.0909090909090912E-2</v>
          </cell>
          <cell r="I72">
            <v>9.0909090909090912E-2</v>
          </cell>
          <cell r="J72">
            <v>9.0909090909090912E-2</v>
          </cell>
          <cell r="K72">
            <v>9.0909090909090912E-2</v>
          </cell>
          <cell r="L72">
            <v>9.0909090909090912E-2</v>
          </cell>
          <cell r="M72">
            <v>9.0909090909090912E-2</v>
          </cell>
          <cell r="N72">
            <v>9.0909090909090912E-2</v>
          </cell>
          <cell r="O72">
            <v>9.0909090909090912E-2</v>
          </cell>
          <cell r="P72">
            <v>9.0909090909090912E-2</v>
          </cell>
          <cell r="Q72">
            <v>1</v>
          </cell>
        </row>
        <row r="73">
          <cell r="A73" t="str">
            <v>F106</v>
          </cell>
          <cell r="B73" t="str">
            <v>STP - System Transmission Plant</v>
          </cell>
          <cell r="C73">
            <v>0</v>
          </cell>
          <cell r="D73">
            <v>0</v>
          </cell>
          <cell r="E73">
            <v>0</v>
          </cell>
          <cell r="F73">
            <v>0.41004683155212651</v>
          </cell>
          <cell r="G73">
            <v>0.27374447051353196</v>
          </cell>
          <cell r="H73">
            <v>7.479520356711214E-2</v>
          </cell>
          <cell r="I73">
            <v>0</v>
          </cell>
          <cell r="J73">
            <v>0.14048597972129503</v>
          </cell>
          <cell r="K73">
            <v>1.3781239051239654E-2</v>
          </cell>
          <cell r="L73">
            <v>1.6246050375107624E-4</v>
          </cell>
          <cell r="M73">
            <v>0</v>
          </cell>
          <cell r="N73">
            <v>7.2323279036999866E-2</v>
          </cell>
          <cell r="O73">
            <v>1.4660536053943535E-2</v>
          </cell>
          <cell r="P73">
            <v>0</v>
          </cell>
          <cell r="Q73">
            <v>1</v>
          </cell>
        </row>
        <row r="74">
          <cell r="A74" t="str">
            <v>F107</v>
          </cell>
          <cell r="B74" t="str">
            <v>STP - System Trans &amp; Dist Plant</v>
          </cell>
          <cell r="C74">
            <v>0</v>
          </cell>
          <cell r="D74">
            <v>0</v>
          </cell>
          <cell r="E74">
            <v>0</v>
          </cell>
          <cell r="F74">
            <v>0.50736666912689976</v>
          </cell>
          <cell r="G74">
            <v>0.25103356667073407</v>
          </cell>
          <cell r="H74">
            <v>6.8218335362847271E-2</v>
          </cell>
          <cell r="I74">
            <v>8.7632262310268546E-3</v>
          </cell>
          <cell r="J74">
            <v>6.4177726251225725E-2</v>
          </cell>
          <cell r="K74">
            <v>1.2850067979891923E-2</v>
          </cell>
          <cell r="L74">
            <v>3.4126052684392571E-4</v>
          </cell>
          <cell r="M74">
            <v>1.5567888354305022E-4</v>
          </cell>
          <cell r="N74">
            <v>8.0365589581701119E-2</v>
          </cell>
          <cell r="O74">
            <v>6.6758064832651452E-3</v>
          </cell>
          <cell r="P74">
            <v>5.2072902021081843E-5</v>
          </cell>
          <cell r="Q74">
            <v>1</v>
          </cell>
        </row>
        <row r="75">
          <cell r="A75" t="str">
            <v>F107G</v>
          </cell>
          <cell r="B75" t="str">
            <v>SGGP - System Gross Generation Plant</v>
          </cell>
          <cell r="C75">
            <v>0</v>
          </cell>
          <cell r="D75">
            <v>0</v>
          </cell>
          <cell r="E75">
            <v>0</v>
          </cell>
          <cell r="F75">
            <v>0.4121183225666416</v>
          </cell>
          <cell r="G75">
            <v>0.27512738379881596</v>
          </cell>
          <cell r="H75">
            <v>7.5173056973591668E-2</v>
          </cell>
          <cell r="I75">
            <v>0</v>
          </cell>
          <cell r="J75">
            <v>0.13631379153323206</v>
          </cell>
          <cell r="K75">
            <v>1.3850859666903158E-2</v>
          </cell>
          <cell r="L75">
            <v>1.6328122823383863E-4</v>
          </cell>
          <cell r="M75">
            <v>0</v>
          </cell>
          <cell r="N75">
            <v>7.2688644676086323E-2</v>
          </cell>
          <cell r="O75">
            <v>1.4564659556495304E-2</v>
          </cell>
          <cell r="P75">
            <v>0</v>
          </cell>
          <cell r="Q75">
            <v>1</v>
          </cell>
        </row>
        <row r="76">
          <cell r="A76" t="str">
            <v>F107T</v>
          </cell>
          <cell r="B76" t="str">
            <v>SGTP - System Gross Transmission Plant</v>
          </cell>
          <cell r="C76">
            <v>0</v>
          </cell>
          <cell r="D76">
            <v>0</v>
          </cell>
          <cell r="E76">
            <v>0</v>
          </cell>
          <cell r="F76">
            <v>0.41004683155212651</v>
          </cell>
          <cell r="G76">
            <v>0.27374447051353196</v>
          </cell>
          <cell r="H76">
            <v>7.479520356711214E-2</v>
          </cell>
          <cell r="I76">
            <v>0</v>
          </cell>
          <cell r="J76">
            <v>0.14048597972129503</v>
          </cell>
          <cell r="K76">
            <v>1.3781239051239654E-2</v>
          </cell>
          <cell r="L76">
            <v>1.6246050375107624E-4</v>
          </cell>
          <cell r="M76">
            <v>0</v>
          </cell>
          <cell r="N76">
            <v>7.2323279036999866E-2</v>
          </cell>
          <cell r="O76">
            <v>1.4660536053943535E-2</v>
          </cell>
          <cell r="P76">
            <v>0</v>
          </cell>
          <cell r="Q76">
            <v>1</v>
          </cell>
        </row>
        <row r="77">
          <cell r="A77" t="str">
            <v>F107D</v>
          </cell>
          <cell r="B77" t="str">
            <v>SGDP - System Gross Distribution Plant</v>
          </cell>
          <cell r="C77">
            <v>0</v>
          </cell>
          <cell r="D77">
            <v>0</v>
          </cell>
          <cell r="E77">
            <v>0</v>
          </cell>
          <cell r="F77">
            <v>0.58757526930775283</v>
          </cell>
          <cell r="G77">
            <v>0.23231580211761113</v>
          </cell>
          <cell r="H77">
            <v>6.2797843453037627E-2</v>
          </cell>
          <cell r="I77">
            <v>1.5985660285324901E-2</v>
          </cell>
          <cell r="J77">
            <v>1.2863533759124863E-3</v>
          </cell>
          <cell r="K77">
            <v>1.2082619841640331E-2</v>
          </cell>
          <cell r="L77">
            <v>4.8862307822059524E-4</v>
          </cell>
          <cell r="M77">
            <v>2.8398556425562535E-4</v>
          </cell>
          <cell r="N77">
            <v>8.6993862779491685E-2</v>
          </cell>
          <cell r="O77">
            <v>9.4990098376415165E-5</v>
          </cell>
          <cell r="P77">
            <v>9.4990098376415165E-5</v>
          </cell>
          <cell r="Q77">
            <v>1</v>
          </cell>
        </row>
        <row r="78">
          <cell r="A78" t="str">
            <v>F107R</v>
          </cell>
          <cell r="B78" t="str">
            <v>SGTP - System Gross Retail Plant</v>
          </cell>
          <cell r="C78">
            <v>0</v>
          </cell>
          <cell r="D78">
            <v>0</v>
          </cell>
          <cell r="E78">
            <v>0</v>
          </cell>
          <cell r="F78">
            <v>0.58757526930775283</v>
          </cell>
          <cell r="G78">
            <v>0.23231580211761113</v>
          </cell>
          <cell r="H78">
            <v>6.2797843453037627E-2</v>
          </cell>
          <cell r="I78">
            <v>1.5985660285324901E-2</v>
          </cell>
          <cell r="J78">
            <v>1.2863533759124863E-3</v>
          </cell>
          <cell r="K78">
            <v>1.2082619841640331E-2</v>
          </cell>
          <cell r="L78">
            <v>4.8862307822059524E-4</v>
          </cell>
          <cell r="M78">
            <v>2.8398556425562535E-4</v>
          </cell>
          <cell r="N78">
            <v>8.6993862779491685E-2</v>
          </cell>
          <cell r="O78">
            <v>9.4990098376415165E-5</v>
          </cell>
          <cell r="P78">
            <v>9.4990098376415165E-5</v>
          </cell>
          <cell r="Q78">
            <v>1</v>
          </cell>
        </row>
        <row r="79">
          <cell r="A79" t="str">
            <v>F107M</v>
          </cell>
          <cell r="B79" t="str">
            <v>SGDP - System Gross Misc Plant</v>
          </cell>
          <cell r="C79">
            <v>0</v>
          </cell>
          <cell r="D79">
            <v>0</v>
          </cell>
          <cell r="E79">
            <v>0</v>
          </cell>
          <cell r="F79">
            <v>0.58757526930775283</v>
          </cell>
          <cell r="G79">
            <v>0.23231580211761113</v>
          </cell>
          <cell r="H79">
            <v>6.2797843453037627E-2</v>
          </cell>
          <cell r="I79">
            <v>1.5985660285324901E-2</v>
          </cell>
          <cell r="J79">
            <v>1.2863533759124863E-3</v>
          </cell>
          <cell r="K79">
            <v>1.2082619841640331E-2</v>
          </cell>
          <cell r="L79">
            <v>4.8862307822059524E-4</v>
          </cell>
          <cell r="M79">
            <v>2.8398556425562535E-4</v>
          </cell>
          <cell r="N79">
            <v>8.6993862779491685E-2</v>
          </cell>
          <cell r="O79">
            <v>9.4990098376415165E-5</v>
          </cell>
          <cell r="P79">
            <v>9.4990098376415165E-5</v>
          </cell>
          <cell r="Q79">
            <v>1</v>
          </cell>
        </row>
        <row r="80">
          <cell r="A80" t="str">
            <v>F108</v>
          </cell>
          <cell r="B80" t="str">
            <v>SGP - System General Plant</v>
          </cell>
          <cell r="C80">
            <v>0</v>
          </cell>
          <cell r="D80">
            <v>0</v>
          </cell>
          <cell r="E80">
            <v>0</v>
          </cell>
          <cell r="F80">
            <v>0.4310850742824181</v>
          </cell>
          <cell r="G80">
            <v>0.25781708671228826</v>
          </cell>
          <cell r="H80">
            <v>7.6518554762872421E-2</v>
          </cell>
          <cell r="I80">
            <v>6.0247696552660455E-3</v>
          </cell>
          <cell r="J80">
            <v>0.11830434522291403</v>
          </cell>
          <cell r="K80">
            <v>1.1303103873755034E-2</v>
          </cell>
          <cell r="L80">
            <v>3.3514201505839314E-4</v>
          </cell>
          <cell r="M80">
            <v>3.377052069944686E-4</v>
          </cell>
          <cell r="N80">
            <v>7.4097648599051102E-2</v>
          </cell>
          <cell r="O80">
            <v>1.3375957612004245E-2</v>
          </cell>
          <cell r="P80">
            <v>1.0800612057377717E-2</v>
          </cell>
          <cell r="Q80">
            <v>1</v>
          </cell>
        </row>
        <row r="81">
          <cell r="A81" t="str">
            <v>F108G</v>
          </cell>
          <cell r="B81" t="str">
            <v>SGGP - System Gen Generation Plant</v>
          </cell>
          <cell r="C81">
            <v>0</v>
          </cell>
          <cell r="D81">
            <v>0</v>
          </cell>
          <cell r="E81">
            <v>0</v>
          </cell>
          <cell r="F81">
            <v>0.33586118331700415</v>
          </cell>
          <cell r="G81">
            <v>0.27458804833744482</v>
          </cell>
          <cell r="H81">
            <v>8.7624122383784045E-2</v>
          </cell>
          <cell r="I81">
            <v>2.643332372437648E-3</v>
          </cell>
          <cell r="J81">
            <v>0.17920119604500714</v>
          </cell>
          <cell r="K81">
            <v>1.0190233875426991E-2</v>
          </cell>
          <cell r="L81">
            <v>2.2760706810850969E-4</v>
          </cell>
          <cell r="M81">
            <v>4.889434010800942E-4</v>
          </cell>
          <cell r="N81">
            <v>6.7056285341544578E-2</v>
          </cell>
          <cell r="O81">
            <v>2.0768945059505564E-2</v>
          </cell>
          <cell r="P81">
            <v>2.1350102798656397E-2</v>
          </cell>
          <cell r="Q81">
            <v>1</v>
          </cell>
        </row>
        <row r="82">
          <cell r="A82" t="str">
            <v>F108T</v>
          </cell>
          <cell r="B82" t="str">
            <v>SGTP - System Gen Transmission Plant</v>
          </cell>
          <cell r="C82">
            <v>0</v>
          </cell>
          <cell r="D82">
            <v>0</v>
          </cell>
          <cell r="E82">
            <v>0</v>
          </cell>
          <cell r="F82">
            <v>0.41004733725842696</v>
          </cell>
          <cell r="G82">
            <v>0.27374480811961199</v>
          </cell>
          <cell r="H82">
            <v>7.4795295811223739E-2</v>
          </cell>
          <cell r="I82">
            <v>0</v>
          </cell>
          <cell r="J82">
            <v>0.14048496117869053</v>
          </cell>
          <cell r="K82">
            <v>1.3781256047491983E-2</v>
          </cell>
          <cell r="L82">
            <v>1.6246070411184968E-4</v>
          </cell>
          <cell r="M82">
            <v>0</v>
          </cell>
          <cell r="N82">
            <v>7.2323368232513813E-2</v>
          </cell>
          <cell r="O82">
            <v>1.4660512647928985E-2</v>
          </cell>
          <cell r="P82">
            <v>0</v>
          </cell>
          <cell r="Q82">
            <v>1</v>
          </cell>
        </row>
        <row r="83">
          <cell r="A83" t="str">
            <v>F108D</v>
          </cell>
          <cell r="B83" t="str">
            <v>SGDP - System Gen Distribution Plant</v>
          </cell>
          <cell r="C83">
            <v>0</v>
          </cell>
          <cell r="D83">
            <v>0</v>
          </cell>
          <cell r="E83">
            <v>0</v>
          </cell>
          <cell r="F83">
            <v>0.58757526930775261</v>
          </cell>
          <cell r="G83">
            <v>0.23231580211761105</v>
          </cell>
          <cell r="H83">
            <v>6.2797843453037613E-2</v>
          </cell>
          <cell r="I83">
            <v>1.5985660285324898E-2</v>
          </cell>
          <cell r="J83">
            <v>1.2863533759124861E-3</v>
          </cell>
          <cell r="K83">
            <v>1.2082619841640328E-2</v>
          </cell>
          <cell r="L83">
            <v>4.8862307822059514E-4</v>
          </cell>
          <cell r="M83">
            <v>2.839855642556253E-4</v>
          </cell>
          <cell r="N83">
            <v>8.6993862779491671E-2</v>
          </cell>
          <cell r="O83">
            <v>9.4990098376415152E-5</v>
          </cell>
          <cell r="P83">
            <v>9.4990098376415152E-5</v>
          </cell>
          <cell r="Q83">
            <v>1</v>
          </cell>
        </row>
        <row r="84">
          <cell r="A84" t="str">
            <v>F108R</v>
          </cell>
          <cell r="B84" t="str">
            <v>SGTP - System Gen Retail Plant</v>
          </cell>
          <cell r="C84">
            <v>0</v>
          </cell>
          <cell r="D84">
            <v>0</v>
          </cell>
          <cell r="E84">
            <v>0</v>
          </cell>
          <cell r="F84">
            <v>0.8723608413628593</v>
          </cell>
          <cell r="G84">
            <v>1.9466255169731564E-2</v>
          </cell>
          <cell r="H84">
            <v>3.6347779362569317E-4</v>
          </cell>
          <cell r="I84">
            <v>1.0570312778031521E-2</v>
          </cell>
          <cell r="J84">
            <v>1.359252091134305E-3</v>
          </cell>
          <cell r="K84">
            <v>3.5966089510277095E-3</v>
          </cell>
          <cell r="L84">
            <v>2.7624166909894659E-3</v>
          </cell>
          <cell r="M84">
            <v>6.0086464747510966E-4</v>
          </cell>
          <cell r="N84">
            <v>8.8902085619189386E-2</v>
          </cell>
          <cell r="O84">
            <v>8.9424479679888485E-6</v>
          </cell>
          <cell r="P84">
            <v>8.9424479679888485E-6</v>
          </cell>
          <cell r="Q84">
            <v>1</v>
          </cell>
        </row>
        <row r="85">
          <cell r="A85" t="str">
            <v>F108M</v>
          </cell>
          <cell r="B85" t="str">
            <v>SGDP - System Gen Misc Plant</v>
          </cell>
          <cell r="C85">
            <v>0</v>
          </cell>
          <cell r="D85">
            <v>0</v>
          </cell>
          <cell r="E85">
            <v>0</v>
          </cell>
          <cell r="F85">
            <v>9.0909090909090912E-2</v>
          </cell>
          <cell r="G85">
            <v>9.0909090909090912E-2</v>
          </cell>
          <cell r="H85">
            <v>9.0909090909090912E-2</v>
          </cell>
          <cell r="I85">
            <v>9.0909090909090912E-2</v>
          </cell>
          <cell r="J85">
            <v>9.0909090909090912E-2</v>
          </cell>
          <cell r="K85">
            <v>9.0909090909090912E-2</v>
          </cell>
          <cell r="L85">
            <v>9.0909090909090912E-2</v>
          </cell>
          <cell r="M85">
            <v>9.0909090909090912E-2</v>
          </cell>
          <cell r="N85">
            <v>9.0909090909090912E-2</v>
          </cell>
          <cell r="O85">
            <v>9.0909090909090912E-2</v>
          </cell>
          <cell r="P85">
            <v>9.0909090909090912E-2</v>
          </cell>
          <cell r="Q85">
            <v>1</v>
          </cell>
        </row>
        <row r="86">
          <cell r="A86" t="str">
            <v>F110</v>
          </cell>
          <cell r="B86" t="str">
            <v>SIP - System Intangible Plant</v>
          </cell>
          <cell r="C86">
            <v>0</v>
          </cell>
          <cell r="D86">
            <v>0</v>
          </cell>
          <cell r="E86">
            <v>0</v>
          </cell>
          <cell r="F86">
            <v>0.50871307973220037</v>
          </cell>
          <cell r="G86">
            <v>0.22761292013166562</v>
          </cell>
          <cell r="H86">
            <v>6.13692719110316E-2</v>
          </cell>
          <cell r="I86">
            <v>3.7406493029150546E-3</v>
          </cell>
          <cell r="J86">
            <v>9.827341572609298E-2</v>
          </cell>
          <cell r="K86">
            <v>1.1914474342851276E-2</v>
          </cell>
          <cell r="L86">
            <v>6.3066366121789506E-4</v>
          </cell>
          <cell r="M86">
            <v>1.3693508402875E-4</v>
          </cell>
          <cell r="N86">
            <v>7.7038725914452641E-2</v>
          </cell>
          <cell r="O86">
            <v>1.0427224028613402E-2</v>
          </cell>
          <cell r="P86">
            <v>1.4264016493021107E-4</v>
          </cell>
          <cell r="Q86">
            <v>1</v>
          </cell>
        </row>
        <row r="87">
          <cell r="A87" t="str">
            <v>F118</v>
          </cell>
          <cell r="B87" t="str">
            <v>Account 360</v>
          </cell>
          <cell r="C87">
            <v>0</v>
          </cell>
          <cell r="D87">
            <v>0</v>
          </cell>
          <cell r="E87">
            <v>0</v>
          </cell>
          <cell r="F87">
            <v>0.49164012535987583</v>
          </cell>
          <cell r="G87">
            <v>0.31833765729272945</v>
          </cell>
          <cell r="H87">
            <v>9.0341104180462567E-2</v>
          </cell>
          <cell r="I87">
            <v>8.0690928123709716E-4</v>
          </cell>
          <cell r="J87">
            <v>0</v>
          </cell>
          <cell r="K87">
            <v>1.2017021468444966E-2</v>
          </cell>
          <cell r="L87">
            <v>1.9426455932775339E-4</v>
          </cell>
          <cell r="M87">
            <v>1.4489141046728271E-4</v>
          </cell>
          <cell r="N87">
            <v>8.6518026447455251E-2</v>
          </cell>
          <cell r="O87">
            <v>0</v>
          </cell>
          <cell r="P87">
            <v>0</v>
          </cell>
          <cell r="Q87">
            <v>1</v>
          </cell>
        </row>
        <row r="88">
          <cell r="A88" t="str">
            <v>F119</v>
          </cell>
          <cell r="B88" t="str">
            <v>Account 361</v>
          </cell>
          <cell r="C88">
            <v>0</v>
          </cell>
          <cell r="D88">
            <v>0</v>
          </cell>
          <cell r="E88">
            <v>0</v>
          </cell>
          <cell r="F88">
            <v>0.49164012535987572</v>
          </cell>
          <cell r="G88">
            <v>0.31833765729272945</v>
          </cell>
          <cell r="H88">
            <v>9.0341104180462567E-2</v>
          </cell>
          <cell r="I88">
            <v>8.0690928123709716E-4</v>
          </cell>
          <cell r="J88">
            <v>0</v>
          </cell>
          <cell r="K88">
            <v>1.2017021468444966E-2</v>
          </cell>
          <cell r="L88">
            <v>1.9426455932775339E-4</v>
          </cell>
          <cell r="M88">
            <v>1.4489141046728271E-4</v>
          </cell>
          <cell r="N88">
            <v>8.6518026447455251E-2</v>
          </cell>
          <cell r="O88">
            <v>0</v>
          </cell>
          <cell r="P88">
            <v>0</v>
          </cell>
          <cell r="Q88">
            <v>1</v>
          </cell>
        </row>
        <row r="89">
          <cell r="A89" t="str">
            <v>F120</v>
          </cell>
          <cell r="B89" t="str">
            <v>Account 362</v>
          </cell>
          <cell r="C89">
            <v>0</v>
          </cell>
          <cell r="D89">
            <v>0</v>
          </cell>
          <cell r="E89">
            <v>0</v>
          </cell>
          <cell r="F89">
            <v>0.49164012535987578</v>
          </cell>
          <cell r="G89">
            <v>0.31833765729272945</v>
          </cell>
          <cell r="H89">
            <v>9.0341104180462581E-2</v>
          </cell>
          <cell r="I89">
            <v>8.0690928123709716E-4</v>
          </cell>
          <cell r="J89">
            <v>0</v>
          </cell>
          <cell r="K89">
            <v>1.2017021468444966E-2</v>
          </cell>
          <cell r="L89">
            <v>1.9426455932775337E-4</v>
          </cell>
          <cell r="M89">
            <v>1.4489141046728271E-4</v>
          </cell>
          <cell r="N89">
            <v>8.6518026447455251E-2</v>
          </cell>
          <cell r="O89">
            <v>0</v>
          </cell>
          <cell r="P89">
            <v>0</v>
          </cell>
          <cell r="Q89">
            <v>1</v>
          </cell>
        </row>
        <row r="90">
          <cell r="A90" t="str">
            <v>F121</v>
          </cell>
          <cell r="B90" t="str">
            <v>Account 364</v>
          </cell>
          <cell r="C90">
            <v>0</v>
          </cell>
          <cell r="D90">
            <v>0</v>
          </cell>
          <cell r="E90">
            <v>0</v>
          </cell>
          <cell r="F90">
            <v>0.4871413084476543</v>
          </cell>
          <cell r="G90">
            <v>0.31312908199944228</v>
          </cell>
          <cell r="H90">
            <v>8.8862961609444194E-2</v>
          </cell>
          <cell r="I90">
            <v>1.320514694200401E-2</v>
          </cell>
          <cell r="J90">
            <v>0</v>
          </cell>
          <cell r="K90">
            <v>1.1820401434070938E-2</v>
          </cell>
          <cell r="L90">
            <v>1.9108604255194694E-4</v>
          </cell>
          <cell r="M90">
            <v>1.425207270012187E-4</v>
          </cell>
          <cell r="N90">
            <v>8.5507492797831292E-2</v>
          </cell>
          <cell r="O90">
            <v>0</v>
          </cell>
          <cell r="P90">
            <v>0</v>
          </cell>
          <cell r="Q90">
            <v>1</v>
          </cell>
        </row>
        <row r="91">
          <cell r="A91" t="str">
            <v>F122</v>
          </cell>
          <cell r="B91" t="str">
            <v>Account 365</v>
          </cell>
          <cell r="C91">
            <v>0</v>
          </cell>
          <cell r="D91">
            <v>0</v>
          </cell>
          <cell r="E91">
            <v>0</v>
          </cell>
          <cell r="F91">
            <v>0.64270173887908644</v>
          </cell>
          <cell r="G91">
            <v>0.19434353255603959</v>
          </cell>
          <cell r="H91">
            <v>5.5152787988571039E-2</v>
          </cell>
          <cell r="I91">
            <v>8.3018921078401083E-3</v>
          </cell>
          <cell r="J91">
            <v>0</v>
          </cell>
          <cell r="K91">
            <v>7.3363309350228736E-3</v>
          </cell>
          <cell r="L91">
            <v>1.1859753266790217E-4</v>
          </cell>
          <cell r="M91">
            <v>8.8455474563429765E-5</v>
          </cell>
          <cell r="N91">
            <v>9.1956664526208584E-2</v>
          </cell>
          <cell r="O91">
            <v>0</v>
          </cell>
          <cell r="P91">
            <v>0</v>
          </cell>
          <cell r="Q91">
            <v>1</v>
          </cell>
        </row>
        <row r="92">
          <cell r="A92" t="str">
            <v>F123</v>
          </cell>
          <cell r="B92" t="str">
            <v>Account 366</v>
          </cell>
          <cell r="C92">
            <v>0</v>
          </cell>
          <cell r="D92">
            <v>0</v>
          </cell>
          <cell r="E92">
            <v>0</v>
          </cell>
          <cell r="F92">
            <v>0.64514526321106103</v>
          </cell>
          <cell r="G92">
            <v>0.19781652514552467</v>
          </cell>
          <cell r="H92">
            <v>5.6138389214680874E-2</v>
          </cell>
          <cell r="I92">
            <v>6.5471188014258478E-4</v>
          </cell>
          <cell r="J92">
            <v>0</v>
          </cell>
          <cell r="K92">
            <v>7.4674339495468993E-3</v>
          </cell>
          <cell r="L92">
            <v>1.2071691552911506E-4</v>
          </cell>
          <cell r="M92">
            <v>9.0036207421466074E-5</v>
          </cell>
          <cell r="N92">
            <v>9.2566923476093466E-2</v>
          </cell>
          <cell r="O92">
            <v>0</v>
          </cell>
          <cell r="P92">
            <v>0</v>
          </cell>
          <cell r="Q92">
            <v>1</v>
          </cell>
        </row>
        <row r="93">
          <cell r="A93" t="str">
            <v>F124</v>
          </cell>
          <cell r="B93" t="str">
            <v>Account 367</v>
          </cell>
          <cell r="C93">
            <v>0</v>
          </cell>
          <cell r="D93">
            <v>0</v>
          </cell>
          <cell r="E93">
            <v>0</v>
          </cell>
          <cell r="F93">
            <v>0.615799216939098</v>
          </cell>
          <cell r="G93">
            <v>0.21902125645286094</v>
          </cell>
          <cell r="H93">
            <v>6.2156083936839433E-2</v>
          </cell>
          <cell r="I93">
            <v>3.286657671725536E-3</v>
          </cell>
          <cell r="J93">
            <v>0</v>
          </cell>
          <cell r="K93">
            <v>8.2678975626800048E-3</v>
          </cell>
          <cell r="L93">
            <v>1.3365703646270332E-4</v>
          </cell>
          <cell r="M93">
            <v>9.9687542591261793E-5</v>
          </cell>
          <cell r="N93">
            <v>9.1235542857742213E-2</v>
          </cell>
          <cell r="O93">
            <v>0</v>
          </cell>
          <cell r="P93">
            <v>0</v>
          </cell>
          <cell r="Q93">
            <v>1</v>
          </cell>
        </row>
        <row r="94">
          <cell r="A94" t="str">
            <v>F125</v>
          </cell>
          <cell r="B94" t="str">
            <v>Account 368</v>
          </cell>
          <cell r="C94">
            <v>0</v>
          </cell>
          <cell r="D94">
            <v>0</v>
          </cell>
          <cell r="E94">
            <v>0</v>
          </cell>
          <cell r="F94">
            <v>0.58769899110886759</v>
          </cell>
          <cell r="G94">
            <v>0.2493136908616341</v>
          </cell>
          <cell r="H94">
            <v>6.2904140421850857E-2</v>
          </cell>
          <cell r="I94">
            <v>3.4392196894104661E-3</v>
          </cell>
          <cell r="J94">
            <v>0</v>
          </cell>
          <cell r="K94">
            <v>2.8667733780318675E-2</v>
          </cell>
          <cell r="L94">
            <v>1.1928399899876234E-4</v>
          </cell>
          <cell r="M94">
            <v>7.1129534858342842E-4</v>
          </cell>
          <cell r="N94">
            <v>6.7145644790336065E-2</v>
          </cell>
          <cell r="O94">
            <v>0</v>
          </cell>
          <cell r="P94">
            <v>0</v>
          </cell>
          <cell r="Q94">
            <v>1</v>
          </cell>
        </row>
        <row r="95">
          <cell r="A95" t="str">
            <v>F126</v>
          </cell>
          <cell r="B95" t="str">
            <v>Account 369</v>
          </cell>
          <cell r="C95">
            <v>0</v>
          </cell>
          <cell r="D95">
            <v>0</v>
          </cell>
          <cell r="E95">
            <v>0</v>
          </cell>
          <cell r="F95">
            <v>0.80424748548522351</v>
          </cell>
          <cell r="G95">
            <v>7.3318708977329894E-2</v>
          </cell>
          <cell r="H95">
            <v>7.3419809105201321E-3</v>
          </cell>
          <cell r="I95">
            <v>0</v>
          </cell>
          <cell r="J95">
            <v>0</v>
          </cell>
          <cell r="K95">
            <v>0</v>
          </cell>
          <cell r="L95">
            <v>3.0279824670523792E-3</v>
          </cell>
          <cell r="M95">
            <v>6.58628954697834E-4</v>
          </cell>
          <cell r="N95">
            <v>0.11140521320517636</v>
          </cell>
          <cell r="O95">
            <v>0</v>
          </cell>
          <cell r="P95">
            <v>0</v>
          </cell>
          <cell r="Q95">
            <v>1</v>
          </cell>
        </row>
        <row r="96">
          <cell r="A96" t="str">
            <v>F127</v>
          </cell>
          <cell r="B96" t="str">
            <v>Account 370</v>
          </cell>
          <cell r="C96">
            <v>0</v>
          </cell>
          <cell r="D96">
            <v>0</v>
          </cell>
          <cell r="E96">
            <v>0</v>
          </cell>
          <cell r="F96">
            <v>0.70881158058379934</v>
          </cell>
          <cell r="G96">
            <v>0.10567524530241849</v>
          </cell>
          <cell r="H96">
            <v>1.4549237279013401E-2</v>
          </cell>
          <cell r="I96">
            <v>0</v>
          </cell>
          <cell r="J96">
            <v>3.9289776562640356E-2</v>
          </cell>
          <cell r="K96">
            <v>9.8558266872212086E-3</v>
          </cell>
          <cell r="L96">
            <v>2.3829789317951705E-3</v>
          </cell>
          <cell r="M96">
            <v>5.1833157555996646E-4</v>
          </cell>
          <cell r="N96">
            <v>0.11311435670179797</v>
          </cell>
          <cell r="O96">
            <v>2.9013331878770489E-3</v>
          </cell>
          <cell r="P96">
            <v>2.9013331878770489E-3</v>
          </cell>
          <cell r="Q96">
            <v>1</v>
          </cell>
        </row>
        <row r="97">
          <cell r="A97" t="str">
            <v>F128</v>
          </cell>
          <cell r="B97" t="str">
            <v>Account 371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1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1</v>
          </cell>
        </row>
        <row r="98">
          <cell r="A98" t="str">
            <v>F129</v>
          </cell>
          <cell r="B98" t="str">
            <v>Account 372</v>
          </cell>
          <cell r="C98">
            <v>0</v>
          </cell>
          <cell r="D98">
            <v>0</v>
          </cell>
          <cell r="E98">
            <v>0</v>
          </cell>
          <cell r="F98">
            <v>9.0909090909090912E-2</v>
          </cell>
          <cell r="G98">
            <v>9.0909090909090912E-2</v>
          </cell>
          <cell r="H98">
            <v>9.0909090909090912E-2</v>
          </cell>
          <cell r="I98">
            <v>9.0909090909090912E-2</v>
          </cell>
          <cell r="J98">
            <v>9.0909090909090912E-2</v>
          </cell>
          <cell r="K98">
            <v>9.0909090909090912E-2</v>
          </cell>
          <cell r="L98">
            <v>9.0909090909090912E-2</v>
          </cell>
          <cell r="M98">
            <v>9.0909090909090912E-2</v>
          </cell>
          <cell r="N98">
            <v>9.0909090909090912E-2</v>
          </cell>
          <cell r="O98">
            <v>9.0909090909090912E-2</v>
          </cell>
          <cell r="P98">
            <v>9.0909090909090912E-2</v>
          </cell>
          <cell r="Q98">
            <v>1</v>
          </cell>
        </row>
        <row r="99">
          <cell r="A99" t="str">
            <v>F130</v>
          </cell>
          <cell r="B99" t="str">
            <v>Account 373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1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1</v>
          </cell>
        </row>
        <row r="100">
          <cell r="A100" t="str">
            <v>F131</v>
          </cell>
          <cell r="B100" t="str">
            <v>Account 581 thru 587 &amp; 591 thru 597</v>
          </cell>
          <cell r="C100">
            <v>0</v>
          </cell>
          <cell r="D100">
            <v>0</v>
          </cell>
          <cell r="E100">
            <v>0</v>
          </cell>
          <cell r="F100">
            <v>0.56473740311759502</v>
          </cell>
          <cell r="G100">
            <v>0.23699929542721418</v>
          </cell>
          <cell r="H100">
            <v>6.5034638296359484E-2</v>
          </cell>
          <cell r="I100">
            <v>3.1239730217942366E-2</v>
          </cell>
          <cell r="J100">
            <v>2.2909978219542754E-3</v>
          </cell>
          <cell r="K100">
            <v>9.1225851186491173E-3</v>
          </cell>
          <cell r="L100">
            <v>5.6396657952428029E-4</v>
          </cell>
          <cell r="M100">
            <v>1.9791267005963648E-4</v>
          </cell>
          <cell r="N100">
            <v>8.9475115657050908E-2</v>
          </cell>
          <cell r="O100">
            <v>1.691775468255115E-4</v>
          </cell>
          <cell r="P100">
            <v>1.691775468255115E-4</v>
          </cell>
          <cell r="Q100">
            <v>1</v>
          </cell>
        </row>
        <row r="101">
          <cell r="A101" t="str">
            <v>F132</v>
          </cell>
          <cell r="B101" t="str">
            <v>Account 364 + 365</v>
          </cell>
          <cell r="C101">
            <v>0</v>
          </cell>
          <cell r="D101">
            <v>0</v>
          </cell>
          <cell r="E101">
            <v>0</v>
          </cell>
          <cell r="F101">
            <v>0.54972183314642697</v>
          </cell>
          <cell r="G101">
            <v>0.26534275233846366</v>
          </cell>
          <cell r="H101">
            <v>7.5301670045579319E-2</v>
          </cell>
          <cell r="I101">
            <v>1.123261279946689E-2</v>
          </cell>
          <cell r="J101">
            <v>0</v>
          </cell>
          <cell r="K101">
            <v>1.0016501278752168E-2</v>
          </cell>
          <cell r="L101">
            <v>1.6192458439324617E-4</v>
          </cell>
          <cell r="M101">
            <v>1.2077077519056351E-4</v>
          </cell>
          <cell r="N101">
            <v>8.8101935031727252E-2</v>
          </cell>
          <cell r="O101">
            <v>0</v>
          </cell>
          <cell r="P101">
            <v>0</v>
          </cell>
          <cell r="Q101">
            <v>1</v>
          </cell>
        </row>
        <row r="102">
          <cell r="A102" t="str">
            <v>F133</v>
          </cell>
          <cell r="B102" t="str">
            <v>Account 366 + 367</v>
          </cell>
          <cell r="C102">
            <v>0</v>
          </cell>
          <cell r="D102">
            <v>0</v>
          </cell>
          <cell r="E102">
            <v>0</v>
          </cell>
          <cell r="F102">
            <v>0.62356330201688825</v>
          </cell>
          <cell r="G102">
            <v>0.21341111952347383</v>
          </cell>
          <cell r="H102">
            <v>6.056398211289981E-2</v>
          </cell>
          <cell r="I102">
            <v>2.5903236287473088E-3</v>
          </cell>
          <cell r="J102">
            <v>0</v>
          </cell>
          <cell r="K102">
            <v>8.0561188604846602E-3</v>
          </cell>
          <cell r="L102">
            <v>1.3023346795489854E-4</v>
          </cell>
          <cell r="M102">
            <v>9.71340883140444E-5</v>
          </cell>
          <cell r="N102">
            <v>9.158778630123722E-2</v>
          </cell>
          <cell r="O102">
            <v>0</v>
          </cell>
          <cell r="P102">
            <v>0</v>
          </cell>
          <cell r="Q102">
            <v>1</v>
          </cell>
        </row>
        <row r="103">
          <cell r="A103" t="str">
            <v>F134</v>
          </cell>
          <cell r="B103" t="str">
            <v>Account 364 + 365 + 369  (OH)</v>
          </cell>
          <cell r="C103">
            <v>0</v>
          </cell>
          <cell r="D103">
            <v>0</v>
          </cell>
          <cell r="E103">
            <v>0</v>
          </cell>
          <cell r="F103">
            <v>0.58407929266177938</v>
          </cell>
          <cell r="G103">
            <v>0.23942214969927425</v>
          </cell>
          <cell r="H103">
            <v>6.6128047478743762E-2</v>
          </cell>
          <cell r="I103">
            <v>9.7163646886650242E-3</v>
          </cell>
          <cell r="J103">
            <v>0</v>
          </cell>
          <cell r="K103">
            <v>8.6644114834488646E-3</v>
          </cell>
          <cell r="L103">
            <v>5.4880294721164195E-4</v>
          </cell>
          <cell r="M103">
            <v>1.9337422579610169E-4</v>
          </cell>
          <cell r="N103">
            <v>9.1247556815081121E-2</v>
          </cell>
          <cell r="O103">
            <v>0</v>
          </cell>
          <cell r="P103">
            <v>0</v>
          </cell>
          <cell r="Q103">
            <v>1</v>
          </cell>
        </row>
        <row r="104">
          <cell r="A104" t="str">
            <v>F135</v>
          </cell>
          <cell r="B104" t="str">
            <v>Account 366 + 367 + 369  (UG)</v>
          </cell>
          <cell r="C104">
            <v>0</v>
          </cell>
          <cell r="D104">
            <v>0</v>
          </cell>
          <cell r="E104">
            <v>0</v>
          </cell>
          <cell r="F104">
            <v>0.65679531281737336</v>
          </cell>
          <cell r="G104">
            <v>0.18764487695055204</v>
          </cell>
          <cell r="H104">
            <v>5.0775222051945915E-2</v>
          </cell>
          <cell r="I104">
            <v>2.1139030524971038E-3</v>
          </cell>
          <cell r="J104">
            <v>0</v>
          </cell>
          <cell r="K104">
            <v>6.5744118076449471E-3</v>
          </cell>
          <cell r="L104">
            <v>6.6319669797651362E-4</v>
          </cell>
          <cell r="M104">
            <v>2.0040601342614508E-4</v>
          </cell>
          <cell r="N104">
            <v>9.5232670608584147E-2</v>
          </cell>
          <cell r="O104">
            <v>0</v>
          </cell>
          <cell r="P104">
            <v>0</v>
          </cell>
          <cell r="Q104">
            <v>1</v>
          </cell>
        </row>
        <row r="105">
          <cell r="A105" t="str">
            <v>F136</v>
          </cell>
          <cell r="B105" t="str">
            <v>Account 902 + 903 + 904</v>
          </cell>
          <cell r="C105">
            <v>0</v>
          </cell>
          <cell r="D105">
            <v>0</v>
          </cell>
          <cell r="E105">
            <v>0</v>
          </cell>
          <cell r="F105">
            <v>0.86927445410674842</v>
          </cell>
          <cell r="G105">
            <v>2.3369005169427894E-2</v>
          </cell>
          <cell r="H105">
            <v>2.8684212533734385E-3</v>
          </cell>
          <cell r="I105">
            <v>7.9372832476741866E-3</v>
          </cell>
          <cell r="J105">
            <v>3.6966571284417888E-3</v>
          </cell>
          <cell r="K105">
            <v>2.6944623715545479E-3</v>
          </cell>
          <cell r="L105">
            <v>2.5230008526894764E-3</v>
          </cell>
          <cell r="M105">
            <v>5.4878832106522511E-4</v>
          </cell>
          <cell r="N105">
            <v>8.7034424026918938E-2</v>
          </cell>
          <cell r="O105">
            <v>2.6751761053095773E-5</v>
          </cell>
          <cell r="P105">
            <v>2.6751761053095773E-5</v>
          </cell>
          <cell r="Q105">
            <v>1</v>
          </cell>
        </row>
        <row r="106">
          <cell r="A106" t="str">
            <v>F137</v>
          </cell>
          <cell r="B106" t="str">
            <v>Total O &amp; M Expense</v>
          </cell>
          <cell r="C106">
            <v>0</v>
          </cell>
          <cell r="D106">
            <v>0</v>
          </cell>
          <cell r="E106">
            <v>0</v>
          </cell>
          <cell r="F106">
            <v>0.39746077830950327</v>
          </cell>
          <cell r="G106">
            <v>0.26243584154678345</v>
          </cell>
          <cell r="H106">
            <v>7.8920680850827249E-2</v>
          </cell>
          <cell r="I106">
            <v>4.4013492028787309E-3</v>
          </cell>
          <cell r="J106">
            <v>0.14489415977003978</v>
          </cell>
          <cell r="K106">
            <v>1.0895347487842905E-2</v>
          </cell>
          <cell r="L106">
            <v>3.2220894732083749E-4</v>
          </cell>
          <cell r="M106">
            <v>3.2518638379969562E-4</v>
          </cell>
          <cell r="N106">
            <v>7.1355281213215285E-2</v>
          </cell>
          <cell r="O106">
            <v>1.6403981730366356E-2</v>
          </cell>
          <cell r="P106">
            <v>1.2585184557422512E-2</v>
          </cell>
          <cell r="Q106">
            <v>1</v>
          </cell>
        </row>
        <row r="107">
          <cell r="A107" t="str">
            <v>F137G</v>
          </cell>
          <cell r="B107" t="str">
            <v>Generation O &amp; M Exp</v>
          </cell>
          <cell r="C107">
            <v>0</v>
          </cell>
          <cell r="D107">
            <v>0</v>
          </cell>
          <cell r="E107">
            <v>0</v>
          </cell>
          <cell r="F107">
            <v>0.35692660656219827</v>
          </cell>
          <cell r="G107">
            <v>0.27484192842229432</v>
          </cell>
          <cell r="H107">
            <v>8.4198542269979873E-2</v>
          </cell>
          <cell r="I107">
            <v>1.9381250078965805E-3</v>
          </cell>
          <cell r="J107">
            <v>0.16714479202177826</v>
          </cell>
          <cell r="K107">
            <v>1.1150909533160638E-2</v>
          </cell>
          <cell r="L107">
            <v>2.1033534539871904E-4</v>
          </cell>
          <cell r="M107">
            <v>3.560140944500677E-4</v>
          </cell>
          <cell r="N107">
            <v>6.8593167258038545E-2</v>
          </cell>
          <cell r="O107">
            <v>1.9038585399039545E-2</v>
          </cell>
          <cell r="P107">
            <v>1.5600994085765141E-2</v>
          </cell>
          <cell r="Q107">
            <v>1</v>
          </cell>
        </row>
        <row r="108">
          <cell r="A108" t="str">
            <v>F137T</v>
          </cell>
          <cell r="B108" t="str">
            <v>Transmission O &amp; M Exp</v>
          </cell>
          <cell r="C108">
            <v>0</v>
          </cell>
          <cell r="D108">
            <v>0</v>
          </cell>
          <cell r="E108">
            <v>0</v>
          </cell>
          <cell r="F108">
            <v>0.40916240802039056</v>
          </cell>
          <cell r="G108">
            <v>0.27397526575374342</v>
          </cell>
          <cell r="H108">
            <v>7.5538631351566715E-2</v>
          </cell>
          <cell r="I108">
            <v>3.0811770044770115E-4</v>
          </cell>
          <cell r="J108">
            <v>0.13890826309916482</v>
          </cell>
          <cell r="K108">
            <v>1.3531130906968926E-2</v>
          </cell>
          <cell r="L108">
            <v>1.7124819266772673E-4</v>
          </cell>
          <cell r="M108">
            <v>3.0303012185733506E-5</v>
          </cell>
          <cell r="N108">
            <v>7.2387878258019886E-2</v>
          </cell>
          <cell r="O108">
            <v>1.4799196086005497E-2</v>
          </cell>
          <cell r="P108">
            <v>1.1875576188391083E-3</v>
          </cell>
          <cell r="Q108">
            <v>1</v>
          </cell>
        </row>
        <row r="109">
          <cell r="A109" t="str">
            <v>F137D</v>
          </cell>
          <cell r="B109" t="str">
            <v xml:space="preserve">Distribution O &amp; M Exp </v>
          </cell>
          <cell r="C109">
            <v>0</v>
          </cell>
          <cell r="D109">
            <v>0</v>
          </cell>
          <cell r="E109">
            <v>0</v>
          </cell>
          <cell r="F109">
            <v>0.56156236967719997</v>
          </cell>
          <cell r="G109">
            <v>0.23738967880495929</v>
          </cell>
          <cell r="H109">
            <v>6.5282063823892983E-2</v>
          </cell>
          <cell r="I109">
            <v>2.8831451429036144E-2</v>
          </cell>
          <cell r="J109">
            <v>6.7875099116720423E-3</v>
          </cell>
          <cell r="K109">
            <v>9.4826071082059777E-3</v>
          </cell>
          <cell r="L109">
            <v>5.4794617898980258E-4</v>
          </cell>
          <cell r="M109">
            <v>2.1140332866330117E-4</v>
          </cell>
          <cell r="N109">
            <v>8.8637309883478899E-2</v>
          </cell>
          <cell r="O109">
            <v>6.847695918791722E-4</v>
          </cell>
          <cell r="P109">
            <v>5.8289026202241795E-4</v>
          </cell>
          <cell r="Q109">
            <v>1</v>
          </cell>
        </row>
        <row r="110">
          <cell r="A110" t="str">
            <v>F137R</v>
          </cell>
          <cell r="B110" t="str">
            <v>Retail O &amp; M Exp  (Customer)</v>
          </cell>
          <cell r="C110">
            <v>0</v>
          </cell>
          <cell r="D110">
            <v>0</v>
          </cell>
          <cell r="E110">
            <v>0</v>
          </cell>
          <cell r="F110">
            <v>0.87046973142932571</v>
          </cell>
          <cell r="G110">
            <v>2.1797678650836233E-2</v>
          </cell>
          <cell r="H110">
            <v>2.264045228145961E-3</v>
          </cell>
          <cell r="I110">
            <v>8.4692007047442765E-3</v>
          </cell>
          <cell r="J110">
            <v>2.9088393500549944E-3</v>
          </cell>
          <cell r="K110">
            <v>2.7593544899182335E-3</v>
          </cell>
          <cell r="L110">
            <v>2.5995898237000147E-3</v>
          </cell>
          <cell r="M110">
            <v>5.6675418134045734E-4</v>
          </cell>
          <cell r="N110">
            <v>8.808304226905142E-2</v>
          </cell>
          <cell r="O110">
            <v>-2.9769851688628098E-6</v>
          </cell>
          <cell r="P110">
            <v>8.4740858051461309E-5</v>
          </cell>
          <cell r="Q110">
            <v>1</v>
          </cell>
        </row>
        <row r="111">
          <cell r="A111" t="str">
            <v>F137M</v>
          </cell>
          <cell r="B111" t="str">
            <v xml:space="preserve">Misc &amp; Customer O &amp; M Exp </v>
          </cell>
          <cell r="C111">
            <v>0</v>
          </cell>
          <cell r="D111">
            <v>0</v>
          </cell>
          <cell r="E111">
            <v>0</v>
          </cell>
          <cell r="F111">
            <v>0.45881007819751091</v>
          </cell>
          <cell r="G111">
            <v>0.26331633760026024</v>
          </cell>
          <cell r="H111">
            <v>7.1763778244284093E-2</v>
          </cell>
          <cell r="I111">
            <v>4.295826988012565E-3</v>
          </cell>
          <cell r="J111">
            <v>0.10095192275591901</v>
          </cell>
          <cell r="K111">
            <v>1.3360260905088727E-2</v>
          </cell>
          <cell r="L111">
            <v>2.5052857916604989E-4</v>
          </cell>
          <cell r="M111">
            <v>7.6315449556702279E-5</v>
          </cell>
          <cell r="N111">
            <v>7.64519649695031E-2</v>
          </cell>
          <cell r="O111">
            <v>1.0697459618593331E-2</v>
          </cell>
          <cell r="P111">
            <v>2.5526692105047385E-5</v>
          </cell>
          <cell r="Q111">
            <v>1</v>
          </cell>
        </row>
        <row r="112">
          <cell r="A112" t="str">
            <v>F138</v>
          </cell>
          <cell r="B112" t="str">
            <v>GTD O&amp;M Exp  (less fuel, purchased p &amp; wheeling)</v>
          </cell>
          <cell r="C112">
            <v>0</v>
          </cell>
          <cell r="D112">
            <v>0</v>
          </cell>
          <cell r="E112">
            <v>0</v>
          </cell>
          <cell r="F112">
            <v>0.51297374058247036</v>
          </cell>
          <cell r="G112">
            <v>0.23161788495871341</v>
          </cell>
          <cell r="H112">
            <v>6.295850672442671E-2</v>
          </cell>
          <cell r="I112">
            <v>9.6962933429714862E-3</v>
          </cell>
          <cell r="J112">
            <v>8.2765319585409641E-2</v>
          </cell>
          <cell r="K112">
            <v>1.1081384737767212E-2</v>
          </cell>
          <cell r="L112">
            <v>5.9025566326051328E-4</v>
          </cell>
          <cell r="M112">
            <v>1.3097637855123684E-4</v>
          </cell>
          <cell r="N112">
            <v>7.9236648730672557E-2</v>
          </cell>
          <cell r="O112">
            <v>8.7624534381868721E-3</v>
          </cell>
          <cell r="P112">
            <v>1.865358575705988E-4</v>
          </cell>
          <cell r="Q112">
            <v>1</v>
          </cell>
        </row>
        <row r="113">
          <cell r="A113" t="str">
            <v>F138G</v>
          </cell>
          <cell r="B113" t="str">
            <v xml:space="preserve">Generation O &amp; M Exp (less fuel &amp; purchased power) </v>
          </cell>
          <cell r="C113">
            <v>0</v>
          </cell>
          <cell r="D113">
            <v>0</v>
          </cell>
          <cell r="E113">
            <v>0</v>
          </cell>
          <cell r="F113">
            <v>0.41115729857166261</v>
          </cell>
          <cell r="G113">
            <v>0.27512253684995219</v>
          </cell>
          <cell r="H113">
            <v>7.5330300606324563E-2</v>
          </cell>
          <cell r="I113">
            <v>3.311091741828112E-5</v>
          </cell>
          <cell r="J113">
            <v>0.13685657528653825</v>
          </cell>
          <cell r="K113">
            <v>1.3801520014501238E-2</v>
          </cell>
          <cell r="L113">
            <v>1.6409088154204513E-4</v>
          </cell>
          <cell r="M113">
            <v>6.1059445278468861E-6</v>
          </cell>
          <cell r="N113">
            <v>7.2619153034347961E-2</v>
          </cell>
          <cell r="O113">
            <v>1.4642235615513427E-2</v>
          </cell>
          <cell r="P113">
            <v>2.670722776715125E-4</v>
          </cell>
          <cell r="Q113">
            <v>1</v>
          </cell>
        </row>
        <row r="114">
          <cell r="A114" t="str">
            <v>F138T</v>
          </cell>
          <cell r="B114" t="str">
            <v>Transmission O &amp; M Exp - (less wheeling exp)</v>
          </cell>
          <cell r="C114">
            <v>0</v>
          </cell>
          <cell r="D114">
            <v>0</v>
          </cell>
          <cell r="E114">
            <v>0</v>
          </cell>
          <cell r="F114">
            <v>0.4100468315521269</v>
          </cell>
          <cell r="G114">
            <v>0.27374447051353201</v>
          </cell>
          <cell r="H114">
            <v>7.4795203567112209E-2</v>
          </cell>
          <cell r="I114">
            <v>0</v>
          </cell>
          <cell r="J114">
            <v>0.14048597972129515</v>
          </cell>
          <cell r="K114">
            <v>1.3781239051239664E-2</v>
          </cell>
          <cell r="L114">
            <v>1.6246050375107635E-4</v>
          </cell>
          <cell r="M114">
            <v>0</v>
          </cell>
          <cell r="N114">
            <v>7.2323279036999935E-2</v>
          </cell>
          <cell r="O114">
            <v>1.4660536053943542E-2</v>
          </cell>
          <cell r="P114">
            <v>0</v>
          </cell>
          <cell r="Q114">
            <v>1</v>
          </cell>
        </row>
        <row r="115">
          <cell r="A115" t="str">
            <v>F138D</v>
          </cell>
          <cell r="B115" t="str">
            <v xml:space="preserve">Distribution O &amp; M Exp </v>
          </cell>
          <cell r="C115">
            <v>0</v>
          </cell>
          <cell r="D115">
            <v>0</v>
          </cell>
          <cell r="E115">
            <v>0</v>
          </cell>
          <cell r="F115">
            <v>0.56473740311759479</v>
          </cell>
          <cell r="G115">
            <v>0.2369992954272141</v>
          </cell>
          <cell r="H115">
            <v>6.5034638296359484E-2</v>
          </cell>
          <cell r="I115">
            <v>3.1239730217942359E-2</v>
          </cell>
          <cell r="J115">
            <v>2.290997821954275E-3</v>
          </cell>
          <cell r="K115">
            <v>9.1225851186491156E-3</v>
          </cell>
          <cell r="L115">
            <v>5.6396657952428018E-4</v>
          </cell>
          <cell r="M115">
            <v>1.9791267005963648E-4</v>
          </cell>
          <cell r="N115">
            <v>8.9475115657050922E-2</v>
          </cell>
          <cell r="O115">
            <v>1.6917754682551148E-4</v>
          </cell>
          <cell r="P115">
            <v>1.6917754682551148E-4</v>
          </cell>
          <cell r="Q115">
            <v>1</v>
          </cell>
        </row>
        <row r="116">
          <cell r="A116" t="str">
            <v>F138R</v>
          </cell>
          <cell r="B116" t="str">
            <v>Retail O &amp; M Exp  (Customer)</v>
          </cell>
          <cell r="C116">
            <v>0</v>
          </cell>
          <cell r="D116">
            <v>0</v>
          </cell>
          <cell r="E116">
            <v>0</v>
          </cell>
          <cell r="F116">
            <v>0.86903861554361361</v>
          </cell>
          <cell r="G116">
            <v>2.2761447099022569E-2</v>
          </cell>
          <cell r="H116">
            <v>2.5052357069096803E-3</v>
          </cell>
          <cell r="I116">
            <v>8.4432279295167546E-3</v>
          </cell>
          <cell r="J116">
            <v>3.1883725231343992E-3</v>
          </cell>
          <cell r="K116">
            <v>2.8120132856704868E-3</v>
          </cell>
          <cell r="L116">
            <v>2.5900384772188532E-3</v>
          </cell>
          <cell r="M116">
            <v>5.6336995125946809E-4</v>
          </cell>
          <cell r="N116">
            <v>8.805156747693535E-2</v>
          </cell>
          <cell r="O116">
            <v>2.3056003359409895E-5</v>
          </cell>
          <cell r="P116">
            <v>2.3056003359409895E-5</v>
          </cell>
          <cell r="Q116">
            <v>1</v>
          </cell>
        </row>
        <row r="117">
          <cell r="A117" t="str">
            <v>F138M</v>
          </cell>
          <cell r="B117" t="str">
            <v xml:space="preserve">Misc &amp; Customer O &amp; M Exp </v>
          </cell>
          <cell r="C117">
            <v>0</v>
          </cell>
          <cell r="D117">
            <v>0</v>
          </cell>
          <cell r="E117">
            <v>0</v>
          </cell>
          <cell r="F117">
            <v>9.0909090909090912E-2</v>
          </cell>
          <cell r="G117">
            <v>9.0909090909090912E-2</v>
          </cell>
          <cell r="H117">
            <v>9.0909090909090912E-2</v>
          </cell>
          <cell r="I117">
            <v>9.0909090909090912E-2</v>
          </cell>
          <cell r="J117">
            <v>9.0909090909090912E-2</v>
          </cell>
          <cell r="K117">
            <v>9.0909090909090912E-2</v>
          </cell>
          <cell r="L117">
            <v>9.0909090909090912E-2</v>
          </cell>
          <cell r="M117">
            <v>9.0909090909090912E-2</v>
          </cell>
          <cell r="N117">
            <v>9.0909090909090912E-2</v>
          </cell>
          <cell r="O117">
            <v>9.0909090909090912E-2</v>
          </cell>
          <cell r="P117">
            <v>9.0909090909090912E-2</v>
          </cell>
          <cell r="Q117">
            <v>1</v>
          </cell>
        </row>
        <row r="118">
          <cell r="A118" t="str">
            <v>F140</v>
          </cell>
          <cell r="B118" t="str">
            <v>Revenue Requirement Before Rev Credits</v>
          </cell>
          <cell r="C118">
            <v>0</v>
          </cell>
          <cell r="D118">
            <v>0</v>
          </cell>
          <cell r="E118">
            <v>0</v>
          </cell>
          <cell r="F118">
            <v>0.40724655589798214</v>
          </cell>
          <cell r="G118">
            <v>0.26838165490570931</v>
          </cell>
          <cell r="H118">
            <v>7.8472255562973575E-2</v>
          </cell>
          <cell r="I118">
            <v>5.0054552560652651E-3</v>
          </cell>
          <cell r="J118">
            <v>0.1309097581317632</v>
          </cell>
          <cell r="K118">
            <v>1.055080645045183E-2</v>
          </cell>
          <cell r="L118">
            <v>3.1259897999324506E-4</v>
          </cell>
          <cell r="M118">
            <v>3.6982862899975077E-4</v>
          </cell>
          <cell r="N118">
            <v>7.4066204383474984E-2</v>
          </cell>
          <cell r="O118">
            <v>1.4322827120599532E-2</v>
          </cell>
          <cell r="P118">
            <v>1.0362054711361314E-2</v>
          </cell>
          <cell r="Q118">
            <v>1</v>
          </cell>
        </row>
        <row r="119">
          <cell r="A119" t="str">
            <v>F140G</v>
          </cell>
          <cell r="B119" t="str">
            <v>Revenue Requirement Before Rev Credits</v>
          </cell>
          <cell r="C119">
            <v>0</v>
          </cell>
          <cell r="D119">
            <v>0</v>
          </cell>
          <cell r="E119">
            <v>0</v>
          </cell>
          <cell r="F119">
            <v>0.35913494928900547</v>
          </cell>
          <cell r="G119">
            <v>0.27899701245025094</v>
          </cell>
          <cell r="H119">
            <v>8.3685975175801286E-2</v>
          </cell>
          <cell r="I119">
            <v>1.5651874495130628E-3</v>
          </cell>
          <cell r="J119">
            <v>0.16215289213631856</v>
          </cell>
          <cell r="K119">
            <v>1.0814140394140016E-2</v>
          </cell>
          <cell r="L119">
            <v>2.0383638615736852E-4</v>
          </cell>
          <cell r="M119">
            <v>3.3055963401477679E-4</v>
          </cell>
          <cell r="N119">
            <v>7.0199105673309295E-2</v>
          </cell>
          <cell r="O119">
            <v>1.7928509905025817E-2</v>
          </cell>
          <cell r="P119">
            <v>1.4987831506547691E-2</v>
          </cell>
          <cell r="Q119">
            <v>1</v>
          </cell>
        </row>
        <row r="120">
          <cell r="A120" t="str">
            <v>F140T</v>
          </cell>
          <cell r="B120" t="str">
            <v>Revenue Requirement Before Rev Credits</v>
          </cell>
          <cell r="C120">
            <v>0</v>
          </cell>
          <cell r="D120">
            <v>0</v>
          </cell>
          <cell r="E120">
            <v>0</v>
          </cell>
          <cell r="F120">
            <v>0.39043297408329014</v>
          </cell>
          <cell r="G120">
            <v>0.28526095235308935</v>
          </cell>
          <cell r="H120">
            <v>7.8847526862270714E-2</v>
          </cell>
          <cell r="I120">
            <v>3.9079249815270546E-6</v>
          </cell>
          <cell r="J120">
            <v>0.14452849346642621</v>
          </cell>
          <cell r="K120">
            <v>1.1647797337605507E-2</v>
          </cell>
          <cell r="L120">
            <v>1.7180144574955938E-4</v>
          </cell>
          <cell r="M120">
            <v>-1.5315512232262305E-5</v>
          </cell>
          <cell r="N120">
            <v>7.386712029248986E-2</v>
          </cell>
          <cell r="O120">
            <v>1.4584590329164732E-2</v>
          </cell>
          <cell r="P120">
            <v>6.7015141672984758E-4</v>
          </cell>
          <cell r="Q120">
            <v>1</v>
          </cell>
        </row>
        <row r="121">
          <cell r="A121" t="str">
            <v>F140D</v>
          </cell>
          <cell r="B121" t="str">
            <v>Revenue Requirement Before Rev Credits</v>
          </cell>
          <cell r="C121">
            <v>0</v>
          </cell>
          <cell r="D121">
            <v>0</v>
          </cell>
          <cell r="E121">
            <v>0</v>
          </cell>
          <cell r="F121">
            <v>0.55722242213930728</v>
          </cell>
          <cell r="G121">
            <v>0.24608021900807533</v>
          </cell>
          <cell r="H121">
            <v>6.7407841653748024E-2</v>
          </cell>
          <cell r="I121">
            <v>2.3895259412495484E-2</v>
          </cell>
          <cell r="J121">
            <v>3.0444120335825328E-3</v>
          </cell>
          <cell r="K121">
            <v>9.6578548832004455E-3</v>
          </cell>
          <cell r="L121">
            <v>5.4045500073625482E-4</v>
          </cell>
          <cell r="M121">
            <v>8.2456000479019006E-4</v>
          </cell>
          <cell r="N121">
            <v>9.0537976780049378E-2</v>
          </cell>
          <cell r="O121">
            <v>3.0321924882916048E-4</v>
          </cell>
          <cell r="P121">
            <v>4.8577983573917474E-4</v>
          </cell>
          <cell r="Q121">
            <v>1</v>
          </cell>
        </row>
        <row r="122">
          <cell r="A122" t="str">
            <v>F140R</v>
          </cell>
          <cell r="B122" t="str">
            <v>Revenue Requirement Before Rev Credits</v>
          </cell>
          <cell r="C122">
            <v>0</v>
          </cell>
          <cell r="D122">
            <v>0</v>
          </cell>
          <cell r="E122">
            <v>0</v>
          </cell>
          <cell r="F122">
            <v>0.90093436065764898</v>
          </cell>
          <cell r="G122">
            <v>2.2747268098712491E-2</v>
          </cell>
          <cell r="H122">
            <v>-4.4885262076517675E-5</v>
          </cell>
          <cell r="I122">
            <v>8.9724069384586914E-3</v>
          </cell>
          <cell r="J122">
            <v>-1.1636847542460036E-2</v>
          </cell>
          <cell r="K122">
            <v>2.788177907165186E-3</v>
          </cell>
          <cell r="L122">
            <v>2.6801690317733609E-3</v>
          </cell>
          <cell r="M122">
            <v>6.2498872709684848E-4</v>
          </cell>
          <cell r="N122">
            <v>8.0115389136673321E-2</v>
          </cell>
          <cell r="O122">
            <v>4.2414454377295599E-5</v>
          </cell>
          <cell r="P122">
            <v>-7.2234421451389929E-3</v>
          </cell>
          <cell r="Q122">
            <v>1</v>
          </cell>
        </row>
        <row r="123">
          <cell r="A123" t="str">
            <v>F140M</v>
          </cell>
          <cell r="B123" t="str">
            <v>Revenue Requirement Before Rev Credits</v>
          </cell>
          <cell r="C123">
            <v>0</v>
          </cell>
          <cell r="D123">
            <v>0</v>
          </cell>
          <cell r="E123">
            <v>0</v>
          </cell>
          <cell r="F123">
            <v>0.44387372107024337</v>
          </cell>
          <cell r="G123">
            <v>0.26590170098928489</v>
          </cell>
          <cell r="H123">
            <v>7.3325781369774454E-2</v>
          </cell>
          <cell r="I123">
            <v>4.5066657708467839E-3</v>
          </cell>
          <cell r="J123">
            <v>0.1059545892441887</v>
          </cell>
          <cell r="K123">
            <v>1.2590811514811659E-2</v>
          </cell>
          <cell r="L123">
            <v>2.5072490787966649E-4</v>
          </cell>
          <cell r="M123">
            <v>2.1504869741075823E-4</v>
          </cell>
          <cell r="N123">
            <v>7.6192052206813882E-2</v>
          </cell>
          <cell r="O123">
            <v>1.1112335229641663E-2</v>
          </cell>
          <cell r="P123">
            <v>6.0765771681317677E-3</v>
          </cell>
          <cell r="Q123">
            <v>1</v>
          </cell>
        </row>
        <row r="124">
          <cell r="A124" t="str">
            <v>F141</v>
          </cell>
          <cell r="B124" t="str">
            <v>Firm Revenues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 t="str">
            <v>F150</v>
          </cell>
          <cell r="B125" t="str">
            <v>Income Before State Taxes</v>
          </cell>
          <cell r="C125">
            <v>0</v>
          </cell>
          <cell r="D125">
            <v>0</v>
          </cell>
          <cell r="E125">
            <v>0</v>
          </cell>
          <cell r="F125">
            <v>-0.62378468077942817</v>
          </cell>
          <cell r="G125">
            <v>0.87156113290443227</v>
          </cell>
          <cell r="H125">
            <v>0.27551272238863345</v>
          </cell>
          <cell r="I125">
            <v>7.7290622538925116E-2</v>
          </cell>
          <cell r="J125">
            <v>0.11852251627945906</v>
          </cell>
          <cell r="K125">
            <v>-0.11136850445034048</v>
          </cell>
          <cell r="L125">
            <v>1.9368078194343889E-3</v>
          </cell>
          <cell r="M125">
            <v>1.3765737080356784E-2</v>
          </cell>
          <cell r="N125">
            <v>0.18442920537369567</v>
          </cell>
          <cell r="O125">
            <v>-1.1267508288143019E-2</v>
          </cell>
          <cell r="P125">
            <v>0.20340195229955582</v>
          </cell>
          <cell r="Q125">
            <v>1</v>
          </cell>
        </row>
        <row r="126">
          <cell r="A126" t="str">
            <v>F150G</v>
          </cell>
          <cell r="B126" t="str">
            <v>Income Before State Taxes</v>
          </cell>
          <cell r="C126">
            <v>0</v>
          </cell>
          <cell r="D126">
            <v>0</v>
          </cell>
          <cell r="E126">
            <v>0</v>
          </cell>
          <cell r="F126">
            <v>1.4431973734517904</v>
          </cell>
          <cell r="G126">
            <v>-0.12504821782396869</v>
          </cell>
          <cell r="H126">
            <v>-7.8330312067078398E-2</v>
          </cell>
          <cell r="I126">
            <v>-7.3731101772718365E-3</v>
          </cell>
          <cell r="J126">
            <v>-7.1415799472255154E-2</v>
          </cell>
          <cell r="K126">
            <v>0.10774198470814723</v>
          </cell>
          <cell r="L126">
            <v>-2.658886421782846E-4</v>
          </cell>
          <cell r="M126">
            <v>-5.5611201338795569E-3</v>
          </cell>
          <cell r="N126">
            <v>8.0495133803098994E-3</v>
          </cell>
          <cell r="O126">
            <v>2.2155500528749587E-2</v>
          </cell>
          <cell r="P126">
            <v>-0.29314992375204713</v>
          </cell>
          <cell r="Q126">
            <v>1</v>
          </cell>
        </row>
        <row r="127">
          <cell r="A127" t="str">
            <v>F150T</v>
          </cell>
          <cell r="B127" t="str">
            <v>Income Before State Taxes</v>
          </cell>
          <cell r="C127">
            <v>0</v>
          </cell>
          <cell r="D127">
            <v>0</v>
          </cell>
          <cell r="E127">
            <v>0</v>
          </cell>
          <cell r="F127">
            <v>-0.14727396764696887</v>
          </cell>
          <cell r="G127">
            <v>0.59203076699786317</v>
          </cell>
          <cell r="H127">
            <v>0.18124473545547759</v>
          </cell>
          <cell r="I127">
            <v>-1.8144374797251365E-3</v>
          </cell>
          <cell r="J127">
            <v>0.27768982437419942</v>
          </cell>
          <cell r="K127">
            <v>-4.4253324735164364E-2</v>
          </cell>
          <cell r="L127">
            <v>3.9647147821358279E-4</v>
          </cell>
          <cell r="M127">
            <v>-6.4405253150881232E-4</v>
          </cell>
          <cell r="N127">
            <v>0.1272551773263017</v>
          </cell>
          <cell r="O127">
            <v>9.9409633501802673E-3</v>
          </cell>
          <cell r="P127">
            <v>5.4278433965836356E-3</v>
          </cell>
          <cell r="Q127">
            <v>1</v>
          </cell>
        </row>
        <row r="128">
          <cell r="A128" t="str">
            <v>F150D</v>
          </cell>
          <cell r="B128" t="str">
            <v>Income Before State Taxes</v>
          </cell>
          <cell r="C128">
            <v>0</v>
          </cell>
          <cell r="D128">
            <v>0</v>
          </cell>
          <cell r="E128">
            <v>0</v>
          </cell>
          <cell r="F128">
            <v>0.33787888796245985</v>
          </cell>
          <cell r="G128">
            <v>0.37072501636059396</v>
          </cell>
          <cell r="H128">
            <v>0.1064519806836757</v>
          </cell>
          <cell r="I128">
            <v>5.3744962246019511E-2</v>
          </cell>
          <cell r="J128">
            <v>7.5370781992769448E-4</v>
          </cell>
          <cell r="K128">
            <v>-7.4615412049179606E-3</v>
          </cell>
          <cell r="L128">
            <v>9.2180332813359453E-4</v>
          </cell>
          <cell r="M128">
            <v>7.3426189170171614E-3</v>
          </cell>
          <cell r="N128">
            <v>0.12685232412687611</v>
          </cell>
          <cell r="O128">
            <v>7.0545345837940787E-5</v>
          </cell>
          <cell r="P128">
            <v>2.7196944153721502E-3</v>
          </cell>
          <cell r="Q128">
            <v>1</v>
          </cell>
        </row>
        <row r="129">
          <cell r="A129" t="str">
            <v>F150R</v>
          </cell>
          <cell r="B129" t="str">
            <v>Income Before State Taxes</v>
          </cell>
          <cell r="C129">
            <v>0</v>
          </cell>
          <cell r="D129">
            <v>0</v>
          </cell>
          <cell r="E129">
            <v>0</v>
          </cell>
          <cell r="F129">
            <v>-0.878383116030792</v>
          </cell>
          <cell r="G129">
            <v>-4.0341158105739105E-3</v>
          </cell>
          <cell r="H129">
            <v>0.15316142995497148</v>
          </cell>
          <cell r="I129">
            <v>-1.8316031940214885E-2</v>
          </cell>
          <cell r="J129">
            <v>0.9294218302799665</v>
          </cell>
          <cell r="K129">
            <v>4.8136458603555412E-3</v>
          </cell>
          <cell r="L129">
            <v>-4.2753035658495619E-3</v>
          </cell>
          <cell r="M129">
            <v>-2.294285436035221E-3</v>
          </cell>
          <cell r="N129">
            <v>0.51899969242132449</v>
          </cell>
          <cell r="O129">
            <v>-1.5908415869520247E-3</v>
          </cell>
          <cell r="P129">
            <v>0.30249709585616585</v>
          </cell>
          <cell r="Q129">
            <v>1</v>
          </cell>
        </row>
        <row r="130">
          <cell r="A130" t="str">
            <v>F150M</v>
          </cell>
          <cell r="B130" t="str">
            <v>Income Before State Taxes</v>
          </cell>
          <cell r="C130">
            <v>0</v>
          </cell>
          <cell r="D130">
            <v>0</v>
          </cell>
          <cell r="E130">
            <v>0</v>
          </cell>
          <cell r="F130">
            <v>0.27812919335440878</v>
          </cell>
          <cell r="G130">
            <v>0.29862814335254739</v>
          </cell>
          <cell r="H130">
            <v>8.9509177364187745E-2</v>
          </cell>
          <cell r="I130">
            <v>9.2883838250759961E-3</v>
          </cell>
          <cell r="J130">
            <v>0.14071456624006423</v>
          </cell>
          <cell r="K130">
            <v>2.071483411995814E-3</v>
          </cell>
          <cell r="L130">
            <v>2.7958201954420784E-4</v>
          </cell>
          <cell r="M130">
            <v>2.183952882608356E-3</v>
          </cell>
          <cell r="N130">
            <v>7.721278791683342E-2</v>
          </cell>
          <cell r="O130">
            <v>1.2157583695747314E-2</v>
          </cell>
          <cell r="P130">
            <v>8.982528094748396E-2</v>
          </cell>
          <cell r="Q130">
            <v>1</v>
          </cell>
        </row>
        <row r="131">
          <cell r="A131" t="str">
            <v>F151</v>
          </cell>
          <cell r="B131" t="str">
            <v>Depreciation Expense</v>
          </cell>
          <cell r="C131">
            <v>0</v>
          </cell>
          <cell r="D131">
            <v>0</v>
          </cell>
          <cell r="E131">
            <v>0</v>
          </cell>
          <cell r="F131">
            <v>0.45874150529193547</v>
          </cell>
          <cell r="G131">
            <v>0.26267993818489555</v>
          </cell>
          <cell r="H131">
            <v>7.166479382806909E-2</v>
          </cell>
          <cell r="I131">
            <v>7.2246952176331534E-3</v>
          </cell>
          <cell r="J131">
            <v>9.9116010085550932E-2</v>
          </cell>
          <cell r="K131">
            <v>1.324378781248541E-2</v>
          </cell>
          <cell r="L131">
            <v>2.5063427576445469E-4</v>
          </cell>
          <cell r="M131">
            <v>7.5006158748425531E-5</v>
          </cell>
          <cell r="N131">
            <v>7.6456865878453448E-2</v>
          </cell>
          <cell r="O131">
            <v>1.0512210608785981E-2</v>
          </cell>
          <cell r="P131">
            <v>3.4552657678002001E-5</v>
          </cell>
          <cell r="Q131">
            <v>1</v>
          </cell>
        </row>
        <row r="132">
          <cell r="A132" t="str">
            <v>F151G</v>
          </cell>
          <cell r="B132" t="str">
            <v>Depreciation Expense</v>
          </cell>
          <cell r="C132">
            <v>0</v>
          </cell>
          <cell r="D132">
            <v>0</v>
          </cell>
          <cell r="E132">
            <v>0</v>
          </cell>
          <cell r="F132">
            <v>0.41211194577153981</v>
          </cell>
          <cell r="G132">
            <v>0.27512733869836026</v>
          </cell>
          <cell r="H132">
            <v>7.5174098159947508E-2</v>
          </cell>
          <cell r="I132">
            <v>2.2104145383660992E-7</v>
          </cell>
          <cell r="J132">
            <v>0.13631737787535972</v>
          </cell>
          <cell r="K132">
            <v>1.3850553557064178E-2</v>
          </cell>
          <cell r="L132">
            <v>1.6328660730660052E-4</v>
          </cell>
          <cell r="M132">
            <v>4.0886557190268748E-8</v>
          </cell>
          <cell r="N132">
            <v>7.2688173685412277E-2</v>
          </cell>
          <cell r="O132">
            <v>1.4565178372933942E-2</v>
          </cell>
          <cell r="P132">
            <v>1.7853440647057346E-6</v>
          </cell>
          <cell r="Q132">
            <v>1</v>
          </cell>
        </row>
        <row r="133">
          <cell r="A133" t="str">
            <v>F151T</v>
          </cell>
          <cell r="B133" t="str">
            <v>Depreciation Expense</v>
          </cell>
          <cell r="C133">
            <v>0</v>
          </cell>
          <cell r="D133">
            <v>0</v>
          </cell>
          <cell r="E133">
            <v>0</v>
          </cell>
          <cell r="F133">
            <v>0.41004683155212651</v>
          </cell>
          <cell r="G133">
            <v>0.27374447051353196</v>
          </cell>
          <cell r="H133">
            <v>7.479520356711214E-2</v>
          </cell>
          <cell r="I133">
            <v>0</v>
          </cell>
          <cell r="J133">
            <v>0.14048597972129503</v>
          </cell>
          <cell r="K133">
            <v>1.3781239051239652E-2</v>
          </cell>
          <cell r="L133">
            <v>1.6246050375107624E-4</v>
          </cell>
          <cell r="M133">
            <v>0</v>
          </cell>
          <cell r="N133">
            <v>7.2323279036999852E-2</v>
          </cell>
          <cell r="O133">
            <v>1.4660536053943534E-2</v>
          </cell>
          <cell r="P133">
            <v>0</v>
          </cell>
          <cell r="Q133">
            <v>1</v>
          </cell>
        </row>
        <row r="134">
          <cell r="A134" t="str">
            <v>F151D</v>
          </cell>
          <cell r="B134" t="str">
            <v>Depreciation Expense</v>
          </cell>
          <cell r="C134">
            <v>0</v>
          </cell>
          <cell r="D134">
            <v>0</v>
          </cell>
          <cell r="E134">
            <v>0</v>
          </cell>
          <cell r="F134">
            <v>0.57553830689490959</v>
          </cell>
          <cell r="G134">
            <v>0.23427908570921102</v>
          </cell>
          <cell r="H134">
            <v>6.368222745354879E-2</v>
          </cell>
          <cell r="I134">
            <v>2.5816628569931114E-2</v>
          </cell>
          <cell r="J134">
            <v>1.6317543075214827E-3</v>
          </cell>
          <cell r="K134">
            <v>1.1835057658932519E-2</v>
          </cell>
          <cell r="L134">
            <v>4.4739911075700444E-4</v>
          </cell>
          <cell r="M134">
            <v>2.6227747019278368E-4</v>
          </cell>
          <cell r="N134">
            <v>8.6266270722669847E-2</v>
          </cell>
          <cell r="O134">
            <v>1.2049605116296587E-4</v>
          </cell>
          <cell r="P134">
            <v>1.2049605116296587E-4</v>
          </cell>
          <cell r="Q134">
            <v>1</v>
          </cell>
        </row>
        <row r="135">
          <cell r="A135" t="str">
            <v>F151R</v>
          </cell>
          <cell r="B135" t="str">
            <v>Depreciation Expense</v>
          </cell>
          <cell r="C135">
            <v>0</v>
          </cell>
          <cell r="D135">
            <v>0</v>
          </cell>
          <cell r="E135">
            <v>0</v>
          </cell>
          <cell r="F135">
            <v>0.8723608413628593</v>
          </cell>
          <cell r="G135">
            <v>1.9466255169731564E-2</v>
          </cell>
          <cell r="H135">
            <v>3.6347779362569317E-4</v>
          </cell>
          <cell r="I135">
            <v>1.0570312778031523E-2</v>
          </cell>
          <cell r="J135">
            <v>1.359252091134305E-3</v>
          </cell>
          <cell r="K135">
            <v>3.5966089510277095E-3</v>
          </cell>
          <cell r="L135">
            <v>2.7624166909894659E-3</v>
          </cell>
          <cell r="M135">
            <v>6.0086464747510977E-4</v>
          </cell>
          <cell r="N135">
            <v>8.89020856191894E-2</v>
          </cell>
          <cell r="O135">
            <v>8.9424479679888485E-6</v>
          </cell>
          <cell r="P135">
            <v>8.9424479679888485E-6</v>
          </cell>
          <cell r="Q135">
            <v>1</v>
          </cell>
        </row>
        <row r="136">
          <cell r="A136" t="str">
            <v>F151M</v>
          </cell>
          <cell r="B136" t="str">
            <v>Depreciation Expense</v>
          </cell>
          <cell r="C136">
            <v>0</v>
          </cell>
          <cell r="D136">
            <v>0</v>
          </cell>
          <cell r="E136">
            <v>0</v>
          </cell>
          <cell r="F136">
            <v>9.0909090909090912E-2</v>
          </cell>
          <cell r="G136">
            <v>9.0909090909090912E-2</v>
          </cell>
          <cell r="H136">
            <v>9.0909090909090912E-2</v>
          </cell>
          <cell r="I136">
            <v>9.0909090909090912E-2</v>
          </cell>
          <cell r="J136">
            <v>9.0909090909090912E-2</v>
          </cell>
          <cell r="K136">
            <v>9.0909090909090912E-2</v>
          </cell>
          <cell r="L136">
            <v>9.0909090909090912E-2</v>
          </cell>
          <cell r="M136">
            <v>9.0909090909090912E-2</v>
          </cell>
          <cell r="N136">
            <v>9.0909090909090912E-2</v>
          </cell>
          <cell r="O136">
            <v>9.0909090909090912E-2</v>
          </cell>
          <cell r="P136">
            <v>9.0909090909090912E-2</v>
          </cell>
          <cell r="Q136">
            <v>1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NPC Factors"/>
      <sheetName val="Revenues"/>
      <sheetName val="TransInvest"/>
      <sheetName val="DistInvest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>
        <row r="6">
          <cell r="C6" t="str">
            <v>12 Months Ended Jun 2012</v>
          </cell>
        </row>
        <row r="10">
          <cell r="D10">
            <v>0.5</v>
          </cell>
        </row>
        <row r="11">
          <cell r="W11">
            <v>3</v>
          </cell>
        </row>
        <row r="24">
          <cell r="D24">
            <v>0.3694468413935218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8">
          <cell r="H58">
            <v>5566045566.0353851</v>
          </cell>
        </row>
      </sheetData>
      <sheetData sheetId="12"/>
      <sheetData sheetId="13"/>
      <sheetData sheetId="14"/>
      <sheetData sheetId="15"/>
      <sheetData sheetId="16"/>
      <sheetData sheetId="17">
        <row r="120">
          <cell r="F120" t="str">
            <v>Mo Wgt Fac</v>
          </cell>
        </row>
      </sheetData>
      <sheetData sheetId="18">
        <row r="4">
          <cell r="I4">
            <v>0.74155389074644962</v>
          </cell>
        </row>
      </sheetData>
      <sheetData sheetId="19">
        <row r="250">
          <cell r="AB250" t="str">
            <v>DIS</v>
          </cell>
        </row>
        <row r="251">
          <cell r="AB251" t="str">
            <v>METER</v>
          </cell>
        </row>
        <row r="259">
          <cell r="AB259">
            <v>0</v>
          </cell>
        </row>
        <row r="260">
          <cell r="AB260">
            <v>0</v>
          </cell>
        </row>
        <row r="264">
          <cell r="H264">
            <v>10911620.343994766</v>
          </cell>
        </row>
        <row r="273">
          <cell r="H273">
            <v>0</v>
          </cell>
          <cell r="AB273">
            <v>0</v>
          </cell>
        </row>
        <row r="274">
          <cell r="AB274">
            <v>0</v>
          </cell>
        </row>
        <row r="280">
          <cell r="AB280">
            <v>0</v>
          </cell>
        </row>
        <row r="283">
          <cell r="AB283">
            <v>0</v>
          </cell>
        </row>
        <row r="284">
          <cell r="AB284">
            <v>0</v>
          </cell>
        </row>
        <row r="289">
          <cell r="AB289">
            <v>0</v>
          </cell>
        </row>
        <row r="290">
          <cell r="AB290">
            <v>241043.67823844633</v>
          </cell>
        </row>
        <row r="291">
          <cell r="H291">
            <v>3577623.4299999997</v>
          </cell>
          <cell r="AB291">
            <v>114961.64623925314</v>
          </cell>
        </row>
        <row r="297">
          <cell r="H297">
            <v>2935273.83</v>
          </cell>
          <cell r="AB297">
            <v>0</v>
          </cell>
        </row>
        <row r="298">
          <cell r="AB298">
            <v>0</v>
          </cell>
        </row>
        <row r="299">
          <cell r="AB299">
            <v>0</v>
          </cell>
        </row>
        <row r="302">
          <cell r="H302">
            <v>3890290.93</v>
          </cell>
          <cell r="AB302">
            <v>0</v>
          </cell>
        </row>
        <row r="303">
          <cell r="AB303">
            <v>0</v>
          </cell>
        </row>
        <row r="304">
          <cell r="AB304">
            <v>0</v>
          </cell>
        </row>
        <row r="309">
          <cell r="AB309">
            <v>0</v>
          </cell>
        </row>
        <row r="312">
          <cell r="H312">
            <v>3182622.92</v>
          </cell>
          <cell r="AB312">
            <v>116597.57917836553</v>
          </cell>
        </row>
        <row r="313">
          <cell r="AB313">
            <v>0</v>
          </cell>
        </row>
        <row r="314">
          <cell r="AB314">
            <v>14809.566820082549</v>
          </cell>
        </row>
        <row r="315">
          <cell r="AB315">
            <v>131407.14599844808</v>
          </cell>
        </row>
        <row r="318">
          <cell r="H318">
            <v>-60653.539999999106</v>
          </cell>
          <cell r="AB318">
            <v>0</v>
          </cell>
        </row>
        <row r="319">
          <cell r="AB319">
            <v>0</v>
          </cell>
        </row>
        <row r="320">
          <cell r="AB320">
            <v>0</v>
          </cell>
        </row>
        <row r="323">
          <cell r="AB323">
            <v>0</v>
          </cell>
        </row>
        <row r="355">
          <cell r="AB355">
            <v>0</v>
          </cell>
        </row>
        <row r="360">
          <cell r="AB360">
            <v>0</v>
          </cell>
        </row>
        <row r="364">
          <cell r="AB364">
            <v>0</v>
          </cell>
        </row>
        <row r="367">
          <cell r="AB367">
            <v>0</v>
          </cell>
        </row>
        <row r="371">
          <cell r="AB371">
            <v>0</v>
          </cell>
        </row>
        <row r="380">
          <cell r="AB380">
            <v>-43135.714868065479</v>
          </cell>
        </row>
        <row r="387">
          <cell r="AB387">
            <v>0</v>
          </cell>
        </row>
        <row r="390">
          <cell r="AB390">
            <v>0</v>
          </cell>
        </row>
        <row r="391">
          <cell r="AB391">
            <v>0</v>
          </cell>
        </row>
        <row r="392">
          <cell r="AB392">
            <v>0</v>
          </cell>
        </row>
        <row r="405">
          <cell r="AB405">
            <v>0</v>
          </cell>
        </row>
        <row r="406">
          <cell r="AB406">
            <v>0</v>
          </cell>
        </row>
        <row r="409">
          <cell r="AB409">
            <v>0</v>
          </cell>
        </row>
        <row r="410">
          <cell r="AB410">
            <v>0</v>
          </cell>
        </row>
        <row r="411">
          <cell r="AB411">
            <v>0</v>
          </cell>
        </row>
        <row r="412">
          <cell r="AB412">
            <v>0</v>
          </cell>
        </row>
        <row r="413">
          <cell r="AB413">
            <v>0</v>
          </cell>
        </row>
        <row r="414">
          <cell r="AB414">
            <v>0</v>
          </cell>
        </row>
        <row r="417">
          <cell r="AB417">
            <v>0</v>
          </cell>
        </row>
        <row r="418">
          <cell r="AB418">
            <v>0</v>
          </cell>
        </row>
        <row r="419">
          <cell r="AB419">
            <v>0</v>
          </cell>
        </row>
        <row r="422">
          <cell r="AB422">
            <v>0</v>
          </cell>
        </row>
        <row r="423">
          <cell r="AB423">
            <v>0</v>
          </cell>
        </row>
        <row r="424">
          <cell r="AB424">
            <v>0</v>
          </cell>
        </row>
        <row r="427">
          <cell r="AB427">
            <v>0</v>
          </cell>
        </row>
        <row r="428">
          <cell r="AB428">
            <v>0</v>
          </cell>
        </row>
        <row r="429">
          <cell r="AB429">
            <v>0</v>
          </cell>
        </row>
        <row r="432">
          <cell r="AB432">
            <v>0</v>
          </cell>
        </row>
        <row r="433">
          <cell r="AB433">
            <v>0</v>
          </cell>
        </row>
        <row r="434">
          <cell r="AB434">
            <v>0</v>
          </cell>
        </row>
        <row r="435">
          <cell r="AB435">
            <v>0</v>
          </cell>
        </row>
        <row r="443">
          <cell r="AB443">
            <v>0</v>
          </cell>
        </row>
        <row r="444">
          <cell r="AB444">
            <v>0</v>
          </cell>
        </row>
        <row r="448">
          <cell r="AB448">
            <v>0</v>
          </cell>
        </row>
        <row r="449">
          <cell r="AB449">
            <v>0</v>
          </cell>
        </row>
        <row r="453">
          <cell r="AB453">
            <v>0</v>
          </cell>
        </row>
        <row r="454">
          <cell r="AB454">
            <v>0</v>
          </cell>
        </row>
        <row r="458">
          <cell r="AB458">
            <v>0</v>
          </cell>
        </row>
        <row r="459">
          <cell r="AB459">
            <v>0</v>
          </cell>
        </row>
        <row r="463">
          <cell r="AB463">
            <v>0</v>
          </cell>
        </row>
        <row r="464">
          <cell r="AB464">
            <v>0</v>
          </cell>
        </row>
        <row r="468">
          <cell r="AB468">
            <v>0</v>
          </cell>
        </row>
        <row r="469">
          <cell r="AB469">
            <v>0</v>
          </cell>
        </row>
        <row r="478">
          <cell r="AB478">
            <v>0</v>
          </cell>
        </row>
        <row r="482">
          <cell r="AB482">
            <v>0</v>
          </cell>
        </row>
        <row r="487">
          <cell r="AB487">
            <v>0</v>
          </cell>
        </row>
        <row r="491">
          <cell r="AB491">
            <v>0</v>
          </cell>
        </row>
        <row r="495">
          <cell r="AB495">
            <v>0</v>
          </cell>
        </row>
        <row r="499">
          <cell r="AB499">
            <v>0</v>
          </cell>
        </row>
        <row r="503">
          <cell r="AB503">
            <v>0</v>
          </cell>
        </row>
        <row r="507">
          <cell r="AB507">
            <v>0</v>
          </cell>
        </row>
        <row r="511">
          <cell r="AB511">
            <v>0</v>
          </cell>
        </row>
        <row r="515">
          <cell r="AB515">
            <v>0</v>
          </cell>
        </row>
        <row r="519">
          <cell r="AB519">
            <v>0</v>
          </cell>
        </row>
        <row r="531">
          <cell r="AB531">
            <v>0</v>
          </cell>
        </row>
        <row r="535">
          <cell r="AB535">
            <v>0</v>
          </cell>
        </row>
        <row r="539">
          <cell r="AB539">
            <v>0</v>
          </cell>
        </row>
        <row r="543">
          <cell r="AB543">
            <v>0</v>
          </cell>
        </row>
        <row r="547">
          <cell r="AB547">
            <v>0</v>
          </cell>
        </row>
        <row r="551">
          <cell r="AB551">
            <v>0</v>
          </cell>
        </row>
        <row r="555">
          <cell r="AB555">
            <v>0</v>
          </cell>
        </row>
        <row r="559">
          <cell r="AB559">
            <v>0</v>
          </cell>
        </row>
        <row r="563">
          <cell r="AB563">
            <v>0</v>
          </cell>
        </row>
        <row r="567">
          <cell r="AB567">
            <v>0</v>
          </cell>
        </row>
        <row r="571">
          <cell r="AB571">
            <v>0</v>
          </cell>
        </row>
        <row r="584">
          <cell r="AB584">
            <v>0</v>
          </cell>
        </row>
        <row r="587">
          <cell r="AB587">
            <v>0</v>
          </cell>
        </row>
        <row r="588">
          <cell r="AB588">
            <v>0</v>
          </cell>
        </row>
        <row r="593">
          <cell r="AB593">
            <v>0</v>
          </cell>
        </row>
        <row r="594">
          <cell r="AB594">
            <v>0</v>
          </cell>
        </row>
        <row r="599">
          <cell r="AB599">
            <v>0</v>
          </cell>
        </row>
        <row r="609">
          <cell r="AB609">
            <v>0</v>
          </cell>
        </row>
        <row r="610">
          <cell r="AB610">
            <v>0</v>
          </cell>
        </row>
        <row r="614">
          <cell r="AB614">
            <v>0</v>
          </cell>
        </row>
        <row r="619">
          <cell r="AB619">
            <v>0</v>
          </cell>
        </row>
        <row r="624">
          <cell r="AB624">
            <v>0</v>
          </cell>
        </row>
        <row r="625">
          <cell r="AB625">
            <v>0</v>
          </cell>
        </row>
        <row r="629">
          <cell r="AB629">
            <v>0</v>
          </cell>
        </row>
        <row r="630">
          <cell r="AB630">
            <v>0</v>
          </cell>
        </row>
        <row r="641">
          <cell r="AB641">
            <v>0</v>
          </cell>
        </row>
        <row r="642">
          <cell r="AB642">
            <v>0</v>
          </cell>
        </row>
        <row r="643">
          <cell r="AB643">
            <v>0</v>
          </cell>
        </row>
        <row r="644">
          <cell r="AB644">
            <v>0</v>
          </cell>
        </row>
        <row r="645">
          <cell r="AB645">
            <v>0</v>
          </cell>
        </row>
        <row r="650">
          <cell r="AB650">
            <v>0</v>
          </cell>
        </row>
        <row r="657">
          <cell r="AB657">
            <v>0</v>
          </cell>
        </row>
        <row r="659">
          <cell r="AB659">
            <v>0</v>
          </cell>
        </row>
        <row r="662">
          <cell r="AB662">
            <v>0</v>
          </cell>
        </row>
        <row r="663">
          <cell r="AB663">
            <v>0</v>
          </cell>
        </row>
        <row r="664">
          <cell r="AB664">
            <v>0</v>
          </cell>
        </row>
        <row r="665">
          <cell r="AB665">
            <v>0</v>
          </cell>
        </row>
        <row r="666">
          <cell r="AB666">
            <v>0</v>
          </cell>
        </row>
        <row r="667">
          <cell r="AB667">
            <v>0</v>
          </cell>
        </row>
        <row r="682">
          <cell r="AB682">
            <v>0</v>
          </cell>
        </row>
        <row r="686">
          <cell r="AB686">
            <v>0</v>
          </cell>
        </row>
        <row r="690">
          <cell r="AB690">
            <v>0</v>
          </cell>
        </row>
        <row r="694">
          <cell r="AB694">
            <v>0</v>
          </cell>
        </row>
        <row r="698">
          <cell r="AB698">
            <v>0</v>
          </cell>
        </row>
        <row r="702">
          <cell r="AB702">
            <v>0</v>
          </cell>
        </row>
        <row r="703">
          <cell r="AB703">
            <v>0</v>
          </cell>
        </row>
        <row r="707">
          <cell r="AB707">
            <v>0</v>
          </cell>
        </row>
        <row r="711">
          <cell r="AB711">
            <v>0</v>
          </cell>
        </row>
        <row r="715">
          <cell r="AB715">
            <v>0</v>
          </cell>
        </row>
        <row r="719">
          <cell r="AB719">
            <v>0</v>
          </cell>
        </row>
        <row r="723">
          <cell r="AB723">
            <v>0</v>
          </cell>
        </row>
        <row r="727">
          <cell r="AB727">
            <v>0</v>
          </cell>
        </row>
        <row r="731">
          <cell r="AB731">
            <v>0</v>
          </cell>
        </row>
        <row r="735">
          <cell r="AB735">
            <v>0</v>
          </cell>
        </row>
        <row r="748">
          <cell r="H748">
            <v>9034335.1104840785</v>
          </cell>
          <cell r="AB748">
            <v>330979.07915794029</v>
          </cell>
        </row>
        <row r="753">
          <cell r="H753">
            <v>6827623.173287319</v>
          </cell>
          <cell r="AB753">
            <v>0</v>
          </cell>
        </row>
        <row r="758">
          <cell r="H758">
            <v>1911902.8294529617</v>
          </cell>
          <cell r="AB758">
            <v>0</v>
          </cell>
        </row>
        <row r="763">
          <cell r="H763">
            <v>1616348.0755915414</v>
          </cell>
          <cell r="AB763">
            <v>0</v>
          </cell>
        </row>
        <row r="768">
          <cell r="H768">
            <v>49.504394141145141</v>
          </cell>
          <cell r="AB768">
            <v>0</v>
          </cell>
        </row>
        <row r="773">
          <cell r="H773">
            <v>104250.16590039269</v>
          </cell>
          <cell r="AB773">
            <v>104250.16590039269</v>
          </cell>
        </row>
        <row r="778">
          <cell r="H778">
            <v>1968077.1591296275</v>
          </cell>
          <cell r="AB778">
            <v>1968077.1591296275</v>
          </cell>
        </row>
        <row r="783">
          <cell r="H783">
            <v>5506349.2060341947</v>
          </cell>
          <cell r="AB783">
            <v>0</v>
          </cell>
        </row>
        <row r="788">
          <cell r="H788">
            <v>3597851.0312700737</v>
          </cell>
          <cell r="AB788">
            <v>0</v>
          </cell>
        </row>
        <row r="793">
          <cell r="H793">
            <v>559226.23933255568</v>
          </cell>
          <cell r="AB793">
            <v>0</v>
          </cell>
        </row>
        <row r="798">
          <cell r="H798">
            <v>3241717.7722080662</v>
          </cell>
          <cell r="AB798">
            <v>118762.55972509139</v>
          </cell>
        </row>
        <row r="803">
          <cell r="H803">
            <v>760677.68611824024</v>
          </cell>
          <cell r="AB803">
            <v>0</v>
          </cell>
        </row>
        <row r="808">
          <cell r="H808">
            <v>4778049.5305086197</v>
          </cell>
          <cell r="AB808">
            <v>0</v>
          </cell>
        </row>
        <row r="813">
          <cell r="H813">
            <v>38917701.291922048</v>
          </cell>
          <cell r="AB813">
            <v>0</v>
          </cell>
        </row>
        <row r="818">
          <cell r="H818">
            <v>12708363.178767273</v>
          </cell>
          <cell r="AB818">
            <v>0</v>
          </cell>
        </row>
        <row r="823">
          <cell r="H823">
            <v>494541.03724424943</v>
          </cell>
          <cell r="AB823">
            <v>0</v>
          </cell>
        </row>
        <row r="833">
          <cell r="H833">
            <v>2281006.8170035193</v>
          </cell>
          <cell r="AB833">
            <v>0</v>
          </cell>
        </row>
        <row r="838">
          <cell r="H838">
            <v>2760377.9114741907</v>
          </cell>
          <cell r="AB838">
            <v>2760377.9114741907</v>
          </cell>
        </row>
        <row r="843">
          <cell r="H843">
            <v>1486844.1560219452</v>
          </cell>
          <cell r="AB843">
            <v>0</v>
          </cell>
        </row>
        <row r="855">
          <cell r="AB855">
            <v>0</v>
          </cell>
        </row>
        <row r="860">
          <cell r="AB860">
            <v>0</v>
          </cell>
        </row>
        <row r="865">
          <cell r="AB865">
            <v>0</v>
          </cell>
        </row>
        <row r="871">
          <cell r="AB871">
            <v>0</v>
          </cell>
        </row>
        <row r="876">
          <cell r="AB876">
            <v>0</v>
          </cell>
        </row>
        <row r="890">
          <cell r="AB890">
            <v>0</v>
          </cell>
        </row>
        <row r="895">
          <cell r="AB895">
            <v>0</v>
          </cell>
        </row>
        <row r="900">
          <cell r="AB900">
            <v>0</v>
          </cell>
        </row>
        <row r="905">
          <cell r="AB905">
            <v>0</v>
          </cell>
        </row>
        <row r="916">
          <cell r="AB916">
            <v>0</v>
          </cell>
        </row>
        <row r="921">
          <cell r="AB921">
            <v>0</v>
          </cell>
        </row>
        <row r="926">
          <cell r="AB926">
            <v>0</v>
          </cell>
        </row>
        <row r="931">
          <cell r="AB931">
            <v>0</v>
          </cell>
        </row>
        <row r="940">
          <cell r="AB940">
            <v>0</v>
          </cell>
        </row>
        <row r="942">
          <cell r="AB942">
            <v>320126.54926868004</v>
          </cell>
        </row>
        <row r="946">
          <cell r="AB946">
            <v>0</v>
          </cell>
        </row>
        <row r="948">
          <cell r="AB948">
            <v>-84964.595736086674</v>
          </cell>
        </row>
        <row r="952">
          <cell r="AB952">
            <v>0</v>
          </cell>
        </row>
        <row r="954">
          <cell r="AB954">
            <v>51119.30630128437</v>
          </cell>
        </row>
        <row r="958">
          <cell r="AB958">
            <v>0</v>
          </cell>
        </row>
        <row r="959">
          <cell r="AB959">
            <v>57336.339925998895</v>
          </cell>
        </row>
        <row r="963">
          <cell r="AB963">
            <v>40583.821637839552</v>
          </cell>
        </row>
        <row r="969">
          <cell r="AB969">
            <v>0</v>
          </cell>
        </row>
        <row r="974">
          <cell r="AB974">
            <v>0</v>
          </cell>
        </row>
        <row r="981">
          <cell r="AB981">
            <v>0</v>
          </cell>
        </row>
        <row r="983">
          <cell r="H983">
            <v>0</v>
          </cell>
          <cell r="AB983">
            <v>0</v>
          </cell>
        </row>
        <row r="988">
          <cell r="AB988">
            <v>-46760.715808708104</v>
          </cell>
        </row>
        <row r="991">
          <cell r="AB991">
            <v>15642.613310406578</v>
          </cell>
        </row>
        <row r="992">
          <cell r="AB992">
            <v>0</v>
          </cell>
        </row>
        <row r="993">
          <cell r="AB993">
            <v>149468.26384999367</v>
          </cell>
        </row>
        <row r="999">
          <cell r="AB999">
            <v>23753.677211923161</v>
          </cell>
        </row>
        <row r="1005">
          <cell r="AB1005">
            <v>157378.40036011403</v>
          </cell>
        </row>
        <row r="1016">
          <cell r="AB1016">
            <v>0</v>
          </cell>
        </row>
        <row r="1017">
          <cell r="AB1017">
            <v>0</v>
          </cell>
        </row>
        <row r="1018">
          <cell r="AB1018">
            <v>0</v>
          </cell>
        </row>
        <row r="1019">
          <cell r="AB1019">
            <v>0</v>
          </cell>
        </row>
        <row r="1024">
          <cell r="AB1024">
            <v>0</v>
          </cell>
        </row>
        <row r="1029">
          <cell r="AB1029">
            <v>0</v>
          </cell>
        </row>
        <row r="1034">
          <cell r="AB1034">
            <v>0</v>
          </cell>
        </row>
        <row r="1035">
          <cell r="AB1035">
            <v>0</v>
          </cell>
        </row>
        <row r="1036">
          <cell r="AB1036">
            <v>0</v>
          </cell>
        </row>
        <row r="1042">
          <cell r="AB1042">
            <v>0</v>
          </cell>
        </row>
        <row r="1045">
          <cell r="AB1045">
            <v>0</v>
          </cell>
        </row>
        <row r="1046">
          <cell r="AB1046">
            <v>0</v>
          </cell>
        </row>
        <row r="1047">
          <cell r="AB1047">
            <v>0</v>
          </cell>
        </row>
        <row r="1048">
          <cell r="AB1048">
            <v>0</v>
          </cell>
        </row>
        <row r="1049">
          <cell r="AB1049">
            <v>0</v>
          </cell>
        </row>
        <row r="1050">
          <cell r="AB1050">
            <v>0</v>
          </cell>
        </row>
        <row r="1051">
          <cell r="AB1051">
            <v>0</v>
          </cell>
        </row>
        <row r="1052">
          <cell r="AB1052">
            <v>0</v>
          </cell>
        </row>
        <row r="1053">
          <cell r="AB1053">
            <v>0</v>
          </cell>
        </row>
        <row r="1054">
          <cell r="AB1054">
            <v>2736928.3052617074</v>
          </cell>
        </row>
        <row r="1055">
          <cell r="AB1055">
            <v>0</v>
          </cell>
        </row>
        <row r="1056">
          <cell r="AB1056">
            <v>0</v>
          </cell>
        </row>
        <row r="1057">
          <cell r="AB1057">
            <v>0</v>
          </cell>
        </row>
        <row r="1061">
          <cell r="AB1061">
            <v>101840.53099260862</v>
          </cell>
        </row>
        <row r="1062">
          <cell r="AB1062">
            <v>0</v>
          </cell>
        </row>
        <row r="1063">
          <cell r="AB1063">
            <v>0</v>
          </cell>
        </row>
        <row r="1064">
          <cell r="AB1064">
            <v>0</v>
          </cell>
        </row>
        <row r="1065">
          <cell r="AB1065">
            <v>0</v>
          </cell>
        </row>
        <row r="1066">
          <cell r="AB1066">
            <v>0</v>
          </cell>
        </row>
        <row r="1067">
          <cell r="AB1067">
            <v>57914.307696588898</v>
          </cell>
        </row>
        <row r="1068">
          <cell r="AB1068">
            <v>0</v>
          </cell>
        </row>
        <row r="1069">
          <cell r="AB1069">
            <v>0</v>
          </cell>
        </row>
        <row r="1070">
          <cell r="AB1070">
            <v>0</v>
          </cell>
        </row>
        <row r="1075">
          <cell r="AB1075">
            <v>0</v>
          </cell>
        </row>
        <row r="1079">
          <cell r="AB1079">
            <v>0</v>
          </cell>
        </row>
        <row r="1084">
          <cell r="AB1084">
            <v>0</v>
          </cell>
        </row>
        <row r="1095">
          <cell r="AB1095">
            <v>4747.5458265600755</v>
          </cell>
        </row>
        <row r="1097">
          <cell r="AB1097">
            <v>0</v>
          </cell>
        </row>
        <row r="1099">
          <cell r="AB1099">
            <v>4761.8336166948075</v>
          </cell>
        </row>
        <row r="1104">
          <cell r="AB1104">
            <v>0</v>
          </cell>
        </row>
        <row r="1107">
          <cell r="AB1107">
            <v>259.16640272207434</v>
          </cell>
        </row>
        <row r="1108">
          <cell r="AB1108">
            <v>0</v>
          </cell>
        </row>
        <row r="1109">
          <cell r="AB1109">
            <v>0</v>
          </cell>
        </row>
        <row r="1110">
          <cell r="AB1110">
            <v>78838.316022503132</v>
          </cell>
        </row>
        <row r="1111">
          <cell r="AB1111">
            <v>0</v>
          </cell>
        </row>
        <row r="1112">
          <cell r="AB1112">
            <v>0</v>
          </cell>
        </row>
        <row r="1113">
          <cell r="AB1113">
            <v>0</v>
          </cell>
        </row>
        <row r="1114">
          <cell r="AB1114">
            <v>0</v>
          </cell>
        </row>
        <row r="1115">
          <cell r="AB1115">
            <v>0</v>
          </cell>
        </row>
        <row r="1120">
          <cell r="AB1120">
            <v>0</v>
          </cell>
        </row>
        <row r="1126">
          <cell r="AB1126">
            <v>0</v>
          </cell>
        </row>
        <row r="1134">
          <cell r="AB1134">
            <v>0</v>
          </cell>
        </row>
        <row r="1142">
          <cell r="AB1142">
            <v>0</v>
          </cell>
        </row>
        <row r="1151">
          <cell r="AB1151">
            <v>0</v>
          </cell>
        </row>
        <row r="1162">
          <cell r="AB1162">
            <v>0</v>
          </cell>
        </row>
        <row r="1170">
          <cell r="AB1170">
            <v>546414.08506271814</v>
          </cell>
        </row>
        <row r="1181">
          <cell r="AB1181">
            <v>-15515.016818158245</v>
          </cell>
        </row>
        <row r="1186">
          <cell r="AB1186">
            <v>0</v>
          </cell>
        </row>
        <row r="1223">
          <cell r="AB1223">
            <v>-180055.71154094639</v>
          </cell>
        </row>
        <row r="1248">
          <cell r="AB1248">
            <v>2382976.3439226565</v>
          </cell>
        </row>
        <row r="1263">
          <cell r="AB1263">
            <v>0</v>
          </cell>
        </row>
        <row r="1282">
          <cell r="AB1282">
            <v>-1579965.9680125797</v>
          </cell>
        </row>
        <row r="1297">
          <cell r="AB1297">
            <v>0</v>
          </cell>
        </row>
        <row r="1302">
          <cell r="AB1302">
            <v>0</v>
          </cell>
        </row>
        <row r="1303">
          <cell r="AB1303">
            <v>0</v>
          </cell>
        </row>
        <row r="1304">
          <cell r="AB1304">
            <v>0</v>
          </cell>
        </row>
        <row r="1305">
          <cell r="AB1305">
            <v>0</v>
          </cell>
        </row>
        <row r="1306">
          <cell r="AB1306">
            <v>0</v>
          </cell>
        </row>
        <row r="1307">
          <cell r="AB1307">
            <v>0</v>
          </cell>
        </row>
        <row r="1311">
          <cell r="AB1311">
            <v>0</v>
          </cell>
        </row>
        <row r="1312">
          <cell r="AB1312">
            <v>0</v>
          </cell>
        </row>
        <row r="1313">
          <cell r="AB1313">
            <v>0</v>
          </cell>
        </row>
        <row r="1314">
          <cell r="AB1314">
            <v>92761.03722545864</v>
          </cell>
        </row>
        <row r="1315">
          <cell r="AB1315">
            <v>0</v>
          </cell>
        </row>
        <row r="1316">
          <cell r="AB1316">
            <v>-1239.72733780155</v>
          </cell>
        </row>
        <row r="1320">
          <cell r="AB1320">
            <v>2404.104417848755</v>
          </cell>
        </row>
        <row r="1321">
          <cell r="AB1321">
            <v>0</v>
          </cell>
        </row>
        <row r="1322">
          <cell r="AB1322">
            <v>1182928.2815038655</v>
          </cell>
        </row>
        <row r="1323">
          <cell r="AB1323">
            <v>489519.39390886907</v>
          </cell>
        </row>
        <row r="1324">
          <cell r="AB1324">
            <v>0</v>
          </cell>
        </row>
        <row r="1325">
          <cell r="AB1325">
            <v>0</v>
          </cell>
        </row>
        <row r="1326">
          <cell r="AB1326">
            <v>0</v>
          </cell>
        </row>
        <row r="1327">
          <cell r="AB1327">
            <v>0</v>
          </cell>
        </row>
        <row r="1328">
          <cell r="AB1328">
            <v>0</v>
          </cell>
        </row>
        <row r="1329">
          <cell r="AB1329">
            <v>96277.421264647564</v>
          </cell>
        </row>
        <row r="1330">
          <cell r="AB1330">
            <v>0</v>
          </cell>
        </row>
        <row r="1331">
          <cell r="AB1331">
            <v>0</v>
          </cell>
        </row>
        <row r="1332">
          <cell r="AB1332">
            <v>0</v>
          </cell>
        </row>
        <row r="1333">
          <cell r="AB1333">
            <v>3126038.4599523568</v>
          </cell>
        </row>
        <row r="1339">
          <cell r="AB1339">
            <v>0</v>
          </cell>
        </row>
        <row r="1340">
          <cell r="AB1340">
            <v>0</v>
          </cell>
        </row>
        <row r="1341">
          <cell r="AB1341">
            <v>0</v>
          </cell>
        </row>
        <row r="1344">
          <cell r="AB1344">
            <v>0</v>
          </cell>
        </row>
        <row r="1345">
          <cell r="AB1345">
            <v>0</v>
          </cell>
        </row>
        <row r="1346">
          <cell r="AB1346">
            <v>3205.8019896304322</v>
          </cell>
        </row>
        <row r="1347">
          <cell r="AB1347">
            <v>0</v>
          </cell>
        </row>
        <row r="1348">
          <cell r="AB1348">
            <v>0</v>
          </cell>
        </row>
        <row r="1349">
          <cell r="AB1349">
            <v>87892.998035928351</v>
          </cell>
        </row>
        <row r="1353">
          <cell r="AB1353">
            <v>48201.91943210701</v>
          </cell>
        </row>
        <row r="1354">
          <cell r="AB1354">
            <v>0</v>
          </cell>
        </row>
        <row r="1355">
          <cell r="AB1355">
            <v>574745.18040971807</v>
          </cell>
        </row>
        <row r="1356">
          <cell r="AB1356">
            <v>0</v>
          </cell>
        </row>
        <row r="1357">
          <cell r="AB1357">
            <v>0</v>
          </cell>
        </row>
        <row r="1358">
          <cell r="AB1358">
            <v>0</v>
          </cell>
        </row>
        <row r="1359">
          <cell r="AB1359">
            <v>0</v>
          </cell>
        </row>
        <row r="1360">
          <cell r="AB1360">
            <v>2310.6571155258148</v>
          </cell>
        </row>
        <row r="1361">
          <cell r="AB1361">
            <v>194966.73276667667</v>
          </cell>
        </row>
        <row r="1362">
          <cell r="AB1362">
            <v>15927.448036904676</v>
          </cell>
        </row>
        <row r="1363">
          <cell r="AB1363">
            <v>10890878.152360747</v>
          </cell>
        </row>
        <row r="1364">
          <cell r="AB1364">
            <v>0</v>
          </cell>
        </row>
        <row r="1376">
          <cell r="AB1376">
            <v>64234.509334369584</v>
          </cell>
        </row>
        <row r="1378">
          <cell r="AB1378">
            <v>0</v>
          </cell>
        </row>
        <row r="1401">
          <cell r="AB1401">
            <v>-6829439.919211993</v>
          </cell>
        </row>
        <row r="1405">
          <cell r="AB1405">
            <v>64234.509334369468</v>
          </cell>
        </row>
        <row r="1415">
          <cell r="AB1415">
            <v>0</v>
          </cell>
        </row>
        <row r="1422">
          <cell r="H1422">
            <v>-78653432.161962554</v>
          </cell>
          <cell r="AB1422">
            <v>472717.883561811</v>
          </cell>
        </row>
        <row r="1440">
          <cell r="AB1440">
            <v>0</v>
          </cell>
        </row>
        <row r="1441">
          <cell r="AB1441">
            <v>0</v>
          </cell>
        </row>
        <row r="1447">
          <cell r="AB1447">
            <v>0</v>
          </cell>
        </row>
        <row r="1448">
          <cell r="AB1448">
            <v>0</v>
          </cell>
        </row>
        <row r="1454">
          <cell r="AB1454">
            <v>0</v>
          </cell>
        </row>
        <row r="1455">
          <cell r="AB1455">
            <v>0</v>
          </cell>
        </row>
        <row r="1461">
          <cell r="AB1461">
            <v>0</v>
          </cell>
        </row>
        <row r="1462">
          <cell r="AB1462">
            <v>0</v>
          </cell>
        </row>
        <row r="1468">
          <cell r="AB1468">
            <v>0</v>
          </cell>
        </row>
        <row r="1469">
          <cell r="AB1469">
            <v>0</v>
          </cell>
        </row>
        <row r="1475">
          <cell r="AB1475">
            <v>0</v>
          </cell>
        </row>
        <row r="1476">
          <cell r="AB1476">
            <v>0</v>
          </cell>
        </row>
        <row r="1481">
          <cell r="AB1481">
            <v>0</v>
          </cell>
        </row>
        <row r="1492">
          <cell r="AB1492">
            <v>0</v>
          </cell>
        </row>
        <row r="1497">
          <cell r="AB1497">
            <v>0</v>
          </cell>
        </row>
        <row r="1502">
          <cell r="AB1502">
            <v>0</v>
          </cell>
        </row>
        <row r="1507">
          <cell r="AB1507">
            <v>0</v>
          </cell>
        </row>
        <row r="1512">
          <cell r="AB1512">
            <v>0</v>
          </cell>
        </row>
        <row r="1517">
          <cell r="AB1517">
            <v>0</v>
          </cell>
        </row>
        <row r="1522">
          <cell r="AB1522">
            <v>0</v>
          </cell>
        </row>
        <row r="1535">
          <cell r="AB1535">
            <v>0</v>
          </cell>
        </row>
        <row r="1541">
          <cell r="AB1541">
            <v>0</v>
          </cell>
        </row>
        <row r="1547">
          <cell r="AB1547">
            <v>0</v>
          </cell>
        </row>
        <row r="1553">
          <cell r="AB1553">
            <v>0</v>
          </cell>
        </row>
        <row r="1559">
          <cell r="AB1559">
            <v>0</v>
          </cell>
        </row>
        <row r="1565">
          <cell r="AB1565">
            <v>0</v>
          </cell>
        </row>
        <row r="1571">
          <cell r="AB1571">
            <v>0</v>
          </cell>
        </row>
        <row r="1578">
          <cell r="AB1578">
            <v>0</v>
          </cell>
        </row>
        <row r="1600">
          <cell r="AB1600">
            <v>0</v>
          </cell>
        </row>
        <row r="1604">
          <cell r="AB1604">
            <v>0</v>
          </cell>
        </row>
        <row r="1605">
          <cell r="AB1605">
            <v>0</v>
          </cell>
        </row>
        <row r="1609">
          <cell r="AB1609">
            <v>0</v>
          </cell>
        </row>
        <row r="1610">
          <cell r="AB1610">
            <v>0</v>
          </cell>
        </row>
        <row r="1616">
          <cell r="AB1616">
            <v>0</v>
          </cell>
        </row>
        <row r="1617">
          <cell r="AB1617">
            <v>0</v>
          </cell>
        </row>
        <row r="1622">
          <cell r="AB1622">
            <v>0</v>
          </cell>
        </row>
        <row r="1623">
          <cell r="AB1623">
            <v>0</v>
          </cell>
        </row>
        <row r="1627">
          <cell r="AB1627">
            <v>0</v>
          </cell>
        </row>
        <row r="1628">
          <cell r="AB1628">
            <v>0</v>
          </cell>
        </row>
        <row r="1633">
          <cell r="AB1633">
            <v>0</v>
          </cell>
        </row>
        <row r="1638">
          <cell r="AB1638">
            <v>0</v>
          </cell>
        </row>
        <row r="1645">
          <cell r="AB1645">
            <v>0</v>
          </cell>
        </row>
        <row r="1660">
          <cell r="H1660">
            <v>46670213.579049021</v>
          </cell>
          <cell r="AB1660">
            <v>0</v>
          </cell>
        </row>
        <row r="1667">
          <cell r="H1667">
            <v>37071655.374845229</v>
          </cell>
          <cell r="AB1667">
            <v>0</v>
          </cell>
        </row>
        <row r="1673">
          <cell r="H1673">
            <v>561285590.76876986</v>
          </cell>
          <cell r="AB1673">
            <v>0</v>
          </cell>
        </row>
        <row r="1679">
          <cell r="H1679">
            <v>227151660.05616897</v>
          </cell>
          <cell r="AB1679">
            <v>0</v>
          </cell>
        </row>
        <row r="1685">
          <cell r="H1685">
            <v>751041020.61732423</v>
          </cell>
          <cell r="AB1685">
            <v>0</v>
          </cell>
        </row>
        <row r="1691">
          <cell r="H1691">
            <v>325115627.01884234</v>
          </cell>
          <cell r="AB1691">
            <v>0</v>
          </cell>
        </row>
        <row r="1697">
          <cell r="H1697">
            <v>1403362.2646082304</v>
          </cell>
          <cell r="AB1697">
            <v>0</v>
          </cell>
        </row>
        <row r="1703">
          <cell r="H1703">
            <v>3259173.98567193</v>
          </cell>
          <cell r="AB1703">
            <v>0</v>
          </cell>
        </row>
        <row r="1709">
          <cell r="H1709">
            <v>4980029.5959774898</v>
          </cell>
          <cell r="AB1709">
            <v>0</v>
          </cell>
        </row>
        <row r="1713">
          <cell r="AB1713">
            <v>0</v>
          </cell>
        </row>
        <row r="1717">
          <cell r="H1717">
            <v>0</v>
          </cell>
        </row>
        <row r="1729">
          <cell r="H1729">
            <v>32196842.689616952</v>
          </cell>
          <cell r="AB1729">
            <v>0</v>
          </cell>
        </row>
        <row r="1735">
          <cell r="H1735">
            <v>36516908.346329331</v>
          </cell>
          <cell r="AB1735">
            <v>0</v>
          </cell>
        </row>
        <row r="1741">
          <cell r="H1741">
            <v>415747890.56570876</v>
          </cell>
          <cell r="AB1741">
            <v>0</v>
          </cell>
        </row>
        <row r="1748">
          <cell r="H1748">
            <v>318413723.69013411</v>
          </cell>
        </row>
        <row r="1755">
          <cell r="H1755">
            <v>216610706.02967823</v>
          </cell>
        </row>
        <row r="1762">
          <cell r="H1762">
            <v>165085242.94686636</v>
          </cell>
        </row>
        <row r="1769">
          <cell r="H1769">
            <v>464330231.88776994</v>
          </cell>
        </row>
        <row r="1775">
          <cell r="H1775">
            <v>422443903.56040674</v>
          </cell>
          <cell r="AB1775">
            <v>0</v>
          </cell>
        </row>
        <row r="1782">
          <cell r="H1782">
            <v>222755706.53285047</v>
          </cell>
          <cell r="AB1782">
            <v>0</v>
          </cell>
        </row>
        <row r="1793">
          <cell r="H1793">
            <v>85840275.471519634</v>
          </cell>
          <cell r="AB1793">
            <v>85840275.471519634</v>
          </cell>
        </row>
        <row r="1800">
          <cell r="H1800">
            <v>4762733.7057517059</v>
          </cell>
        </row>
        <row r="1804">
          <cell r="H1804">
            <v>0</v>
          </cell>
          <cell r="AB1804">
            <v>0</v>
          </cell>
        </row>
        <row r="1805">
          <cell r="H1805">
            <v>0</v>
          </cell>
          <cell r="AB1805">
            <v>0</v>
          </cell>
        </row>
        <row r="1806">
          <cell r="H1806">
            <v>0</v>
          </cell>
          <cell r="AB1806">
            <v>0</v>
          </cell>
        </row>
        <row r="1807">
          <cell r="H1807">
            <v>0</v>
          </cell>
        </row>
        <row r="1813">
          <cell r="H1813">
            <v>27087633.197658978</v>
          </cell>
          <cell r="AB1813">
            <v>0</v>
          </cell>
        </row>
        <row r="1817">
          <cell r="AB1817">
            <v>0</v>
          </cell>
        </row>
        <row r="1821">
          <cell r="AB1821">
            <v>0</v>
          </cell>
        </row>
        <row r="1830">
          <cell r="AB1830">
            <v>110007.65473874166</v>
          </cell>
        </row>
        <row r="1831">
          <cell r="AB1831">
            <v>0</v>
          </cell>
        </row>
        <row r="1832">
          <cell r="AB1832">
            <v>0</v>
          </cell>
        </row>
        <row r="1833">
          <cell r="AB1833">
            <v>0</v>
          </cell>
        </row>
        <row r="1834">
          <cell r="AB1834">
            <v>23937.92290738723</v>
          </cell>
        </row>
        <row r="1838">
          <cell r="AB1838">
            <v>1005495.4006594135</v>
          </cell>
        </row>
        <row r="1839">
          <cell r="AB1839">
            <v>0</v>
          </cell>
        </row>
        <row r="1840">
          <cell r="AB1840">
            <v>0</v>
          </cell>
        </row>
        <row r="1841">
          <cell r="AB1841">
            <v>0</v>
          </cell>
        </row>
        <row r="1842">
          <cell r="AB1842">
            <v>0</v>
          </cell>
        </row>
        <row r="1843">
          <cell r="AB1843">
            <v>436761.44252446422</v>
          </cell>
        </row>
        <row r="1848">
          <cell r="AB1848">
            <v>78712.935968676902</v>
          </cell>
        </row>
        <row r="1849">
          <cell r="AB1849">
            <v>0</v>
          </cell>
        </row>
        <row r="1850">
          <cell r="AB1850">
            <v>0</v>
          </cell>
        </row>
        <row r="1851">
          <cell r="AB1851">
            <v>0</v>
          </cell>
        </row>
        <row r="1852">
          <cell r="AB1852">
            <v>0</v>
          </cell>
        </row>
        <row r="1853">
          <cell r="AB1853">
            <v>0</v>
          </cell>
        </row>
        <row r="1854">
          <cell r="AB1854">
            <v>237752.99784401749</v>
          </cell>
        </row>
        <row r="1855">
          <cell r="AB1855">
            <v>0</v>
          </cell>
        </row>
        <row r="1856">
          <cell r="AB1856">
            <v>0</v>
          </cell>
        </row>
        <row r="1860">
          <cell r="AB1860">
            <v>869911.56289544143</v>
          </cell>
        </row>
        <row r="1861">
          <cell r="AB1861">
            <v>34362.239105945606</v>
          </cell>
        </row>
        <row r="1862">
          <cell r="AB1862">
            <v>0</v>
          </cell>
        </row>
        <row r="1863">
          <cell r="AB1863">
            <v>0</v>
          </cell>
        </row>
        <row r="1864">
          <cell r="AB1864">
            <v>0</v>
          </cell>
        </row>
        <row r="1865">
          <cell r="AB1865">
            <v>0</v>
          </cell>
        </row>
        <row r="1866">
          <cell r="AB1866">
            <v>0</v>
          </cell>
        </row>
        <row r="1867">
          <cell r="AB1867">
            <v>0</v>
          </cell>
        </row>
        <row r="1868">
          <cell r="AB1868">
            <v>0</v>
          </cell>
        </row>
        <row r="1872">
          <cell r="AB1872">
            <v>99960.228083131791</v>
          </cell>
        </row>
        <row r="1873">
          <cell r="AB1873">
            <v>0</v>
          </cell>
        </row>
        <row r="1874">
          <cell r="AB1874">
            <v>0</v>
          </cell>
        </row>
        <row r="1875">
          <cell r="AB1875">
            <v>1551.8929269263908</v>
          </cell>
        </row>
        <row r="1876">
          <cell r="AB1876">
            <v>0</v>
          </cell>
        </row>
        <row r="1877">
          <cell r="AB1877">
            <v>0</v>
          </cell>
        </row>
        <row r="1881">
          <cell r="AB1881">
            <v>329938.54988456774</v>
          </cell>
        </row>
        <row r="1882">
          <cell r="AB1882">
            <v>0</v>
          </cell>
        </row>
        <row r="1883">
          <cell r="AB1883">
            <v>0</v>
          </cell>
        </row>
        <row r="1884">
          <cell r="AB1884">
            <v>16949.737560484129</v>
          </cell>
        </row>
        <row r="1885">
          <cell r="AB1885">
            <v>0</v>
          </cell>
        </row>
        <row r="1886">
          <cell r="AB1886">
            <v>0</v>
          </cell>
        </row>
        <row r="1887">
          <cell r="AB1887">
            <v>0</v>
          </cell>
        </row>
        <row r="1888">
          <cell r="AB1888">
            <v>0</v>
          </cell>
        </row>
        <row r="1892">
          <cell r="AB1892">
            <v>197730.81918243528</v>
          </cell>
        </row>
        <row r="1893">
          <cell r="AB1893">
            <v>0</v>
          </cell>
        </row>
        <row r="1894">
          <cell r="AB1894">
            <v>0</v>
          </cell>
        </row>
        <row r="1895">
          <cell r="AB1895">
            <v>21780.394343186828</v>
          </cell>
        </row>
        <row r="1896">
          <cell r="AB1896">
            <v>0</v>
          </cell>
        </row>
        <row r="1897">
          <cell r="AB1897">
            <v>0</v>
          </cell>
        </row>
        <row r="1898">
          <cell r="AB1898">
            <v>0</v>
          </cell>
        </row>
        <row r="1899">
          <cell r="AB1899">
            <v>0</v>
          </cell>
        </row>
        <row r="1903">
          <cell r="AB1903">
            <v>966638.32561087958</v>
          </cell>
        </row>
        <row r="1904">
          <cell r="AB1904">
            <v>0</v>
          </cell>
        </row>
        <row r="1905">
          <cell r="AB1905">
            <v>0</v>
          </cell>
        </row>
        <row r="1906">
          <cell r="AB1906">
            <v>6042.8223424323396</v>
          </cell>
        </row>
        <row r="1907">
          <cell r="AB1907">
            <v>0</v>
          </cell>
        </row>
        <row r="1908">
          <cell r="AB1908">
            <v>0</v>
          </cell>
        </row>
        <row r="1909">
          <cell r="AB1909">
            <v>0</v>
          </cell>
        </row>
        <row r="1910">
          <cell r="AB1910">
            <v>0</v>
          </cell>
        </row>
        <row r="1917">
          <cell r="AB1917">
            <v>1032259.2429845872</v>
          </cell>
        </row>
        <row r="1918">
          <cell r="AB1918">
            <v>0</v>
          </cell>
        </row>
        <row r="1919">
          <cell r="AB1919">
            <v>0</v>
          </cell>
        </row>
        <row r="1920">
          <cell r="AB1920">
            <v>190498.71565412349</v>
          </cell>
        </row>
        <row r="1921">
          <cell r="AB1921">
            <v>0</v>
          </cell>
        </row>
        <row r="1922">
          <cell r="AB1922">
            <v>0</v>
          </cell>
        </row>
        <row r="1923">
          <cell r="AB1923">
            <v>0</v>
          </cell>
        </row>
        <row r="1924">
          <cell r="AB1924">
            <v>0</v>
          </cell>
        </row>
        <row r="1925">
          <cell r="AB1925">
            <v>0</v>
          </cell>
        </row>
        <row r="1929">
          <cell r="AB1929">
            <v>9819.2932679764181</v>
          </cell>
        </row>
        <row r="1930">
          <cell r="AB1930">
            <v>0</v>
          </cell>
        </row>
        <row r="1931">
          <cell r="AB1931">
            <v>0</v>
          </cell>
        </row>
        <row r="1932">
          <cell r="AB1932">
            <v>0</v>
          </cell>
        </row>
        <row r="1933">
          <cell r="AB1933">
            <v>14171.189909231061</v>
          </cell>
        </row>
        <row r="1934">
          <cell r="AB1934">
            <v>0</v>
          </cell>
        </row>
        <row r="1935">
          <cell r="AB1935">
            <v>0</v>
          </cell>
        </row>
        <row r="1936">
          <cell r="AB1936">
            <v>0</v>
          </cell>
        </row>
        <row r="1943">
          <cell r="AB1943">
            <v>0</v>
          </cell>
        </row>
        <row r="1947">
          <cell r="AB1947">
            <v>0</v>
          </cell>
        </row>
        <row r="1949">
          <cell r="AB1949">
            <v>0</v>
          </cell>
        </row>
        <row r="1954">
          <cell r="AB1954">
            <v>320682.72506926494</v>
          </cell>
        </row>
        <row r="1955">
          <cell r="AB1955">
            <v>0</v>
          </cell>
        </row>
        <row r="1956">
          <cell r="AB1956">
            <v>54662.648752090478</v>
          </cell>
        </row>
        <row r="1964">
          <cell r="AB1964">
            <v>0</v>
          </cell>
        </row>
        <row r="1967">
          <cell r="H1967">
            <v>0</v>
          </cell>
        </row>
        <row r="1976">
          <cell r="AB1976">
            <v>-4063.3676869692395</v>
          </cell>
        </row>
        <row r="1984">
          <cell r="AB1984">
            <v>0</v>
          </cell>
        </row>
        <row r="1993">
          <cell r="AB1993">
            <v>0</v>
          </cell>
        </row>
        <row r="1994">
          <cell r="AB1994">
            <v>0</v>
          </cell>
        </row>
        <row r="1995">
          <cell r="AB1995">
            <v>0</v>
          </cell>
        </row>
        <row r="1998">
          <cell r="AB1998">
            <v>0</v>
          </cell>
        </row>
        <row r="1999">
          <cell r="AB1999">
            <v>0</v>
          </cell>
        </row>
        <row r="2000">
          <cell r="AB2000">
            <v>0</v>
          </cell>
        </row>
        <row r="2001">
          <cell r="AB2001">
            <v>0</v>
          </cell>
        </row>
        <row r="2005">
          <cell r="AB2005">
            <v>55687.961381608504</v>
          </cell>
        </row>
        <row r="2006">
          <cell r="AB2006">
            <v>0</v>
          </cell>
        </row>
        <row r="2007">
          <cell r="AB2007">
            <v>1644160.3396729536</v>
          </cell>
        </row>
        <row r="2008">
          <cell r="AB2008">
            <v>0</v>
          </cell>
        </row>
        <row r="2009">
          <cell r="AB2009">
            <v>0</v>
          </cell>
        </row>
        <row r="2011">
          <cell r="AB2011">
            <v>0</v>
          </cell>
        </row>
        <row r="2021">
          <cell r="AB2021">
            <v>0</v>
          </cell>
        </row>
        <row r="2033">
          <cell r="AB2033">
            <v>89067.003498634149</v>
          </cell>
        </row>
        <row r="2034">
          <cell r="AB2034">
            <v>0</v>
          </cell>
        </row>
        <row r="2035">
          <cell r="AB2035">
            <v>0</v>
          </cell>
        </row>
        <row r="2036">
          <cell r="AB2036">
            <v>0</v>
          </cell>
        </row>
        <row r="2037">
          <cell r="AB2037">
            <v>0</v>
          </cell>
        </row>
        <row r="2038">
          <cell r="AB2038">
            <v>0</v>
          </cell>
        </row>
        <row r="2045">
          <cell r="AB2045">
            <v>0</v>
          </cell>
        </row>
        <row r="2049">
          <cell r="AB2049">
            <v>0</v>
          </cell>
        </row>
        <row r="2054">
          <cell r="AB2054">
            <v>0</v>
          </cell>
        </row>
        <row r="2061">
          <cell r="AB2061">
            <v>0</v>
          </cell>
        </row>
        <row r="2069">
          <cell r="AB2069">
            <v>0</v>
          </cell>
        </row>
        <row r="2075">
          <cell r="AB2075">
            <v>0</v>
          </cell>
        </row>
        <row r="2076">
          <cell r="AB2076">
            <v>0</v>
          </cell>
        </row>
        <row r="2084">
          <cell r="AB2084">
            <v>0</v>
          </cell>
        </row>
        <row r="2088">
          <cell r="AB2088">
            <v>0</v>
          </cell>
        </row>
        <row r="2092">
          <cell r="AB2092">
            <v>0</v>
          </cell>
        </row>
        <row r="2109">
          <cell r="AB2109">
            <v>0</v>
          </cell>
        </row>
        <row r="2110">
          <cell r="AB2110">
            <v>435181.55665316503</v>
          </cell>
        </row>
        <row r="2120">
          <cell r="AB2120">
            <v>0</v>
          </cell>
        </row>
        <row r="2125">
          <cell r="AB2125">
            <v>-667.83539182216964</v>
          </cell>
        </row>
        <row r="2133">
          <cell r="AB2133">
            <v>0</v>
          </cell>
        </row>
        <row r="2135">
          <cell r="AB2135">
            <v>107896.36835050247</v>
          </cell>
        </row>
        <row r="2142">
          <cell r="AB2142">
            <v>0</v>
          </cell>
        </row>
        <row r="2145">
          <cell r="AB2145">
            <v>11432.885191432661</v>
          </cell>
        </row>
        <row r="2153">
          <cell r="AB2153">
            <v>0</v>
          </cell>
        </row>
        <row r="2156">
          <cell r="AB2156">
            <v>195.56105843370804</v>
          </cell>
        </row>
        <row r="2163">
          <cell r="AB2163">
            <v>82968.914264662017</v>
          </cell>
        </row>
        <row r="2174">
          <cell r="AB2174">
            <v>0</v>
          </cell>
        </row>
        <row r="2175">
          <cell r="AB2175">
            <v>127983.25494826888</v>
          </cell>
        </row>
        <row r="2189">
          <cell r="AB2189">
            <v>0</v>
          </cell>
        </row>
        <row r="2194">
          <cell r="AB2194">
            <v>0</v>
          </cell>
        </row>
        <row r="2199">
          <cell r="AB2199">
            <v>0</v>
          </cell>
        </row>
        <row r="2212">
          <cell r="AB2212">
            <v>0</v>
          </cell>
        </row>
        <row r="2216">
          <cell r="H2216">
            <v>0</v>
          </cell>
          <cell r="AB2216">
            <v>0</v>
          </cell>
        </row>
        <row r="2219">
          <cell r="H2219">
            <v>-3405682.2975901593</v>
          </cell>
        </row>
        <row r="2220">
          <cell r="H2220">
            <v>-3405682.2975901593</v>
          </cell>
          <cell r="AB2220">
            <v>-33910.733381820428</v>
          </cell>
        </row>
        <row r="2224">
          <cell r="H2224">
            <v>-9561269.1045228988</v>
          </cell>
          <cell r="AB2224">
            <v>-95202.552400362169</v>
          </cell>
        </row>
        <row r="2228">
          <cell r="H2228">
            <v>-649261.67011951737</v>
          </cell>
          <cell r="AB2228">
            <v>0</v>
          </cell>
        </row>
        <row r="2232">
          <cell r="AB2232">
            <v>-223.53114269284001</v>
          </cell>
        </row>
        <row r="2233">
          <cell r="H2233">
            <v>-22449.412905862595</v>
          </cell>
          <cell r="AB2233">
            <v>-223.53114269284001</v>
          </cell>
        </row>
        <row r="2237">
          <cell r="H2237">
            <v>-2291352.7786638215</v>
          </cell>
          <cell r="AB2237">
            <v>0</v>
          </cell>
        </row>
        <row r="2245">
          <cell r="AB2245">
            <v>-122766.44207350811</v>
          </cell>
        </row>
        <row r="2249">
          <cell r="H2249">
            <v>-2028144.5304859313</v>
          </cell>
          <cell r="AB2249">
            <v>0</v>
          </cell>
        </row>
        <row r="2256">
          <cell r="H2256">
            <v>-6190841.3351955898</v>
          </cell>
          <cell r="AB2256">
            <v>-5739.0863440579751</v>
          </cell>
        </row>
        <row r="2260">
          <cell r="AB2260">
            <v>0</v>
          </cell>
        </row>
        <row r="2261">
          <cell r="AB2261">
            <v>544691.37226351083</v>
          </cell>
        </row>
        <row r="2263">
          <cell r="AB2263">
            <v>0</v>
          </cell>
        </row>
        <row r="2270">
          <cell r="AB2270">
            <v>0</v>
          </cell>
        </row>
        <row r="2271">
          <cell r="AB2271">
            <v>557082.42554382095</v>
          </cell>
        </row>
        <row r="2277">
          <cell r="AB2277">
            <v>0</v>
          </cell>
        </row>
        <row r="2283">
          <cell r="AB2283">
            <v>59060.212995754206</v>
          </cell>
        </row>
        <row r="2295">
          <cell r="AB2295">
            <v>-14270946.764424136</v>
          </cell>
        </row>
        <row r="2301">
          <cell r="AB2301">
            <v>-61826.907768099067</v>
          </cell>
        </row>
        <row r="2307">
          <cell r="AB2307">
            <v>0</v>
          </cell>
        </row>
        <row r="2308">
          <cell r="AB2308">
            <v>-128091.25975252716</v>
          </cell>
        </row>
        <row r="2321">
          <cell r="AB2321">
            <v>-1207.3958785378845</v>
          </cell>
        </row>
        <row r="2335">
          <cell r="AB2335">
            <v>0</v>
          </cell>
        </row>
        <row r="2336">
          <cell r="AB2336">
            <v>0</v>
          </cell>
        </row>
        <row r="2342">
          <cell r="AB2342">
            <v>0</v>
          </cell>
        </row>
        <row r="2349">
          <cell r="AB2349">
            <v>0</v>
          </cell>
        </row>
        <row r="2356">
          <cell r="AB2356">
            <v>0</v>
          </cell>
        </row>
        <row r="2357">
          <cell r="AB2357">
            <v>0</v>
          </cell>
        </row>
        <row r="2362">
          <cell r="AB2362">
            <v>0</v>
          </cell>
        </row>
        <row r="2380">
          <cell r="AB2380">
            <v>0</v>
          </cell>
        </row>
        <row r="2389">
          <cell r="AB2389">
            <v>0</v>
          </cell>
        </row>
        <row r="2393">
          <cell r="AB2393">
            <v>0</v>
          </cell>
        </row>
        <row r="2397">
          <cell r="AB2397">
            <v>0</v>
          </cell>
        </row>
        <row r="2401">
          <cell r="AB2401">
            <v>0</v>
          </cell>
        </row>
        <row r="2405">
          <cell r="AB2405">
            <v>0</v>
          </cell>
        </row>
        <row r="2409">
          <cell r="AB2409">
            <v>0</v>
          </cell>
        </row>
        <row r="2413">
          <cell r="AB2413">
            <v>0</v>
          </cell>
        </row>
        <row r="2417">
          <cell r="AB2417">
            <v>0</v>
          </cell>
        </row>
        <row r="2421">
          <cell r="AB2421">
            <v>0</v>
          </cell>
        </row>
        <row r="2425">
          <cell r="AB2425">
            <v>-31273826.180826589</v>
          </cell>
        </row>
        <row r="2429">
          <cell r="AB2429">
            <v>0</v>
          </cell>
        </row>
        <row r="2433">
          <cell r="AB2433">
            <v>0</v>
          </cell>
        </row>
        <row r="2437">
          <cell r="AB2437">
            <v>0</v>
          </cell>
        </row>
        <row r="2440">
          <cell r="H2440">
            <v>0</v>
          </cell>
        </row>
        <row r="2441">
          <cell r="AB2441">
            <v>0</v>
          </cell>
        </row>
        <row r="2444">
          <cell r="H2444">
            <v>0</v>
          </cell>
        </row>
        <row r="2445">
          <cell r="AB2445">
            <v>0</v>
          </cell>
        </row>
        <row r="2448">
          <cell r="H2448">
            <v>138624</v>
          </cell>
        </row>
        <row r="2449">
          <cell r="AB2449">
            <v>5078.5855636399874</v>
          </cell>
        </row>
        <row r="2459">
          <cell r="AB2459">
            <v>-1483017.6011861232</v>
          </cell>
        </row>
        <row r="2460">
          <cell r="AB2460">
            <v>0</v>
          </cell>
        </row>
        <row r="2461">
          <cell r="AB2461">
            <v>0</v>
          </cell>
        </row>
        <row r="2462">
          <cell r="AB2462">
            <v>0</v>
          </cell>
        </row>
        <row r="2463">
          <cell r="AB2463">
            <v>0</v>
          </cell>
        </row>
        <row r="2464">
          <cell r="AB2464">
            <v>-271180.17836761073</v>
          </cell>
        </row>
        <row r="2465">
          <cell r="AB2465">
            <v>0</v>
          </cell>
        </row>
        <row r="2466">
          <cell r="AB2466">
            <v>0</v>
          </cell>
        </row>
        <row r="2467">
          <cell r="AB2467">
            <v>0</v>
          </cell>
        </row>
        <row r="2468">
          <cell r="AB2468">
            <v>0</v>
          </cell>
        </row>
        <row r="2480">
          <cell r="AB2480">
            <v>0</v>
          </cell>
        </row>
        <row r="2486">
          <cell r="AB2486">
            <v>0</v>
          </cell>
        </row>
        <row r="2487">
          <cell r="AB2487">
            <v>0</v>
          </cell>
        </row>
        <row r="2494">
          <cell r="AB2494">
            <v>0</v>
          </cell>
        </row>
        <row r="2495">
          <cell r="AB2495">
            <v>0</v>
          </cell>
        </row>
        <row r="2514">
          <cell r="AB2514">
            <v>0</v>
          </cell>
        </row>
        <row r="2519">
          <cell r="AB2519">
            <v>0</v>
          </cell>
        </row>
        <row r="2521">
          <cell r="AB2521">
            <v>-51777.708865938483</v>
          </cell>
        </row>
        <row r="2522">
          <cell r="AB2522">
            <v>0</v>
          </cell>
        </row>
        <row r="2523">
          <cell r="AB2523">
            <v>-52121.371276847553</v>
          </cell>
        </row>
        <row r="2529">
          <cell r="AB2529">
            <v>0</v>
          </cell>
        </row>
        <row r="2533">
          <cell r="AB2533">
            <v>-771.95975605543174</v>
          </cell>
        </row>
        <row r="2534">
          <cell r="AB2534">
            <v>0</v>
          </cell>
        </row>
        <row r="2535">
          <cell r="AB2535">
            <v>0</v>
          </cell>
        </row>
        <row r="2536">
          <cell r="AB2536">
            <v>0</v>
          </cell>
        </row>
        <row r="2537">
          <cell r="AB2537">
            <v>0</v>
          </cell>
        </row>
        <row r="2538">
          <cell r="AB2538">
            <v>0</v>
          </cell>
        </row>
        <row r="2539">
          <cell r="AB2539">
            <v>0</v>
          </cell>
        </row>
        <row r="2540">
          <cell r="AB2540">
            <v>0</v>
          </cell>
        </row>
        <row r="2541">
          <cell r="AB2541">
            <v>-1182821.0007189873</v>
          </cell>
        </row>
        <row r="2554">
          <cell r="AB2554">
            <v>0</v>
          </cell>
        </row>
      </sheetData>
      <sheetData sheetId="20"/>
      <sheetData sheetId="21">
        <row r="10">
          <cell r="A10" t="str">
            <v>FACTOR NAME</v>
          </cell>
          <cell r="B10" t="str">
            <v>GEN</v>
          </cell>
          <cell r="C10" t="str">
            <v>TRN</v>
          </cell>
          <cell r="D10" t="str">
            <v>DIS</v>
          </cell>
          <cell r="E10" t="str">
            <v>Distribution</v>
          </cell>
          <cell r="F10" t="str">
            <v>Retail</v>
          </cell>
          <cell r="G10" t="str">
            <v>Misc</v>
          </cell>
          <cell r="H10" t="str">
            <v>TOT</v>
          </cell>
        </row>
        <row r="11">
          <cell r="A11" t="str">
            <v>ACCMDIT</v>
          </cell>
          <cell r="B11">
            <v>0.74155389074644962</v>
          </cell>
          <cell r="C11">
            <v>0.13067317353392571</v>
          </cell>
          <cell r="D11">
            <v>0.12777293571962478</v>
          </cell>
          <cell r="E11">
            <v>0.12502862731532027</v>
          </cell>
          <cell r="F11">
            <v>2.7443084043045018E-3</v>
          </cell>
          <cell r="G11">
            <v>0</v>
          </cell>
          <cell r="H11">
            <v>0.99999999999999989</v>
          </cell>
        </row>
        <row r="12">
          <cell r="A12" t="str">
            <v>BOOKDEPR</v>
          </cell>
          <cell r="B12">
            <v>0.51974496753337573</v>
          </cell>
          <cell r="C12">
            <v>0.15093978352398185</v>
          </cell>
          <cell r="D12">
            <v>0.32931524894264247</v>
          </cell>
          <cell r="E12">
            <v>0.32557157689672078</v>
          </cell>
          <cell r="F12">
            <v>3.7436720459216623E-3</v>
          </cell>
          <cell r="G12">
            <v>0</v>
          </cell>
          <cell r="H12">
            <v>0.99999999999999978</v>
          </cell>
        </row>
        <row r="13">
          <cell r="A13" t="str">
            <v>COM-EQ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A14" t="str">
            <v>CUST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1</v>
          </cell>
          <cell r="G14">
            <v>0</v>
          </cell>
          <cell r="H14">
            <v>1</v>
          </cell>
        </row>
        <row r="15">
          <cell r="A15" t="str">
            <v>CWC</v>
          </cell>
          <cell r="B15">
            <v>0.7584657535476006</v>
          </cell>
          <cell r="C15">
            <v>8.5546029106398552E-2</v>
          </cell>
          <cell r="D15">
            <v>0.15598821734601578</v>
          </cell>
          <cell r="E15">
            <v>0.1160244572836885</v>
          </cell>
          <cell r="F15">
            <v>3.4431842676628258E-2</v>
          </cell>
          <cell r="G15">
            <v>5.5319173856990386E-3</v>
          </cell>
          <cell r="H15">
            <v>1.0000000000000151</v>
          </cell>
        </row>
        <row r="16">
          <cell r="A16" t="str">
            <v>DDS2</v>
          </cell>
          <cell r="B16">
            <v>0.89444384203010596</v>
          </cell>
          <cell r="C16">
            <v>6.6990964246720951E-3</v>
          </cell>
          <cell r="D16">
            <v>9.8857061545221753E-2</v>
          </cell>
          <cell r="E16">
            <v>-1.7192047072908941E-2</v>
          </cell>
          <cell r="F16">
            <v>0.14454293012717781</v>
          </cell>
          <cell r="G16">
            <v>-2.8493821509047106E-2</v>
          </cell>
          <cell r="H16">
            <v>1</v>
          </cell>
        </row>
        <row r="17">
          <cell r="A17" t="str">
            <v>DDS6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A18" t="str">
            <v>DDSO2</v>
          </cell>
          <cell r="B18">
            <v>0.22328197830043112</v>
          </cell>
          <cell r="C18">
            <v>1.6019258296405981E-2</v>
          </cell>
          <cell r="D18">
            <v>0.76069876340316289</v>
          </cell>
          <cell r="E18">
            <v>9.611554977843588E-2</v>
          </cell>
          <cell r="F18">
            <v>0</v>
          </cell>
          <cell r="G18">
            <v>0.66458321362472705</v>
          </cell>
          <cell r="H18">
            <v>1</v>
          </cell>
        </row>
        <row r="19">
          <cell r="A19" t="str">
            <v>DDSO6</v>
          </cell>
          <cell r="B19">
            <v>0</v>
          </cell>
          <cell r="C19">
            <v>0</v>
          </cell>
          <cell r="D19">
            <v>1</v>
          </cell>
          <cell r="E19">
            <v>0</v>
          </cell>
          <cell r="F19">
            <v>0</v>
          </cell>
          <cell r="G19">
            <v>1</v>
          </cell>
          <cell r="H19">
            <v>1</v>
          </cell>
        </row>
        <row r="20">
          <cell r="A20" t="str">
            <v>DEFSG</v>
          </cell>
          <cell r="B20">
            <v>0.66574950014012413</v>
          </cell>
          <cell r="C20">
            <v>0.33425049985987582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1</v>
          </cell>
        </row>
        <row r="21">
          <cell r="A21" t="str">
            <v>DITEXP</v>
          </cell>
          <cell r="B21">
            <v>0.90746873930668404</v>
          </cell>
          <cell r="C21">
            <v>2.403308927825348E-2</v>
          </cell>
          <cell r="D21">
            <v>6.8498171415062578E-2</v>
          </cell>
          <cell r="E21">
            <v>5.0813437740093295E-2</v>
          </cell>
          <cell r="F21">
            <v>1.7684733674969283E-2</v>
          </cell>
          <cell r="G21">
            <v>0</v>
          </cell>
          <cell r="H21">
            <v>1</v>
          </cell>
        </row>
        <row r="22">
          <cell r="A22" t="str">
            <v>DMSC</v>
          </cell>
          <cell r="B22">
            <v>0</v>
          </cell>
          <cell r="C22">
            <v>0</v>
          </cell>
          <cell r="D22">
            <v>1</v>
          </cell>
          <cell r="E22">
            <v>0</v>
          </cell>
          <cell r="F22">
            <v>0</v>
          </cell>
          <cell r="G22">
            <v>1</v>
          </cell>
          <cell r="H22">
            <v>1</v>
          </cell>
        </row>
        <row r="23">
          <cell r="A23" t="str">
            <v>DPW</v>
          </cell>
          <cell r="B23">
            <v>0</v>
          </cell>
          <cell r="C23">
            <v>0</v>
          </cell>
          <cell r="D23">
            <v>1</v>
          </cell>
          <cell r="E23">
            <v>1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ESD</v>
          </cell>
          <cell r="B24">
            <v>0.3</v>
          </cell>
          <cell r="C24">
            <v>0.1</v>
          </cell>
          <cell r="D24">
            <v>0.6</v>
          </cell>
          <cell r="E24">
            <v>0.6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FERC</v>
          </cell>
          <cell r="B25">
            <v>0.53982674964608257</v>
          </cell>
          <cell r="C25">
            <v>0.46017325035391743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1</v>
          </cell>
        </row>
        <row r="26">
          <cell r="A26" t="str">
            <v>FIT</v>
          </cell>
          <cell r="B26">
            <v>1.1700869514458072</v>
          </cell>
          <cell r="C26">
            <v>3.5747954668684328E-3</v>
          </cell>
          <cell r="D26">
            <v>-0.17366174691290373</v>
          </cell>
          <cell r="E26">
            <v>-0.18703634452376894</v>
          </cell>
          <cell r="F26">
            <v>1.344225489363475E-2</v>
          </cell>
          <cell r="G26">
            <v>-6.7657282769547652E-5</v>
          </cell>
          <cell r="H26">
            <v>0.99999999999977174</v>
          </cell>
        </row>
        <row r="27">
          <cell r="A27" t="str">
            <v>G</v>
          </cell>
          <cell r="B27">
            <v>0.2323600953390676</v>
          </cell>
          <cell r="C27">
            <v>0.29281154918881841</v>
          </cell>
          <cell r="D27">
            <v>0.47482835547211394</v>
          </cell>
          <cell r="E27">
            <v>0.44796038040972297</v>
          </cell>
          <cell r="F27">
            <v>2.6867975062390959E-2</v>
          </cell>
          <cell r="G27">
            <v>0</v>
          </cell>
          <cell r="H27">
            <v>1</v>
          </cell>
        </row>
        <row r="28">
          <cell r="A28" t="str">
            <v>G-DGP</v>
          </cell>
          <cell r="B28">
            <v>0.6855986064245424</v>
          </cell>
          <cell r="C28">
            <v>0.31440139357545754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</row>
        <row r="29">
          <cell r="A29" t="str">
            <v>G-DGU</v>
          </cell>
          <cell r="B29">
            <v>0.6855986064245424</v>
          </cell>
          <cell r="C29">
            <v>0.31440139357545754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1</v>
          </cell>
        </row>
        <row r="30">
          <cell r="A30" t="str">
            <v>GP</v>
          </cell>
          <cell r="B30">
            <v>0.50504679293010346</v>
          </cell>
          <cell r="C30">
            <v>0.21499921941610298</v>
          </cell>
          <cell r="D30">
            <v>0.27995398765379342</v>
          </cell>
          <cell r="E30">
            <v>0.2734309686869702</v>
          </cell>
          <cell r="F30">
            <v>6.5230189668232076E-3</v>
          </cell>
          <cell r="G30">
            <v>0</v>
          </cell>
          <cell r="H30">
            <v>0.99999999999999989</v>
          </cell>
        </row>
        <row r="31">
          <cell r="A31" t="str">
            <v>G-SG</v>
          </cell>
          <cell r="B31">
            <v>0.4911770740450373</v>
          </cell>
          <cell r="C31">
            <v>0.50882292595496259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0.99999999999999989</v>
          </cell>
        </row>
        <row r="32">
          <cell r="A32" t="str">
            <v>G-SITUS</v>
          </cell>
          <cell r="B32">
            <v>0</v>
          </cell>
          <cell r="C32">
            <v>0.2527647986427079</v>
          </cell>
          <cell r="D32">
            <v>0.74723520135729204</v>
          </cell>
          <cell r="E32">
            <v>0.74723520135729204</v>
          </cell>
          <cell r="F32">
            <v>0</v>
          </cell>
          <cell r="G32">
            <v>0</v>
          </cell>
          <cell r="H32">
            <v>1</v>
          </cell>
        </row>
        <row r="33">
          <cell r="A33" t="str">
            <v>I</v>
          </cell>
          <cell r="B33">
            <v>0.52032571068857525</v>
          </cell>
          <cell r="C33">
            <v>0.13232004862763808</v>
          </cell>
          <cell r="D33">
            <v>0.34735424068378651</v>
          </cell>
          <cell r="E33">
            <v>0.16634551665847275</v>
          </cell>
          <cell r="F33">
            <v>0.18100872402531373</v>
          </cell>
          <cell r="G33">
            <v>0</v>
          </cell>
          <cell r="H33">
            <v>0.99999999999999989</v>
          </cell>
        </row>
        <row r="34">
          <cell r="A34" t="str">
            <v>IBT</v>
          </cell>
          <cell r="B34">
            <v>1.2749724155978952</v>
          </cell>
          <cell r="C34">
            <v>5.7792213714078534E-3</v>
          </cell>
          <cell r="D34">
            <v>-0.28075163696967192</v>
          </cell>
          <cell r="E34">
            <v>-0.30237378600255177</v>
          </cell>
          <cell r="F34">
            <v>2.1731527714300109E-2</v>
          </cell>
          <cell r="G34">
            <v>-1.0937868142024943E-4</v>
          </cell>
          <cell r="H34">
            <v>0.99999999999963118</v>
          </cell>
        </row>
        <row r="35">
          <cell r="A35" t="str">
            <v>I-DGP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A36" t="str">
            <v>I-DGU</v>
          </cell>
          <cell r="B36">
            <v>1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</v>
          </cell>
        </row>
        <row r="37">
          <cell r="A37" t="str">
            <v>I-SG</v>
          </cell>
          <cell r="B37">
            <v>0.91139563576235938</v>
          </cell>
          <cell r="C37">
            <v>8.8604364237640482E-2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0.99999999999999989</v>
          </cell>
        </row>
        <row r="38">
          <cell r="A38" t="str">
            <v>I-SITUS</v>
          </cell>
          <cell r="B38">
            <v>9.2126512447585948E-2</v>
          </cell>
          <cell r="C38">
            <v>0.40142398375215244</v>
          </cell>
          <cell r="D38">
            <v>0.50644950380026155</v>
          </cell>
          <cell r="E38">
            <v>0.50644950380026155</v>
          </cell>
          <cell r="F38">
            <v>0</v>
          </cell>
          <cell r="G38">
            <v>0</v>
          </cell>
          <cell r="H38">
            <v>0.99999999999999989</v>
          </cell>
        </row>
        <row r="39">
          <cell r="A39" t="str">
            <v>LABOR</v>
          </cell>
          <cell r="B39">
            <v>0.42911800628192154</v>
          </cell>
          <cell r="C39">
            <v>6.1091947728051668E-2</v>
          </cell>
          <cell r="D39">
            <v>0.50979004599002686</v>
          </cell>
          <cell r="E39">
            <v>0.3631518312497185</v>
          </cell>
          <cell r="F39">
            <v>0.1466382147403083</v>
          </cell>
          <cell r="G39">
            <v>0</v>
          </cell>
          <cell r="H39">
            <v>1</v>
          </cell>
        </row>
        <row r="40">
          <cell r="A40" t="str">
            <v>MSS</v>
          </cell>
          <cell r="B40">
            <v>0.83771466952498774</v>
          </cell>
          <cell r="C40">
            <v>8.0180119814196888E-3</v>
          </cell>
          <cell r="D40">
            <v>0.1542673184935926</v>
          </cell>
          <cell r="E40">
            <v>0.1542673184935926</v>
          </cell>
          <cell r="F40">
            <v>0</v>
          </cell>
          <cell r="G40">
            <v>0</v>
          </cell>
          <cell r="H40">
            <v>1</v>
          </cell>
        </row>
        <row r="41">
          <cell r="A41" t="str">
            <v>NONE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NUTIL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A43" t="str">
            <v>OTHDGP</v>
          </cell>
          <cell r="B43">
            <v>0.68340686553123631</v>
          </cell>
          <cell r="C43">
            <v>0.31659313446876369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</row>
        <row r="44">
          <cell r="A44" t="str">
            <v>OTHDGU</v>
          </cell>
          <cell r="B44">
            <v>0.68340686553123631</v>
          </cell>
          <cell r="C44">
            <v>0.31659313446876369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</row>
        <row r="45">
          <cell r="A45" t="str">
            <v>OTHSE</v>
          </cell>
          <cell r="B45">
            <v>0</v>
          </cell>
          <cell r="C45">
            <v>1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</row>
        <row r="46">
          <cell r="A46" t="str">
            <v>OTHSG</v>
          </cell>
          <cell r="B46">
            <v>0.68340686553123631</v>
          </cell>
          <cell r="C46">
            <v>0.31659313446876369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</row>
        <row r="47">
          <cell r="A47" t="str">
            <v>OTHSGR</v>
          </cell>
          <cell r="B47">
            <v>0.68340686553123631</v>
          </cell>
          <cell r="C47">
            <v>0.31659313446876369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1</v>
          </cell>
        </row>
        <row r="48">
          <cell r="A48" t="str">
            <v>OTHSITUS</v>
          </cell>
          <cell r="B48">
            <v>0</v>
          </cell>
          <cell r="C48">
            <v>0</v>
          </cell>
          <cell r="D48">
            <v>1</v>
          </cell>
          <cell r="E48">
            <v>0</v>
          </cell>
          <cell r="F48">
            <v>0</v>
          </cell>
          <cell r="G48">
            <v>1</v>
          </cell>
          <cell r="H48">
            <v>1</v>
          </cell>
        </row>
        <row r="49">
          <cell r="A49" t="str">
            <v>OTHSO</v>
          </cell>
          <cell r="B49">
            <v>0</v>
          </cell>
          <cell r="C49">
            <v>0</v>
          </cell>
          <cell r="D49">
            <v>1</v>
          </cell>
          <cell r="E49">
            <v>0</v>
          </cell>
          <cell r="F49">
            <v>0</v>
          </cell>
          <cell r="G49">
            <v>1</v>
          </cell>
          <cell r="H49">
            <v>1</v>
          </cell>
        </row>
        <row r="50">
          <cell r="A50" t="str">
            <v>P</v>
          </cell>
          <cell r="B50">
            <v>1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</row>
        <row r="51">
          <cell r="A51" t="str">
            <v>PT</v>
          </cell>
          <cell r="B51">
            <v>0.69456671189270403</v>
          </cell>
          <cell r="C51">
            <v>0.30543328810729597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1</v>
          </cell>
        </row>
        <row r="52">
          <cell r="A52" t="str">
            <v>PTD</v>
          </cell>
          <cell r="B52">
            <v>0.50579249900415113</v>
          </cell>
          <cell r="C52">
            <v>0.22242048665112085</v>
          </cell>
          <cell r="D52">
            <v>0.27178701434472802</v>
          </cell>
          <cell r="E52">
            <v>0.27178701434472802</v>
          </cell>
          <cell r="F52">
            <v>0</v>
          </cell>
          <cell r="G52">
            <v>0</v>
          </cell>
          <cell r="H52">
            <v>1</v>
          </cell>
        </row>
        <row r="53">
          <cell r="A53" t="str">
            <v>REVREQ</v>
          </cell>
          <cell r="B53">
            <v>0.68463075991965539</v>
          </cell>
          <cell r="C53">
            <v>0.12835032898844131</v>
          </cell>
          <cell r="D53">
            <v>0.18701891109192986</v>
          </cell>
          <cell r="E53">
            <v>0.15933465063824018</v>
          </cell>
          <cell r="F53">
            <v>2.3871265700870642E-2</v>
          </cell>
          <cell r="G53">
            <v>3.8129947528190481E-3</v>
          </cell>
          <cell r="H53">
            <v>1.0000000000000269</v>
          </cell>
        </row>
        <row r="54">
          <cell r="A54" t="str">
            <v>SCHMA</v>
          </cell>
          <cell r="B54">
            <v>0.50857871375018493</v>
          </cell>
          <cell r="C54">
            <v>0.16619636578252911</v>
          </cell>
          <cell r="D54">
            <v>0.32522492046728546</v>
          </cell>
          <cell r="E54">
            <v>0.31173645557641066</v>
          </cell>
          <cell r="F54">
            <v>1.1915414392442548E-2</v>
          </cell>
          <cell r="G54">
            <v>1.5730504984322585E-3</v>
          </cell>
          <cell r="H54">
            <v>0.99999999999999933</v>
          </cell>
        </row>
        <row r="55">
          <cell r="A55" t="str">
            <v>SCHMAF</v>
          </cell>
          <cell r="B55">
            <v>1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1</v>
          </cell>
        </row>
        <row r="56">
          <cell r="A56" t="str">
            <v>SCHMAP</v>
          </cell>
          <cell r="B56">
            <v>0.43898528203951998</v>
          </cell>
          <cell r="C56">
            <v>7.5001281348963889E-2</v>
          </cell>
          <cell r="D56">
            <v>0.48601343661151614</v>
          </cell>
          <cell r="E56">
            <v>0.35337945735409804</v>
          </cell>
          <cell r="F56">
            <v>0.1326339792574181</v>
          </cell>
          <cell r="G56">
            <v>0</v>
          </cell>
          <cell r="H56">
            <v>1</v>
          </cell>
        </row>
        <row r="57">
          <cell r="A57" t="str">
            <v>SCHMAP-SO</v>
          </cell>
          <cell r="B57">
            <v>0.43604112976585901</v>
          </cell>
          <cell r="C57">
            <v>7.5756810224820489E-2</v>
          </cell>
          <cell r="D57">
            <v>0.48820206000932043</v>
          </cell>
          <cell r="E57">
            <v>0.35514942055276266</v>
          </cell>
          <cell r="F57">
            <v>0.13305263945655776</v>
          </cell>
          <cell r="G57">
            <v>0</v>
          </cell>
          <cell r="H57">
            <v>1</v>
          </cell>
        </row>
        <row r="58">
          <cell r="A58" t="str">
            <v>SCHMAT</v>
          </cell>
          <cell r="B58">
            <v>0.50960696576565756</v>
          </cell>
          <cell r="C58">
            <v>0.16754378502979178</v>
          </cell>
          <cell r="D58">
            <v>0.32284924920455016</v>
          </cell>
          <cell r="E58">
            <v>0.3111211748026983</v>
          </cell>
          <cell r="F58">
            <v>1.013178187747418E-2</v>
          </cell>
          <cell r="G58">
            <v>1.5962925243777227E-3</v>
          </cell>
          <cell r="H58">
            <v>0.99999999999999944</v>
          </cell>
        </row>
        <row r="59">
          <cell r="A59" t="str">
            <v>SCHMAT-GPS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A60" t="str">
            <v>SCHMAT-SE</v>
          </cell>
          <cell r="B60">
            <v>0.99857856914329268</v>
          </cell>
          <cell r="C60">
            <v>1.5211196105773643E-4</v>
          </cell>
          <cell r="D60">
            <v>1.2693188956496488E-3</v>
          </cell>
          <cell r="E60">
            <v>9.0420651603711013E-4</v>
          </cell>
          <cell r="F60">
            <v>3.6511237961253857E-4</v>
          </cell>
          <cell r="G60">
            <v>0</v>
          </cell>
          <cell r="H60">
            <v>1</v>
          </cell>
        </row>
        <row r="61">
          <cell r="A61" t="str">
            <v>SCHMAT-SITUS</v>
          </cell>
          <cell r="B61">
            <v>0.81467201499388697</v>
          </cell>
          <cell r="C61">
            <v>1.549821589872505E-2</v>
          </cell>
          <cell r="D61">
            <v>0.1698297691073882</v>
          </cell>
          <cell r="E61">
            <v>0.11680157298516253</v>
          </cell>
          <cell r="F61">
            <v>2.3562641275558377E-2</v>
          </cell>
          <cell r="G61">
            <v>2.9465554846667304E-2</v>
          </cell>
          <cell r="H61">
            <v>1.0000000000000002</v>
          </cell>
        </row>
        <row r="62">
          <cell r="A62" t="str">
            <v>SCHMAT-SNP</v>
          </cell>
          <cell r="B62">
            <v>0.50387714340694745</v>
          </cell>
          <cell r="C62">
            <v>0.2192586299303253</v>
          </cell>
          <cell r="D62">
            <v>0.27686422666272725</v>
          </cell>
          <cell r="E62">
            <v>0.2766840379229753</v>
          </cell>
          <cell r="F62">
            <v>1.8018873975193917E-4</v>
          </cell>
          <cell r="G62">
            <v>0</v>
          </cell>
          <cell r="H62">
            <v>1</v>
          </cell>
        </row>
        <row r="63">
          <cell r="A63" t="str">
            <v>SCHMAT-SO</v>
          </cell>
          <cell r="B63">
            <v>0.42657506292493658</v>
          </cell>
          <cell r="C63">
            <v>6.1858231036687493E-2</v>
          </cell>
          <cell r="D63">
            <v>0.51156670603837584</v>
          </cell>
          <cell r="E63">
            <v>0.36781649030604324</v>
          </cell>
          <cell r="F63">
            <v>0.1437502157323326</v>
          </cell>
          <cell r="G63">
            <v>0</v>
          </cell>
          <cell r="H63">
            <v>1</v>
          </cell>
        </row>
        <row r="64">
          <cell r="A64" t="str">
            <v>SCHMD</v>
          </cell>
          <cell r="B64">
            <v>0.61431004843945891</v>
          </cell>
          <cell r="C64">
            <v>0.15347066352476915</v>
          </cell>
          <cell r="D64">
            <v>0.23221928803577191</v>
          </cell>
          <cell r="E64">
            <v>0.21668183455320297</v>
          </cell>
          <cell r="F64">
            <v>6.2145099709114268E-3</v>
          </cell>
          <cell r="G64">
            <v>9.3229435116575238E-3</v>
          </cell>
          <cell r="H64">
            <v>1</v>
          </cell>
        </row>
        <row r="65">
          <cell r="A65" t="str">
            <v>SCHMDF</v>
          </cell>
          <cell r="B65">
            <v>1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1</v>
          </cell>
        </row>
        <row r="66">
          <cell r="A66" t="str">
            <v>SCHMDP</v>
          </cell>
          <cell r="B66">
            <v>0.45005320926638814</v>
          </cell>
          <cell r="C66">
            <v>6.1516549742485764E-2</v>
          </cell>
          <cell r="D66">
            <v>0.48843024099112625</v>
          </cell>
          <cell r="E66">
            <v>0.34921196895538881</v>
          </cell>
          <cell r="F66">
            <v>0.13921827203573744</v>
          </cell>
          <cell r="G66">
            <v>0</v>
          </cell>
          <cell r="H66">
            <v>1</v>
          </cell>
        </row>
        <row r="67">
          <cell r="A67" t="str">
            <v>SCHMDP-SO</v>
          </cell>
          <cell r="B67">
            <v>0.42911800628192154</v>
          </cell>
          <cell r="C67">
            <v>6.1091947728051668E-2</v>
          </cell>
          <cell r="D67">
            <v>0.50979004599002686</v>
          </cell>
          <cell r="E67">
            <v>0.3631518312497185</v>
          </cell>
          <cell r="F67">
            <v>0.1466382147403083</v>
          </cell>
          <cell r="G67">
            <v>0</v>
          </cell>
          <cell r="H67">
            <v>1</v>
          </cell>
        </row>
        <row r="68">
          <cell r="A68" t="str">
            <v>SCHMDT</v>
          </cell>
          <cell r="B68">
            <v>0.61640317184370019</v>
          </cell>
          <cell r="C68">
            <v>0.15464243395845667</v>
          </cell>
          <cell r="D68">
            <v>0.22895439419784305</v>
          </cell>
          <cell r="E68">
            <v>0.21499300425864104</v>
          </cell>
          <cell r="F68">
            <v>4.5196442433620022E-3</v>
          </cell>
          <cell r="G68">
            <v>9.4417456958399999E-3</v>
          </cell>
          <cell r="H68">
            <v>0.99999999999999989</v>
          </cell>
        </row>
        <row r="69">
          <cell r="A69" t="str">
            <v>SCHMDT-GPS</v>
          </cell>
          <cell r="B69">
            <v>0.50390599523411239</v>
          </cell>
          <cell r="C69">
            <v>0.21915356275118467</v>
          </cell>
          <cell r="D69">
            <v>0.2769404420147028</v>
          </cell>
          <cell r="E69">
            <v>0.27660379423502013</v>
          </cell>
          <cell r="F69">
            <v>3.3664777968268558E-4</v>
          </cell>
          <cell r="G69">
            <v>0</v>
          </cell>
          <cell r="H69">
            <v>1</v>
          </cell>
        </row>
        <row r="70">
          <cell r="A70" t="str">
            <v>SCHMDT-SG</v>
          </cell>
          <cell r="B70">
            <v>0.98979364666529157</v>
          </cell>
          <cell r="C70">
            <v>9.1616572373758049E-3</v>
          </cell>
          <cell r="D70">
            <v>1.0446960973326423E-3</v>
          </cell>
          <cell r="E70">
            <v>1.0203543384794185E-3</v>
          </cell>
          <cell r="F70">
            <v>2.4341758853223721E-5</v>
          </cell>
          <cell r="G70">
            <v>0</v>
          </cell>
          <cell r="H70">
            <v>1</v>
          </cell>
        </row>
        <row r="71">
          <cell r="A71" t="str">
            <v>SCHMDT-SITUS</v>
          </cell>
          <cell r="B71">
            <v>0.85297625672056399</v>
          </cell>
          <cell r="C71">
            <v>1.2345606339431232E-2</v>
          </cell>
          <cell r="D71">
            <v>0.1346781369400048</v>
          </cell>
          <cell r="E71">
            <v>0.10859621428345666</v>
          </cell>
          <cell r="F71">
            <v>2.1494621633170063E-2</v>
          </cell>
          <cell r="G71">
            <v>4.5873010233780567E-3</v>
          </cell>
          <cell r="H71">
            <v>1</v>
          </cell>
        </row>
        <row r="72">
          <cell r="A72" t="str">
            <v>SCHMDT-SNP</v>
          </cell>
          <cell r="B72">
            <v>0.50384391570480436</v>
          </cell>
          <cell r="C72">
            <v>0.2193796323511954</v>
          </cell>
          <cell r="D72">
            <v>0.27677645194400013</v>
          </cell>
          <cell r="E72">
            <v>0.27677645194400013</v>
          </cell>
          <cell r="F72">
            <v>0</v>
          </cell>
          <cell r="G72">
            <v>0</v>
          </cell>
          <cell r="H72">
            <v>0.99999999999999978</v>
          </cell>
        </row>
        <row r="73">
          <cell r="A73" t="str">
            <v>SCHMDT-SO</v>
          </cell>
          <cell r="B73">
            <v>0.34567702938622691</v>
          </cell>
          <cell r="C73">
            <v>9.1920768701336378E-2</v>
          </cell>
          <cell r="D73">
            <v>0.56240220191243662</v>
          </cell>
          <cell r="E73">
            <v>0.13826338947674435</v>
          </cell>
          <cell r="F73">
            <v>1.2823156057375853E-2</v>
          </cell>
          <cell r="G73">
            <v>0.41131565637831641</v>
          </cell>
          <cell r="H73">
            <v>1</v>
          </cell>
        </row>
        <row r="74">
          <cell r="A74" t="str">
            <v>SIT</v>
          </cell>
          <cell r="B74">
            <v>1.2613421931550963</v>
          </cell>
          <cell r="C74">
            <v>5.492748734990208E-3</v>
          </cell>
          <cell r="D74">
            <v>-0.2668349418904386</v>
          </cell>
          <cell r="E74">
            <v>-0.28738529359278026</v>
          </cell>
          <cell r="F74">
            <v>2.06543085462477E-2</v>
          </cell>
          <cell r="G74">
            <v>-1.0395684390605305E-4</v>
          </cell>
          <cell r="H74">
            <v>0.99999999999964806</v>
          </cell>
        </row>
        <row r="75">
          <cell r="A75" t="str">
            <v>T</v>
          </cell>
          <cell r="B75">
            <v>0</v>
          </cell>
          <cell r="C75">
            <v>1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1</v>
          </cell>
        </row>
        <row r="76">
          <cell r="A76" t="str">
            <v>TAXDEPR</v>
          </cell>
          <cell r="B76">
            <v>0.57257399437245315</v>
          </cell>
          <cell r="C76">
            <v>0.17545459019840789</v>
          </cell>
          <cell r="D76">
            <v>0.25197141542913898</v>
          </cell>
          <cell r="E76">
            <v>0.24741913806752291</v>
          </cell>
          <cell r="F76">
            <v>4.5522773616160596E-3</v>
          </cell>
          <cell r="G76">
            <v>0</v>
          </cell>
          <cell r="H76">
            <v>1</v>
          </cell>
        </row>
        <row r="77">
          <cell r="A77" t="str">
            <v>TD</v>
          </cell>
          <cell r="B77">
            <v>0</v>
          </cell>
          <cell r="C77">
            <v>0.44215850474318114</v>
          </cell>
          <cell r="D77">
            <v>0.55784149525681881</v>
          </cell>
          <cell r="E77">
            <v>0.55784149525681881</v>
          </cell>
          <cell r="F77">
            <v>0</v>
          </cell>
          <cell r="G77">
            <v>0</v>
          </cell>
          <cell r="H77">
            <v>1</v>
          </cell>
        </row>
        <row r="78">
          <cell r="A78" t="str">
            <v>WSF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</row>
      </sheetData>
      <sheetData sheetId="22">
        <row r="11">
          <cell r="A11" t="str">
            <v>FACTOR</v>
          </cell>
          <cell r="B11" t="str">
            <v>SUB</v>
          </cell>
          <cell r="C11" t="str">
            <v>PC</v>
          </cell>
          <cell r="D11" t="str">
            <v>XFMR</v>
          </cell>
          <cell r="E11" t="str">
            <v>METER</v>
          </cell>
          <cell r="F11" t="str">
            <v>SERVICE</v>
          </cell>
          <cell r="G11" t="str">
            <v>TOTAL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PLNT</v>
          </cell>
          <cell r="B19">
            <v>0.17743663767138473</v>
          </cell>
          <cell r="C19">
            <v>0.51056356090620303</v>
          </cell>
          <cell r="D19">
            <v>0.18029442254184178</v>
          </cell>
          <cell r="E19">
            <v>3.663568764167812E-2</v>
          </cell>
          <cell r="F19">
            <v>9.5069691238892265E-2</v>
          </cell>
          <cell r="G19">
            <v>1</v>
          </cell>
        </row>
        <row r="20">
          <cell r="A20" t="str">
            <v>PLNT2</v>
          </cell>
          <cell r="B20">
            <v>0.25790201520032657</v>
          </cell>
          <cell r="C20">
            <v>0.74209798479967337</v>
          </cell>
          <cell r="D20">
            <v>0</v>
          </cell>
          <cell r="E20">
            <v>0</v>
          </cell>
          <cell r="F20">
            <v>0</v>
          </cell>
          <cell r="G20">
            <v>1</v>
          </cell>
        </row>
        <row r="21">
          <cell r="A21" t="str">
            <v>DISom</v>
          </cell>
          <cell r="B21">
            <v>9.9050729100716148E-2</v>
          </cell>
          <cell r="C21">
            <v>0.82361814135809763</v>
          </cell>
          <cell r="D21">
            <v>7.3221224417730577E-3</v>
          </cell>
          <cell r="E21">
            <v>7.0009007099413184E-2</v>
          </cell>
          <cell r="F21">
            <v>0</v>
          </cell>
          <cell r="G21">
            <v>1</v>
          </cell>
        </row>
        <row r="22">
          <cell r="A22" t="str">
            <v>INTN</v>
          </cell>
          <cell r="B22">
            <v>0.17743663767138471</v>
          </cell>
          <cell r="C22">
            <v>0.51056356090620292</v>
          </cell>
          <cell r="D22">
            <v>0.18029442254184175</v>
          </cell>
          <cell r="E22">
            <v>3.663568764167812E-2</v>
          </cell>
          <cell r="F22">
            <v>9.5069691238892279E-2</v>
          </cell>
          <cell r="G22">
            <v>0.99999999999999978</v>
          </cell>
        </row>
        <row r="23">
          <cell r="A23" t="str">
            <v>GENL</v>
          </cell>
          <cell r="B23">
            <v>0.17743663767138471</v>
          </cell>
          <cell r="C23">
            <v>0.51056356090620303</v>
          </cell>
          <cell r="D23">
            <v>0.18029442254184178</v>
          </cell>
          <cell r="E23">
            <v>3.663568764167812E-2</v>
          </cell>
          <cell r="F23">
            <v>9.5069691238892265E-2</v>
          </cell>
          <cell r="G23">
            <v>1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DRB</v>
          </cell>
          <cell r="B25">
            <v>0.20746859569083956</v>
          </cell>
          <cell r="C25">
            <v>0.46919738508124692</v>
          </cell>
          <cell r="D25">
            <v>0.19387409178224363</v>
          </cell>
          <cell r="E25">
            <v>3.2133523409771818E-2</v>
          </cell>
          <cell r="F25">
            <v>9.7326404035897901E-2</v>
          </cell>
          <cell r="G25">
            <v>0.99999999999999989</v>
          </cell>
        </row>
      </sheetData>
      <sheetData sheetId="23"/>
      <sheetData sheetId="24">
        <row r="14">
          <cell r="A14" t="str">
            <v>A</v>
          </cell>
          <cell r="B14" t="str">
            <v>Direct Assignment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</row>
        <row r="15">
          <cell r="A15" t="str">
            <v>F10</v>
          </cell>
          <cell r="B15" t="str">
            <v xml:space="preserve">Coincident Peak, System </v>
          </cell>
          <cell r="C15">
            <v>0.75</v>
          </cell>
          <cell r="D15" t="str">
            <v>/</v>
          </cell>
          <cell r="E15">
            <v>0.25</v>
          </cell>
          <cell r="F15">
            <v>0.3461484003476229</v>
          </cell>
          <cell r="G15">
            <v>0.27714190730544991</v>
          </cell>
          <cell r="H15">
            <v>8.8893933934608704E-2</v>
          </cell>
          <cell r="I15">
            <v>1.8411158366343089E-3</v>
          </cell>
          <cell r="J15">
            <v>0.16676583628548822</v>
          </cell>
          <cell r="K15">
            <v>7.0860901420777278E-3</v>
          </cell>
          <cell r="L15">
            <v>1.9995583660614691E-4</v>
          </cell>
          <cell r="M15">
            <v>3.6884508456680096E-4</v>
          </cell>
          <cell r="N15">
            <v>6.5486496063917571E-2</v>
          </cell>
          <cell r="O15">
            <v>6.1474885781010022E-4</v>
          </cell>
          <cell r="P15">
            <v>8.3923541517602687E-3</v>
          </cell>
          <cell r="Q15">
            <v>2.0243320875040226E-2</v>
          </cell>
          <cell r="R15">
            <v>1.6816995278417228E-2</v>
          </cell>
          <cell r="S15">
            <v>1</v>
          </cell>
        </row>
        <row r="16">
          <cell r="A16" t="str">
            <v>F11</v>
          </cell>
          <cell r="B16" t="str">
            <v xml:space="preserve">Coincident Peak, System </v>
          </cell>
          <cell r="C16">
            <v>0.5</v>
          </cell>
          <cell r="D16" t="str">
            <v>/</v>
          </cell>
          <cell r="E16">
            <v>0.5</v>
          </cell>
          <cell r="F16">
            <v>0.33014415729742819</v>
          </cell>
          <cell r="G16">
            <v>0.27509551193609805</v>
          </cell>
          <cell r="H16">
            <v>9.1217445251843041E-2</v>
          </cell>
          <cell r="I16">
            <v>2.4751773382575433E-3</v>
          </cell>
          <cell r="J16">
            <v>0.17406554349443759</v>
          </cell>
          <cell r="K16">
            <v>7.447028376383032E-3</v>
          </cell>
          <cell r="L16">
            <v>2.1383734116064355E-4</v>
          </cell>
          <cell r="M16">
            <v>4.9215859862509581E-4</v>
          </cell>
          <cell r="N16">
            <v>6.4163857169393046E-2</v>
          </cell>
          <cell r="O16">
            <v>5.8791063841491823E-4</v>
          </cell>
          <cell r="P16">
            <v>9.0089371401904841E-3</v>
          </cell>
          <cell r="Q16">
            <v>2.6044643362540199E-2</v>
          </cell>
          <cell r="R16">
            <v>1.9043792055228253E-2</v>
          </cell>
          <cell r="S16">
            <v>1</v>
          </cell>
        </row>
        <row r="17">
          <cell r="A17" t="str">
            <v>F12</v>
          </cell>
          <cell r="B17" t="str">
            <v xml:space="preserve">Coincident Peak, System </v>
          </cell>
          <cell r="C17">
            <v>1</v>
          </cell>
          <cell r="D17" t="str">
            <v>/</v>
          </cell>
          <cell r="E17">
            <v>0</v>
          </cell>
          <cell r="F17">
            <v>0.36215264339781766</v>
          </cell>
          <cell r="G17">
            <v>0.27918830267480171</v>
          </cell>
          <cell r="H17">
            <v>8.6570422617374354E-2</v>
          </cell>
          <cell r="I17">
            <v>1.2070543350110744E-3</v>
          </cell>
          <cell r="J17">
            <v>0.15946612907653884</v>
          </cell>
          <cell r="K17">
            <v>6.7251519077724245E-3</v>
          </cell>
          <cell r="L17">
            <v>1.8607433205165025E-4</v>
          </cell>
          <cell r="M17">
            <v>2.4553157050850616E-4</v>
          </cell>
          <cell r="N17">
            <v>6.6809134958442096E-2</v>
          </cell>
          <cell r="O17">
            <v>6.415870772052822E-4</v>
          </cell>
          <cell r="P17">
            <v>7.7757711633300534E-3</v>
          </cell>
          <cell r="Q17">
            <v>1.4441998387540251E-2</v>
          </cell>
          <cell r="R17">
            <v>1.4590198501606205E-2</v>
          </cell>
          <cell r="S17">
            <v>1</v>
          </cell>
        </row>
        <row r="18">
          <cell r="A18" t="str">
            <v>F13</v>
          </cell>
          <cell r="B18" t="str">
            <v>Seasonal System Capacity Combustion Turbine</v>
          </cell>
          <cell r="C18" t="str">
            <v>SSCCT</v>
          </cell>
          <cell r="D18">
            <v>0</v>
          </cell>
          <cell r="E18">
            <v>0</v>
          </cell>
          <cell r="F18">
            <v>0.35685248193826696</v>
          </cell>
          <cell r="G18">
            <v>0.28098891726056074</v>
          </cell>
          <cell r="H18">
            <v>8.7206283909940618E-2</v>
          </cell>
          <cell r="I18">
            <v>1.2132473460716795E-3</v>
          </cell>
          <cell r="J18">
            <v>0.16104033096385387</v>
          </cell>
          <cell r="K18">
            <v>6.5489686159910278E-3</v>
          </cell>
          <cell r="L18">
            <v>1.8859896668711358E-4</v>
          </cell>
          <cell r="M18">
            <v>2.4676561242571049E-4</v>
          </cell>
          <cell r="N18">
            <v>6.7052440030463054E-2</v>
          </cell>
          <cell r="O18">
            <v>6.337711094853973E-4</v>
          </cell>
          <cell r="P18">
            <v>7.8722180382793695E-3</v>
          </cell>
          <cell r="Q18">
            <v>1.5428205017251857E-2</v>
          </cell>
          <cell r="R18">
            <v>1.4727771190722523E-2</v>
          </cell>
          <cell r="S18">
            <v>1</v>
          </cell>
        </row>
        <row r="19">
          <cell r="A19" t="str">
            <v>F14</v>
          </cell>
          <cell r="B19" t="str">
            <v>Seasonal System Generation Combustion Turbine</v>
          </cell>
          <cell r="C19" t="str">
            <v>SSGCT</v>
          </cell>
          <cell r="D19">
            <v>0</v>
          </cell>
          <cell r="E19">
            <v>0</v>
          </cell>
          <cell r="F19">
            <v>0.34026820996116136</v>
          </cell>
          <cell r="G19">
            <v>0.27925253883748807</v>
          </cell>
          <cell r="H19">
            <v>8.9634475420693749E-2</v>
          </cell>
          <cell r="I19">
            <v>1.8552394296533451E-3</v>
          </cell>
          <cell r="J19">
            <v>0.1684281746267208</v>
          </cell>
          <cell r="K19">
            <v>6.9877923284921966E-3</v>
          </cell>
          <cell r="L19">
            <v>2.0254968993540476E-4</v>
          </cell>
          <cell r="M19">
            <v>3.7179940410827085E-4</v>
          </cell>
          <cell r="N19">
            <v>6.5838559456222676E-2</v>
          </cell>
          <cell r="O19">
            <v>6.1040227386528669E-4</v>
          </cell>
          <cell r="P19">
            <v>8.4949634528499358E-3</v>
          </cell>
          <cell r="Q19">
            <v>2.1072058720750513E-2</v>
          </cell>
          <cell r="R19">
            <v>1.6983236398058273E-2</v>
          </cell>
          <cell r="S19">
            <v>1</v>
          </cell>
        </row>
        <row r="20">
          <cell r="A20" t="str">
            <v>F15</v>
          </cell>
          <cell r="B20" t="str">
            <v>Seasonal System Capacity Cholla</v>
          </cell>
          <cell r="C20" t="str">
            <v>SSCCH</v>
          </cell>
          <cell r="D20">
            <v>0</v>
          </cell>
          <cell r="E20">
            <v>0</v>
          </cell>
          <cell r="F20">
            <v>0.35007684755743257</v>
          </cell>
          <cell r="G20">
            <v>0.27667587754118128</v>
          </cell>
          <cell r="H20">
            <v>8.9837869142854507E-2</v>
          </cell>
          <cell r="I20">
            <v>2.1169705009157365E-3</v>
          </cell>
          <cell r="J20">
            <v>0.16830351151621933</v>
          </cell>
          <cell r="K20">
            <v>3.8468420821479265E-3</v>
          </cell>
          <cell r="L20">
            <v>1.9940517129058802E-4</v>
          </cell>
          <cell r="M20">
            <v>4.3055638122537984E-4</v>
          </cell>
          <cell r="N20">
            <v>6.5669762940050072E-2</v>
          </cell>
          <cell r="O20">
            <v>6.3849438634543793E-4</v>
          </cell>
          <cell r="P20">
            <v>8.2461106097112061E-3</v>
          </cell>
          <cell r="Q20">
            <v>1.7460906650906046E-2</v>
          </cell>
          <cell r="R20">
            <v>1.6496845519719888E-2</v>
          </cell>
          <cell r="S20">
            <v>1</v>
          </cell>
        </row>
        <row r="21">
          <cell r="A21" t="str">
            <v>F16</v>
          </cell>
          <cell r="B21" t="str">
            <v>Seasonal System Generation Cholla</v>
          </cell>
          <cell r="C21" t="str">
            <v>SSGCH</v>
          </cell>
          <cell r="D21">
            <v>0</v>
          </cell>
          <cell r="E21">
            <v>0</v>
          </cell>
          <cell r="F21">
            <v>0.33506076766448412</v>
          </cell>
          <cell r="G21">
            <v>0.27578824548960756</v>
          </cell>
          <cell r="H21">
            <v>9.1788282097134605E-2</v>
          </cell>
          <cell r="I21">
            <v>2.5590540142830533E-3</v>
          </cell>
          <cell r="J21">
            <v>0.17446336466919565</v>
          </cell>
          <cell r="K21">
            <v>4.0455924207152168E-3</v>
          </cell>
          <cell r="L21">
            <v>2.1202759055625591E-4</v>
          </cell>
          <cell r="M21">
            <v>5.1152597418173764E-4</v>
          </cell>
          <cell r="N21">
            <v>6.4852692406826479E-2</v>
          </cell>
          <cell r="O21">
            <v>6.1668327314505055E-4</v>
          </cell>
          <cell r="P21">
            <v>8.8040520550055311E-3</v>
          </cell>
          <cell r="Q21">
            <v>2.2826866487845373E-2</v>
          </cell>
          <cell r="R21">
            <v>1.8470845857019358E-2</v>
          </cell>
          <cell r="S21">
            <v>1</v>
          </cell>
        </row>
        <row r="22">
          <cell r="A22" t="str">
            <v>F17</v>
          </cell>
          <cell r="B22" t="str">
            <v>Seasonal System Capacity Purchase</v>
          </cell>
          <cell r="C22" t="str">
            <v>SSCC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1</v>
          </cell>
        </row>
        <row r="23">
          <cell r="A23" t="str">
            <v>F18</v>
          </cell>
          <cell r="B23" t="str">
            <v>Seasonal System Generation Contract</v>
          </cell>
          <cell r="C23" t="str">
            <v>SSGC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1</v>
          </cell>
        </row>
        <row r="24">
          <cell r="A24" t="str">
            <v>F20</v>
          </cell>
          <cell r="B24" t="str">
            <v>12 Weighted Distribution Peaks</v>
          </cell>
          <cell r="C24">
            <v>0</v>
          </cell>
          <cell r="D24">
            <v>0</v>
          </cell>
          <cell r="E24">
            <v>0</v>
          </cell>
          <cell r="F24">
            <v>0.4707810800032789</v>
          </cell>
          <cell r="G24">
            <v>0.33195406095819258</v>
          </cell>
          <cell r="H24">
            <v>9.6141941246542115E-2</v>
          </cell>
          <cell r="I24">
            <v>7.492994782912029E-4</v>
          </cell>
          <cell r="J24">
            <v>0</v>
          </cell>
          <cell r="K24">
            <v>1.3031919730716126E-2</v>
          </cell>
          <cell r="L24">
            <v>1.7660135383184555E-4</v>
          </cell>
          <cell r="M24">
            <v>1.6273362534603863E-4</v>
          </cell>
          <cell r="N24">
            <v>8.619861671738005E-2</v>
          </cell>
          <cell r="O24">
            <v>8.0374688642115581E-4</v>
          </cell>
          <cell r="P24">
            <v>0</v>
          </cell>
          <cell r="Q24">
            <v>0</v>
          </cell>
          <cell r="R24">
            <v>0</v>
          </cell>
          <cell r="S24">
            <v>1</v>
          </cell>
        </row>
        <row r="25">
          <cell r="A25" t="str">
            <v>F21</v>
          </cell>
          <cell r="B25" t="str">
            <v>Transformers      - NCP</v>
          </cell>
          <cell r="C25">
            <v>0</v>
          </cell>
          <cell r="D25">
            <v>0</v>
          </cell>
          <cell r="E25">
            <v>0</v>
          </cell>
          <cell r="F25">
            <v>0.59055368391181151</v>
          </cell>
          <cell r="G25">
            <v>0.23978681675195562</v>
          </cell>
          <cell r="H25">
            <v>6.3362723263065746E-2</v>
          </cell>
          <cell r="I25">
            <v>3.6483710767670928E-3</v>
          </cell>
          <cell r="J25">
            <v>0</v>
          </cell>
          <cell r="K25">
            <v>2.5710409495489625E-2</v>
          </cell>
          <cell r="L25">
            <v>1.1517789034312014E-4</v>
          </cell>
          <cell r="M25">
            <v>8.5950976985743111E-4</v>
          </cell>
          <cell r="N25">
            <v>7.4564681784161146E-2</v>
          </cell>
          <cell r="O25">
            <v>1.3986260565486363E-3</v>
          </cell>
          <cell r="P25">
            <v>0</v>
          </cell>
          <cell r="Q25">
            <v>0</v>
          </cell>
          <cell r="R25">
            <v>0</v>
          </cell>
          <cell r="S25">
            <v>1</v>
          </cell>
        </row>
        <row r="26">
          <cell r="A26" t="str">
            <v>F22</v>
          </cell>
          <cell r="B26" t="str">
            <v>Secondary Lines - NCP</v>
          </cell>
          <cell r="C26">
            <v>0</v>
          </cell>
          <cell r="D26">
            <v>0</v>
          </cell>
          <cell r="E26">
            <v>0</v>
          </cell>
          <cell r="F26">
            <v>0.88789261336042413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0.11210738663957574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1</v>
          </cell>
        </row>
        <row r="27">
          <cell r="A27" t="str">
            <v>F30</v>
          </cell>
          <cell r="B27" t="str">
            <v>MWH @ Input</v>
          </cell>
          <cell r="C27">
            <v>0</v>
          </cell>
          <cell r="D27">
            <v>0</v>
          </cell>
          <cell r="E27">
            <v>0</v>
          </cell>
          <cell r="F27">
            <v>0.2981356711970386</v>
          </cell>
          <cell r="G27">
            <v>0.27100272119739433</v>
          </cell>
          <cell r="H27">
            <v>9.5864467886311699E-2</v>
          </cell>
          <cell r="I27">
            <v>3.743300341504011E-3</v>
          </cell>
          <cell r="J27">
            <v>0.18866495791233626</v>
          </cell>
          <cell r="K27">
            <v>8.168904844993637E-3</v>
          </cell>
          <cell r="L27">
            <v>2.4160035026963683E-4</v>
          </cell>
          <cell r="M27">
            <v>7.3878562674168518E-4</v>
          </cell>
          <cell r="N27">
            <v>6.1518579380343982E-2</v>
          </cell>
          <cell r="O27">
            <v>5.3423419962455416E-4</v>
          </cell>
          <cell r="P27">
            <v>1.0242103117050911E-2</v>
          </cell>
          <cell r="Q27">
            <v>3.7647288337540143E-2</v>
          </cell>
          <cell r="R27">
            <v>2.3497385608850296E-2</v>
          </cell>
          <cell r="S27">
            <v>1</v>
          </cell>
        </row>
        <row r="28">
          <cell r="A28" t="str">
            <v>F32</v>
          </cell>
          <cell r="B28" t="str">
            <v>Seasonal System Energy Combustion Turbine</v>
          </cell>
          <cell r="C28" t="str">
            <v>SSECT</v>
          </cell>
          <cell r="D28">
            <v>0</v>
          </cell>
          <cell r="E28">
            <v>0</v>
          </cell>
          <cell r="F28">
            <v>0.29051539402984472</v>
          </cell>
          <cell r="G28">
            <v>0.27404340356827012</v>
          </cell>
          <cell r="H28">
            <v>9.6919049952953126E-2</v>
          </cell>
          <cell r="I28">
            <v>3.7812156803983419E-3</v>
          </cell>
          <cell r="J28">
            <v>0.19059170561532157</v>
          </cell>
          <cell r="K28">
            <v>8.3042634659957031E-3</v>
          </cell>
          <cell r="L28">
            <v>2.4440185968027835E-4</v>
          </cell>
          <cell r="M28">
            <v>7.469007791559521E-4</v>
          </cell>
          <cell r="N28">
            <v>6.2196917733501562E-2</v>
          </cell>
          <cell r="O28">
            <v>5.4029576700495498E-4</v>
          </cell>
          <cell r="P28">
            <v>1.0363199696561638E-2</v>
          </cell>
          <cell r="Q28">
            <v>3.800361983124647E-2</v>
          </cell>
          <cell r="R28">
            <v>2.3749632020065511E-2</v>
          </cell>
          <cell r="S28">
            <v>1</v>
          </cell>
        </row>
        <row r="29">
          <cell r="A29" t="str">
            <v>F33</v>
          </cell>
          <cell r="B29" t="str">
            <v>Seasonal System Energy Cholla</v>
          </cell>
          <cell r="C29" t="str">
            <v>SSECH</v>
          </cell>
          <cell r="D29">
            <v>0</v>
          </cell>
          <cell r="E29">
            <v>0</v>
          </cell>
          <cell r="F29">
            <v>0.29001252798563881</v>
          </cell>
          <cell r="G29">
            <v>0.2731253493348863</v>
          </cell>
          <cell r="H29">
            <v>9.7639520959974885E-2</v>
          </cell>
          <cell r="I29">
            <v>3.8853045543850036E-3</v>
          </cell>
          <cell r="J29">
            <v>0.19294292412812464</v>
          </cell>
          <cell r="K29">
            <v>4.6418434364170888E-3</v>
          </cell>
          <cell r="L29">
            <v>2.4989484835325951E-4</v>
          </cell>
          <cell r="M29">
            <v>7.5443475305081106E-4</v>
          </cell>
          <cell r="N29">
            <v>6.2401480807155671E-2</v>
          </cell>
          <cell r="O29">
            <v>5.5124993354388843E-4</v>
          </cell>
          <cell r="P29">
            <v>1.0477876390888503E-2</v>
          </cell>
          <cell r="Q29">
            <v>3.8924745998663357E-2</v>
          </cell>
          <cell r="R29">
            <v>2.4392846868917774E-2</v>
          </cell>
          <cell r="S29">
            <v>1</v>
          </cell>
        </row>
        <row r="30">
          <cell r="A30" t="str">
            <v>F34</v>
          </cell>
          <cell r="B30" t="str">
            <v>Seasonal System Energy Contracts</v>
          </cell>
          <cell r="C30" t="str">
            <v>SSEC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1</v>
          </cell>
        </row>
        <row r="31">
          <cell r="A31" t="str">
            <v>F40</v>
          </cell>
          <cell r="B31" t="str">
            <v>Average Customers</v>
          </cell>
          <cell r="C31">
            <v>0</v>
          </cell>
          <cell r="D31">
            <v>0</v>
          </cell>
          <cell r="E31">
            <v>0</v>
          </cell>
          <cell r="F31">
            <v>0.86644901411377973</v>
          </cell>
          <cell r="G31">
            <v>1.8399491404001402E-2</v>
          </cell>
          <cell r="H31">
            <v>3.550863511828087E-4</v>
          </cell>
          <cell r="I31">
            <v>1.1688961207919509E-2</v>
          </cell>
          <cell r="J31">
            <v>1.9258920742118438E-4</v>
          </cell>
          <cell r="K31">
            <v>3.4485504953855831E-3</v>
          </cell>
          <cell r="L31">
            <v>2.7010636340821111E-3</v>
          </cell>
          <cell r="M31">
            <v>5.6813816189249392E-4</v>
          </cell>
          <cell r="N31">
            <v>9.6180253868685867E-2</v>
          </cell>
          <cell r="O31">
            <v>1.3240508010206427E-5</v>
          </cell>
          <cell r="P31">
            <v>1.2036825463824024E-6</v>
          </cell>
          <cell r="Q31">
            <v>1.2036825463824024E-6</v>
          </cell>
          <cell r="R31">
            <v>1.2036825463824024E-6</v>
          </cell>
          <cell r="S31">
            <v>1</v>
          </cell>
        </row>
        <row r="32">
          <cell r="A32" t="str">
            <v>F41</v>
          </cell>
          <cell r="B32" t="str">
            <v>Weighted Customers Acct 902</v>
          </cell>
          <cell r="C32">
            <v>0</v>
          </cell>
          <cell r="D32">
            <v>0</v>
          </cell>
          <cell r="E32">
            <v>0</v>
          </cell>
          <cell r="F32">
            <v>0.79450159308294821</v>
          </cell>
          <cell r="G32">
            <v>3.4924317228300562E-2</v>
          </cell>
          <cell r="H32">
            <v>1.0673201016540325E-2</v>
          </cell>
          <cell r="I32">
            <v>0</v>
          </cell>
          <cell r="J32">
            <v>7.4365062583677611E-3</v>
          </cell>
          <cell r="K32">
            <v>1.476744052914159E-2</v>
          </cell>
          <cell r="L32">
            <v>2.7492203824199652E-3</v>
          </cell>
          <cell r="M32">
            <v>5.7826738881560768E-4</v>
          </cell>
          <cell r="N32">
            <v>0.13405445997295945</v>
          </cell>
          <cell r="O32">
            <v>8.9843803347057673E-6</v>
          </cell>
          <cell r="P32">
            <v>3.4866901077807761E-5</v>
          </cell>
          <cell r="Q32">
            <v>1.3557142954691761E-4</v>
          </cell>
          <cell r="R32">
            <v>1.3557142954691761E-4</v>
          </cell>
          <cell r="S32">
            <v>1</v>
          </cell>
        </row>
        <row r="33">
          <cell r="A33" t="str">
            <v>F42</v>
          </cell>
          <cell r="B33" t="str">
            <v>Weighted Customers Acct 903</v>
          </cell>
          <cell r="C33">
            <v>0</v>
          </cell>
          <cell r="D33">
            <v>0</v>
          </cell>
          <cell r="E33">
            <v>0</v>
          </cell>
          <cell r="F33">
            <v>0.87121091198399014</v>
          </cell>
          <cell r="G33">
            <v>1.8685618887272257E-2</v>
          </cell>
          <cell r="H33">
            <v>3.6060824098817972E-4</v>
          </cell>
          <cell r="I33">
            <v>1.0806265281044006E-2</v>
          </cell>
          <cell r="J33">
            <v>1.4291196877289566E-3</v>
          </cell>
          <cell r="K33">
            <v>3.5368533735182337E-3</v>
          </cell>
          <cell r="L33">
            <v>2.4986356816757084E-3</v>
          </cell>
          <cell r="M33">
            <v>5.2555973340059469E-4</v>
          </cell>
          <cell r="N33">
            <v>9.0906317860013006E-2</v>
          </cell>
          <cell r="O33">
            <v>1.3313276223762299E-5</v>
          </cell>
          <cell r="P33">
            <v>8.9319980483059787E-6</v>
          </cell>
          <cell r="Q33">
            <v>8.9319980483059787E-6</v>
          </cell>
          <cell r="R33">
            <v>8.9319980483059787E-6</v>
          </cell>
          <cell r="S33">
            <v>1</v>
          </cell>
        </row>
        <row r="34">
          <cell r="A34" t="str">
            <v>F43</v>
          </cell>
          <cell r="B34" t="str">
            <v>Residential Split</v>
          </cell>
          <cell r="C34">
            <v>0</v>
          </cell>
          <cell r="D34">
            <v>0</v>
          </cell>
          <cell r="E34">
            <v>0</v>
          </cell>
          <cell r="F34">
            <v>0.99998471888655327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1.5281113446754698E-5</v>
          </cell>
          <cell r="P34">
            <v>0</v>
          </cell>
          <cell r="Q34">
            <v>0</v>
          </cell>
          <cell r="R34">
            <v>0</v>
          </cell>
          <cell r="S34">
            <v>1</v>
          </cell>
        </row>
        <row r="35">
          <cell r="A35" t="str">
            <v>F44</v>
          </cell>
          <cell r="B35" t="str">
            <v>Commercial Split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0.15333495510637357</v>
          </cell>
          <cell r="H35">
            <v>1.9129550179132204E-3</v>
          </cell>
          <cell r="I35">
            <v>0</v>
          </cell>
          <cell r="J35">
            <v>2.9855367331593611E-4</v>
          </cell>
          <cell r="K35">
            <v>0</v>
          </cell>
          <cell r="L35">
            <v>0</v>
          </cell>
          <cell r="M35">
            <v>0</v>
          </cell>
          <cell r="N35">
            <v>0.84445353620239727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</row>
        <row r="36">
          <cell r="A36" t="str">
            <v>F45</v>
          </cell>
          <cell r="B36" t="str">
            <v>Industrial / Irrigation Split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0.17540597495971241</v>
          </cell>
          <cell r="H36">
            <v>1.5123342010660717E-2</v>
          </cell>
          <cell r="I36">
            <v>0</v>
          </cell>
          <cell r="J36">
            <v>1.5991074748977315E-2</v>
          </cell>
          <cell r="K36">
            <v>0.3551506136110078</v>
          </cell>
          <cell r="L36">
            <v>0</v>
          </cell>
          <cell r="M36">
            <v>0</v>
          </cell>
          <cell r="N36">
            <v>0.43795710921036318</v>
          </cell>
          <cell r="O36">
            <v>0</v>
          </cell>
          <cell r="P36">
            <v>1.2396181975951408E-4</v>
          </cell>
          <cell r="Q36">
            <v>1.2396181975951408E-4</v>
          </cell>
          <cell r="R36">
            <v>1.2396181975951408E-4</v>
          </cell>
          <cell r="S36">
            <v>1</v>
          </cell>
        </row>
        <row r="37">
          <cell r="A37" t="str">
            <v>F46</v>
          </cell>
          <cell r="B37" t="str">
            <v>Lighting / OSPA  Split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0.78144363080389478</v>
          </cell>
          <cell r="J37">
            <v>0</v>
          </cell>
          <cell r="K37">
            <v>0</v>
          </cell>
          <cell r="L37">
            <v>0.18057455540355677</v>
          </cell>
          <cell r="M37">
            <v>3.7981813792548481E-2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1</v>
          </cell>
        </row>
        <row r="38">
          <cell r="A38" t="str">
            <v>F47</v>
          </cell>
          <cell r="B38" t="str">
            <v>Wtd Customers Acct 902 - irrigation</v>
          </cell>
          <cell r="C38">
            <v>0</v>
          </cell>
          <cell r="D38">
            <v>0</v>
          </cell>
          <cell r="E38">
            <v>0</v>
          </cell>
          <cell r="F38">
            <v>0.80012907615042528</v>
          </cell>
          <cell r="G38">
            <v>3.5171687410508537E-2</v>
          </cell>
          <cell r="H38">
            <v>1.0748799679298562E-2</v>
          </cell>
          <cell r="I38">
            <v>0</v>
          </cell>
          <cell r="J38">
            <v>7.4891792969299159E-3</v>
          </cell>
          <cell r="K38">
            <v>7.7890032368576924E-3</v>
          </cell>
          <cell r="L38">
            <v>2.7686932082588629E-3</v>
          </cell>
          <cell r="M38">
            <v>5.82363277316481E-4</v>
          </cell>
          <cell r="N38">
            <v>0.13500397248518778</v>
          </cell>
          <cell r="O38">
            <v>9.0480170204537995E-6</v>
          </cell>
          <cell r="P38">
            <v>3.5113864579377825E-5</v>
          </cell>
          <cell r="Q38">
            <v>1.365316868086413E-4</v>
          </cell>
          <cell r="R38">
            <v>1.365316868086413E-4</v>
          </cell>
          <cell r="S38">
            <v>1</v>
          </cell>
        </row>
        <row r="39">
          <cell r="A39" t="str">
            <v>F48</v>
          </cell>
          <cell r="B39" t="str">
            <v>Wtd Customers Acct 903 - irrigation</v>
          </cell>
          <cell r="C39">
            <v>0</v>
          </cell>
          <cell r="D39">
            <v>0</v>
          </cell>
          <cell r="E39">
            <v>0</v>
          </cell>
          <cell r="F39">
            <v>0.87268092592419133</v>
          </cell>
          <cell r="G39">
            <v>1.8717147556011064E-2</v>
          </cell>
          <cell r="H39">
            <v>3.6121670345566289E-4</v>
          </cell>
          <cell r="I39">
            <v>1.0824498937654747E-2</v>
          </cell>
          <cell r="J39">
            <v>1.4315310738058291E-3</v>
          </cell>
          <cell r="K39">
            <v>1.85549849574065E-3</v>
          </cell>
          <cell r="L39">
            <v>2.5028516863572644E-3</v>
          </cell>
          <cell r="M39">
            <v>5.2644652226409489E-4</v>
          </cell>
          <cell r="N39">
            <v>9.1059706152868819E-2</v>
          </cell>
          <cell r="O39">
            <v>1.3335740016822594E-5</v>
          </cell>
          <cell r="P39">
            <v>8.9470692112864306E-6</v>
          </cell>
          <cell r="Q39">
            <v>8.9470692112864306E-6</v>
          </cell>
          <cell r="R39">
            <v>8.9470692112864306E-6</v>
          </cell>
          <cell r="S39">
            <v>1</v>
          </cell>
        </row>
        <row r="40">
          <cell r="A40" t="str">
            <v>F50</v>
          </cell>
          <cell r="B40" t="str">
            <v>Contribution in Aid of Construction</v>
          </cell>
          <cell r="C40">
            <v>0</v>
          </cell>
          <cell r="D40">
            <v>0</v>
          </cell>
          <cell r="E40">
            <v>0</v>
          </cell>
          <cell r="F40">
            <v>0.15736072656272435</v>
          </cell>
          <cell r="G40">
            <v>2.7706430725220388E-2</v>
          </cell>
          <cell r="H40">
            <v>1.4655706087708829E-2</v>
          </cell>
          <cell r="I40">
            <v>7.2275376376838868E-2</v>
          </cell>
          <cell r="J40">
            <v>0.55846599187674095</v>
          </cell>
          <cell r="K40">
            <v>2.2113049525370673E-3</v>
          </cell>
          <cell r="L40">
            <v>2.7262602191836858E-3</v>
          </cell>
          <cell r="M40">
            <v>6.3707547574648289E-3</v>
          </cell>
          <cell r="N40">
            <v>0.15822744844158118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</row>
        <row r="41">
          <cell r="A41" t="str">
            <v>F51</v>
          </cell>
          <cell r="B41" t="str">
            <v>Security Deposits</v>
          </cell>
          <cell r="C41">
            <v>0</v>
          </cell>
          <cell r="D41">
            <v>0</v>
          </cell>
          <cell r="E41">
            <v>0</v>
          </cell>
          <cell r="F41">
            <v>0.26075906169504837</v>
          </cell>
          <cell r="G41">
            <v>2.9968509951039449E-2</v>
          </cell>
          <cell r="H41">
            <v>8.2251306973778818E-2</v>
          </cell>
          <cell r="I41">
            <v>1.0695391797479142E-3</v>
          </cell>
          <cell r="J41">
            <v>0.28583611654786145</v>
          </cell>
          <cell r="K41">
            <v>7.1929387323423216E-3</v>
          </cell>
          <cell r="L41">
            <v>0</v>
          </cell>
          <cell r="M41">
            <v>4.0838157835987204E-5</v>
          </cell>
          <cell r="N41">
            <v>0.26577596298169065</v>
          </cell>
          <cell r="O41">
            <v>0</v>
          </cell>
          <cell r="P41">
            <v>0</v>
          </cell>
          <cell r="Q41">
            <v>6.7105725780654907E-2</v>
          </cell>
          <cell r="R41">
            <v>0</v>
          </cell>
          <cell r="S41">
            <v>1</v>
          </cell>
        </row>
        <row r="42">
          <cell r="A42" t="str">
            <v>F60</v>
          </cell>
          <cell r="B42" t="str">
            <v>Meters</v>
          </cell>
          <cell r="C42">
            <v>0</v>
          </cell>
          <cell r="D42">
            <v>0</v>
          </cell>
          <cell r="E42">
            <v>0</v>
          </cell>
          <cell r="F42">
            <v>0.68497890837007003</v>
          </cell>
          <cell r="G42">
            <v>0.10902835722412574</v>
          </cell>
          <cell r="H42">
            <v>1.3486620889471447E-2</v>
          </cell>
          <cell r="I42">
            <v>0</v>
          </cell>
          <cell r="J42">
            <v>3.8957800440214296E-2</v>
          </cell>
          <cell r="K42">
            <v>1.1135492495671355E-2</v>
          </cell>
          <cell r="L42">
            <v>2.0350891354208589E-3</v>
          </cell>
          <cell r="M42">
            <v>4.2805796431312178E-4</v>
          </cell>
          <cell r="N42">
            <v>0.1306353806924791</v>
          </cell>
          <cell r="O42">
            <v>1.9981764371414636E-4</v>
          </cell>
          <cell r="P42">
            <v>3.03815838150666E-3</v>
          </cell>
          <cell r="Q42">
            <v>3.03815838150666E-3</v>
          </cell>
          <cell r="R42">
            <v>3.03815838150666E-3</v>
          </cell>
          <cell r="S42">
            <v>1</v>
          </cell>
        </row>
        <row r="43">
          <cell r="A43" t="str">
            <v>F70</v>
          </cell>
          <cell r="B43" t="str">
            <v>Services</v>
          </cell>
          <cell r="C43">
            <v>0</v>
          </cell>
          <cell r="D43">
            <v>0</v>
          </cell>
          <cell r="E43">
            <v>0</v>
          </cell>
          <cell r="F43">
            <v>0.78247152659940289</v>
          </cell>
          <cell r="G43">
            <v>7.9505021864011857E-2</v>
          </cell>
          <cell r="H43">
            <v>3.0064817283884603E-3</v>
          </cell>
          <cell r="I43">
            <v>0</v>
          </cell>
          <cell r="J43">
            <v>0</v>
          </cell>
          <cell r="K43">
            <v>0</v>
          </cell>
          <cell r="L43">
            <v>3.1363648863416945E-3</v>
          </cell>
          <cell r="M43">
            <v>6.5969885309860956E-4</v>
          </cell>
          <cell r="N43">
            <v>0.13122090606875636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</row>
        <row r="44">
          <cell r="A44" t="str">
            <v>F80</v>
          </cell>
          <cell r="B44" t="str">
            <v>Uncollectables</v>
          </cell>
          <cell r="C44">
            <v>0</v>
          </cell>
          <cell r="D44">
            <v>0</v>
          </cell>
          <cell r="E44">
            <v>0</v>
          </cell>
          <cell r="F44">
            <v>0.81065129837697247</v>
          </cell>
          <cell r="G44">
            <v>8.9623473350243746E-2</v>
          </cell>
          <cell r="H44">
            <v>2.7060566570668406E-2</v>
          </cell>
          <cell r="I44">
            <v>0</v>
          </cell>
          <cell r="J44">
            <v>4.2008370112631192E-2</v>
          </cell>
          <cell r="K44">
            <v>6.9250332500972005E-3</v>
          </cell>
          <cell r="L44">
            <v>0</v>
          </cell>
          <cell r="M44">
            <v>0</v>
          </cell>
          <cell r="N44">
            <v>2.3731258339386784E-2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1</v>
          </cell>
        </row>
        <row r="45">
          <cell r="A45" t="str">
            <v>F85</v>
          </cell>
          <cell r="B45" t="str">
            <v>Firm Sales - Utah Share</v>
          </cell>
          <cell r="C45">
            <v>0</v>
          </cell>
          <cell r="D45">
            <v>0</v>
          </cell>
          <cell r="E45">
            <v>0</v>
          </cell>
          <cell r="F45">
            <v>0.33643911685941369</v>
          </cell>
          <cell r="G45">
            <v>0.27844030436176387</v>
          </cell>
          <cell r="H45">
            <v>9.0747831870374704E-2</v>
          </cell>
          <cell r="I45">
            <v>2.1032880770656031E-3</v>
          </cell>
          <cell r="J45">
            <v>0.17158763334158497</v>
          </cell>
          <cell r="K45">
            <v>5.5538087700705971E-3</v>
          </cell>
          <cell r="L45">
            <v>2.0805063036667589E-4</v>
          </cell>
          <cell r="M45">
            <v>4.2118250800580954E-4</v>
          </cell>
          <cell r="N45">
            <v>6.5281456317390962E-2</v>
          </cell>
          <cell r="O45">
            <v>6.0592213968437589E-4</v>
          </cell>
          <cell r="P45">
            <v>8.6653162059154958E-3</v>
          </cell>
          <cell r="Q45">
            <v>2.2195812505219254E-2</v>
          </cell>
          <cell r="R45">
            <v>1.7750276413143921E-2</v>
          </cell>
          <cell r="S45">
            <v>1</v>
          </cell>
        </row>
        <row r="46">
          <cell r="A46" t="str">
            <v>F86</v>
          </cell>
          <cell r="B46" t="str">
            <v>Non Firm Sales - Utah Share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1</v>
          </cell>
        </row>
        <row r="47">
          <cell r="A47" t="str">
            <v>F87</v>
          </cell>
          <cell r="B47" t="str">
            <v>Firm Purchases (Non-Seasonal) - Utah Share</v>
          </cell>
          <cell r="C47">
            <v>0</v>
          </cell>
          <cell r="D47">
            <v>0</v>
          </cell>
          <cell r="E47">
            <v>0</v>
          </cell>
          <cell r="F47">
            <v>0.33498974344285004</v>
          </cell>
          <cell r="G47">
            <v>0.28084078818422581</v>
          </cell>
          <cell r="H47">
            <v>9.0054501965800449E-2</v>
          </cell>
          <cell r="I47">
            <v>1.7613441456342423E-3</v>
          </cell>
          <cell r="J47">
            <v>0.17018925634585255</v>
          </cell>
          <cell r="K47">
            <v>6.8123959913749038E-3</v>
          </cell>
          <cell r="L47">
            <v>2.0644925068073665E-4</v>
          </cell>
          <cell r="M47">
            <v>3.5087871195536835E-4</v>
          </cell>
          <cell r="N47">
            <v>6.5938301165770777E-2</v>
          </cell>
          <cell r="O47">
            <v>5.9761458220806822E-4</v>
          </cell>
          <cell r="P47">
            <v>8.5905776801710881E-3</v>
          </cell>
          <cell r="Q47">
            <v>2.2559342487497944E-2</v>
          </cell>
          <cell r="R47">
            <v>1.7108806045978326E-2</v>
          </cell>
          <cell r="S47">
            <v>1</v>
          </cell>
        </row>
        <row r="48">
          <cell r="A48" t="str">
            <v>F88</v>
          </cell>
          <cell r="B48" t="str">
            <v>Seasonal Purchases - Utah Share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1</v>
          </cell>
        </row>
        <row r="49">
          <cell r="A49" t="str">
            <v>F89</v>
          </cell>
          <cell r="B49" t="str">
            <v>Non firm Purchases - Utah Share</v>
          </cell>
          <cell r="C49">
            <v>0</v>
          </cell>
          <cell r="D49">
            <v>0</v>
          </cell>
          <cell r="E49">
            <v>0</v>
          </cell>
          <cell r="F49">
            <v>0.29979815750086991</v>
          </cell>
          <cell r="G49">
            <v>0.27153082767593717</v>
          </cell>
          <cell r="H49">
            <v>9.5725995590261306E-2</v>
          </cell>
          <cell r="I49">
            <v>3.7181488555205976E-3</v>
          </cell>
          <cell r="J49">
            <v>0.18749351497293129</v>
          </cell>
          <cell r="K49">
            <v>8.0535911679366912E-3</v>
          </cell>
          <cell r="L49">
            <v>2.3886121799682582E-4</v>
          </cell>
          <cell r="M49">
            <v>7.3423736915794228E-4</v>
          </cell>
          <cell r="N49">
            <v>6.1501767050476976E-2</v>
          </cell>
          <cell r="O49">
            <v>5.3622013078342295E-4</v>
          </cell>
          <cell r="P49">
            <v>1.0234264766295255E-2</v>
          </cell>
          <cell r="Q49">
            <v>3.7128983369368061E-2</v>
          </cell>
          <cell r="R49">
            <v>2.330543033246444E-2</v>
          </cell>
          <cell r="S49">
            <v>1</v>
          </cell>
        </row>
        <row r="50">
          <cell r="A50" t="str">
            <v>F90</v>
          </cell>
          <cell r="B50" t="str">
            <v>Coal (Non-Seasonal) - Utah Share</v>
          </cell>
          <cell r="C50">
            <v>0</v>
          </cell>
          <cell r="D50">
            <v>0</v>
          </cell>
          <cell r="E50">
            <v>0</v>
          </cell>
          <cell r="F50">
            <v>0.29747059687518912</v>
          </cell>
          <cell r="G50">
            <v>0.27117620780948143</v>
          </cell>
          <cell r="H50">
            <v>9.6063618438134102E-2</v>
          </cell>
          <cell r="I50">
            <v>3.7582113100422783E-3</v>
          </cell>
          <cell r="J50">
            <v>0.18905544445537212</v>
          </cell>
          <cell r="K50">
            <v>7.8104509563704924E-3</v>
          </cell>
          <cell r="L50">
            <v>2.4225345556404138E-4</v>
          </cell>
          <cell r="M50">
            <v>7.4034957202814291E-4</v>
          </cell>
          <cell r="N50">
            <v>6.1545309447119501E-2</v>
          </cell>
          <cell r="O50">
            <v>5.3424686961272292E-4</v>
          </cell>
          <cell r="P50">
            <v>1.0270609729365249E-2</v>
          </cell>
          <cell r="Q50">
            <v>3.778039999454734E-2</v>
          </cell>
          <cell r="R50">
            <v>2.3552301087173429E-2</v>
          </cell>
          <cell r="S50">
            <v>1</v>
          </cell>
        </row>
        <row r="51">
          <cell r="A51" t="str">
            <v>F91</v>
          </cell>
          <cell r="B51" t="str">
            <v>Seasonal Cholla Coal - Utah Share</v>
          </cell>
          <cell r="C51">
            <v>0</v>
          </cell>
          <cell r="D51">
            <v>0</v>
          </cell>
          <cell r="E51">
            <v>0</v>
          </cell>
          <cell r="F51">
            <v>0.29803711209295691</v>
          </cell>
          <cell r="G51">
            <v>0.27107811080878857</v>
          </cell>
          <cell r="H51">
            <v>9.603368022917208E-2</v>
          </cell>
          <cell r="I51">
            <v>3.7646542273027501E-3</v>
          </cell>
          <cell r="J51">
            <v>0.18891679191924748</v>
          </cell>
          <cell r="K51">
            <v>7.5128668404289226E-3</v>
          </cell>
          <cell r="L51">
            <v>2.4223451999822064E-4</v>
          </cell>
          <cell r="M51">
            <v>7.384535772482102E-4</v>
          </cell>
          <cell r="N51">
            <v>6.1573998749886297E-2</v>
          </cell>
          <cell r="O51">
            <v>5.3511731405607704E-4</v>
          </cell>
          <cell r="P51">
            <v>1.0278414652935297E-2</v>
          </cell>
          <cell r="Q51">
            <v>3.7776055628917352E-2</v>
          </cell>
          <cell r="R51">
            <v>2.3512509439061569E-2</v>
          </cell>
          <cell r="S51">
            <v>1</v>
          </cell>
        </row>
        <row r="52">
          <cell r="A52" t="str">
            <v>F92</v>
          </cell>
          <cell r="B52" t="str">
            <v>Gas (Non-Seasonal) - Utah Share</v>
          </cell>
          <cell r="C52">
            <v>0</v>
          </cell>
          <cell r="D52">
            <v>0</v>
          </cell>
          <cell r="E52">
            <v>0</v>
          </cell>
          <cell r="F52">
            <v>0.29980675988418126</v>
          </cell>
          <cell r="G52">
            <v>0.27119337098099933</v>
          </cell>
          <cell r="H52">
            <v>9.5792608050297309E-2</v>
          </cell>
          <cell r="I52">
            <v>3.7388727917208654E-3</v>
          </cell>
          <cell r="J52">
            <v>0.18799420859614349</v>
          </cell>
          <cell r="K52">
            <v>7.3373034389534785E-3</v>
          </cell>
          <cell r="L52">
            <v>2.4122954559097236E-4</v>
          </cell>
          <cell r="M52">
            <v>7.35771206711764E-4</v>
          </cell>
          <cell r="N52">
            <v>6.1607347581396285E-2</v>
          </cell>
          <cell r="O52">
            <v>5.3909962349364573E-4</v>
          </cell>
          <cell r="P52">
            <v>1.0220696319511637E-2</v>
          </cell>
          <cell r="Q52">
            <v>3.7361039545440587E-2</v>
          </cell>
          <cell r="R52">
            <v>2.3431692435559603E-2</v>
          </cell>
          <cell r="S52">
            <v>1</v>
          </cell>
        </row>
        <row r="53">
          <cell r="A53" t="str">
            <v>F93</v>
          </cell>
          <cell r="B53" t="str">
            <v>Seasonal CT Gas - Utah Share</v>
          </cell>
          <cell r="C53">
            <v>0</v>
          </cell>
          <cell r="D53">
            <v>0</v>
          </cell>
          <cell r="E53">
            <v>0</v>
          </cell>
          <cell r="F53">
            <v>0.29601091350693043</v>
          </cell>
          <cell r="G53">
            <v>0.27107096281757431</v>
          </cell>
          <cell r="H53">
            <v>9.6180378447097273E-2</v>
          </cell>
          <cell r="I53">
            <v>3.7663464777364679E-3</v>
          </cell>
          <cell r="J53">
            <v>0.18990214303332312</v>
          </cell>
          <cell r="K53">
            <v>8.0618697126322528E-3</v>
          </cell>
          <cell r="L53">
            <v>2.4265412429505927E-4</v>
          </cell>
          <cell r="M53">
            <v>7.4442531661012782E-4</v>
          </cell>
          <cell r="N53">
            <v>6.1507878969924837E-2</v>
          </cell>
          <cell r="O53">
            <v>5.3193896728645376E-4</v>
          </cell>
          <cell r="P53">
            <v>1.0282127393483897E-2</v>
          </cell>
          <cell r="Q53">
            <v>3.8048258075726683E-2</v>
          </cell>
          <cell r="R53">
            <v>2.3650103157378997E-2</v>
          </cell>
          <cell r="S53">
            <v>1</v>
          </cell>
        </row>
        <row r="54">
          <cell r="A54" t="str">
            <v>F94</v>
          </cell>
          <cell r="B54" t="str">
            <v>Other Generation - Utah Share</v>
          </cell>
          <cell r="C54">
            <v>0</v>
          </cell>
          <cell r="D54">
            <v>0</v>
          </cell>
          <cell r="E54">
            <v>0</v>
          </cell>
          <cell r="F54">
            <v>0.29768750074992412</v>
          </cell>
          <cell r="G54">
            <v>0.27111580007800595</v>
          </cell>
          <cell r="H54">
            <v>9.6115817842318443E-2</v>
          </cell>
          <cell r="I54">
            <v>3.7611351026905068E-3</v>
          </cell>
          <cell r="J54">
            <v>0.18907265802723822</v>
          </cell>
          <cell r="K54">
            <v>7.5683482108941458E-3</v>
          </cell>
          <cell r="L54">
            <v>2.4302144661041399E-4</v>
          </cell>
          <cell r="M54">
            <v>7.4285179942495212E-4</v>
          </cell>
          <cell r="N54">
            <v>6.157518635005256E-2</v>
          </cell>
          <cell r="O54">
            <v>5.3611760493784875E-4</v>
          </cell>
          <cell r="P54">
            <v>1.0258304197060053E-2</v>
          </cell>
          <cell r="Q54">
            <v>3.7800308510901597E-2</v>
          </cell>
          <cell r="R54">
            <v>2.3522950079941145E-2</v>
          </cell>
          <cell r="S54">
            <v>1</v>
          </cell>
        </row>
        <row r="55">
          <cell r="A55" t="str">
            <v>F95</v>
          </cell>
          <cell r="B55" t="str">
            <v>Firm Wheeling - Utah Share</v>
          </cell>
          <cell r="C55">
            <v>0</v>
          </cell>
          <cell r="D55">
            <v>0</v>
          </cell>
          <cell r="E55">
            <v>0</v>
          </cell>
          <cell r="F55">
            <v>0.33412632373644391</v>
          </cell>
          <cell r="G55">
            <v>0.28017553674375428</v>
          </cell>
          <cell r="H55">
            <v>9.0532563236644256E-2</v>
          </cell>
          <cell r="I55">
            <v>1.9383373737231755E-3</v>
          </cell>
          <cell r="J55">
            <v>0.17132273027688091</v>
          </cell>
          <cell r="K55">
            <v>6.2431564574266674E-3</v>
          </cell>
          <cell r="L55">
            <v>2.067668069395467E-4</v>
          </cell>
          <cell r="M55">
            <v>3.8752704099499964E-4</v>
          </cell>
          <cell r="N55">
            <v>6.5792372584794034E-2</v>
          </cell>
          <cell r="O55">
            <v>5.9927538502456347E-4</v>
          </cell>
          <cell r="P55">
            <v>8.6302901635804796E-3</v>
          </cell>
          <cell r="Q55">
            <v>2.2658388464404884E-2</v>
          </cell>
          <cell r="R55">
            <v>1.738673172938817E-2</v>
          </cell>
          <cell r="S55">
            <v>1</v>
          </cell>
        </row>
        <row r="56">
          <cell r="A56" t="str">
            <v>F96</v>
          </cell>
          <cell r="B56" t="str">
            <v>Non-Firm Wheeling - Utah Share</v>
          </cell>
          <cell r="C56">
            <v>0</v>
          </cell>
          <cell r="D56">
            <v>0</v>
          </cell>
          <cell r="E56">
            <v>0</v>
          </cell>
          <cell r="F56">
            <v>0.29947784433237412</v>
          </cell>
          <cell r="G56">
            <v>0.27014360972380774</v>
          </cell>
          <cell r="H56">
            <v>9.5979968488540707E-2</v>
          </cell>
          <cell r="I56">
            <v>3.7835095344273531E-3</v>
          </cell>
          <cell r="J56">
            <v>0.18903682572612729</v>
          </cell>
          <cell r="K56">
            <v>6.7989466928714982E-3</v>
          </cell>
          <cell r="L56">
            <v>2.4338737717096326E-4</v>
          </cell>
          <cell r="M56">
            <v>7.4497679800308804E-4</v>
          </cell>
          <cell r="N56">
            <v>6.1790987552453401E-2</v>
          </cell>
          <cell r="O56">
            <v>5.4189131358046527E-4</v>
          </cell>
          <cell r="P56">
            <v>1.0145184907983088E-2</v>
          </cell>
          <cell r="Q56">
            <v>3.8003876801940617E-2</v>
          </cell>
          <cell r="R56">
            <v>2.3308990750719759E-2</v>
          </cell>
          <cell r="S56">
            <v>1</v>
          </cell>
        </row>
        <row r="57">
          <cell r="A57" t="str">
            <v>F101</v>
          </cell>
          <cell r="B57" t="str">
            <v>Rate Base</v>
          </cell>
          <cell r="C57">
            <v>0</v>
          </cell>
          <cell r="D57">
            <v>0</v>
          </cell>
          <cell r="E57">
            <v>0</v>
          </cell>
          <cell r="F57">
            <v>0.40387943064020398</v>
          </cell>
          <cell r="G57">
            <v>0.26689296553279024</v>
          </cell>
          <cell r="H57">
            <v>8.2933087793711766E-2</v>
          </cell>
          <cell r="I57">
            <v>4.662233909154833E-3</v>
          </cell>
          <cell r="J57">
            <v>0.12550926366144619</v>
          </cell>
          <cell r="K57">
            <v>8.4693605035784398E-3</v>
          </cell>
          <cell r="L57">
            <v>2.7747218159948281E-4</v>
          </cell>
          <cell r="M57">
            <v>3.6725389816889001E-4</v>
          </cell>
          <cell r="N57">
            <v>7.1480389457339838E-2</v>
          </cell>
          <cell r="O57">
            <v>6.3627218527380488E-4</v>
          </cell>
          <cell r="P57">
            <v>6.3463974311634393E-3</v>
          </cell>
          <cell r="Q57">
            <v>1.5622140590785091E-2</v>
          </cell>
          <cell r="R57">
            <v>1.2923732214783917E-2</v>
          </cell>
          <cell r="S57">
            <v>1</v>
          </cell>
        </row>
        <row r="58">
          <cell r="A58" t="str">
            <v>F101G</v>
          </cell>
          <cell r="B58" t="str">
            <v>Generation Rate Base</v>
          </cell>
          <cell r="C58">
            <v>0</v>
          </cell>
          <cell r="D58">
            <v>0</v>
          </cell>
          <cell r="E58">
            <v>0</v>
          </cell>
          <cell r="F58">
            <v>0.34242047733702197</v>
          </cell>
          <cell r="G58">
            <v>0.27667674618918187</v>
          </cell>
          <cell r="H58">
            <v>8.9435722498969791E-2</v>
          </cell>
          <cell r="I58">
            <v>1.9879904619515497E-3</v>
          </cell>
          <cell r="J58">
            <v>0.16846465218813683</v>
          </cell>
          <cell r="K58">
            <v>7.1629602227303042E-3</v>
          </cell>
          <cell r="L58">
            <v>2.031902253860918E-4</v>
          </cell>
          <cell r="M58">
            <v>3.9737259136167182E-4</v>
          </cell>
          <cell r="N58">
            <v>6.518253487310563E-2</v>
          </cell>
          <cell r="O58">
            <v>6.0854337229930902E-4</v>
          </cell>
          <cell r="P58">
            <v>8.5356078158865256E-3</v>
          </cell>
          <cell r="Q58">
            <v>2.1590414087835953E-2</v>
          </cell>
          <cell r="R58">
            <v>1.7333788136132965E-2</v>
          </cell>
          <cell r="S58">
            <v>1</v>
          </cell>
        </row>
        <row r="59">
          <cell r="A59" t="str">
            <v>F101T</v>
          </cell>
          <cell r="B59" t="str">
            <v>Transmission Rate Base</v>
          </cell>
          <cell r="C59">
            <v>0</v>
          </cell>
          <cell r="D59">
            <v>0</v>
          </cell>
          <cell r="E59">
            <v>0</v>
          </cell>
          <cell r="F59">
            <v>0.3438402316389314</v>
          </cell>
          <cell r="G59">
            <v>0.27555602443468841</v>
          </cell>
          <cell r="H59">
            <v>8.8373153347162947E-2</v>
          </cell>
          <cell r="I59">
            <v>1.6550020456530543E-3</v>
          </cell>
          <cell r="J59">
            <v>0.1718140092334865</v>
          </cell>
          <cell r="K59">
            <v>7.0401623640345551E-3</v>
          </cell>
          <cell r="L59">
            <v>1.9221650824100835E-4</v>
          </cell>
          <cell r="M59">
            <v>3.5130227880528312E-4</v>
          </cell>
          <cell r="N59">
            <v>6.4740677040601255E-2</v>
          </cell>
          <cell r="O59">
            <v>6.1133376098984377E-4</v>
          </cell>
          <cell r="P59">
            <v>8.384840063816559E-3</v>
          </cell>
          <cell r="Q59">
            <v>2.0138427935932263E-2</v>
          </cell>
          <cell r="R59">
            <v>1.7302619347657436E-2</v>
          </cell>
          <cell r="S59">
            <v>1</v>
          </cell>
        </row>
        <row r="60">
          <cell r="A60" t="str">
            <v>F101D</v>
          </cell>
          <cell r="B60" t="str">
            <v>Distribution Rate Base</v>
          </cell>
          <cell r="C60">
            <v>0</v>
          </cell>
          <cell r="D60">
            <v>0</v>
          </cell>
          <cell r="E60">
            <v>0</v>
          </cell>
          <cell r="F60">
            <v>0.57660712262796932</v>
          </cell>
          <cell r="G60">
            <v>0.23918842268196797</v>
          </cell>
          <cell r="H60">
            <v>6.556311904906631E-2</v>
          </cell>
          <cell r="I60">
            <v>1.2654865517756001E-2</v>
          </cell>
          <cell r="J60">
            <v>-2.4843182886082159E-5</v>
          </cell>
          <cell r="K60">
            <v>1.2403832878981582E-2</v>
          </cell>
          <cell r="L60">
            <v>4.8424208582078534E-4</v>
          </cell>
          <cell r="M60">
            <v>3.1572602268109263E-4</v>
          </cell>
          <cell r="N60">
            <v>9.179079119731684E-2</v>
          </cell>
          <cell r="O60">
            <v>7.1370337197621729E-4</v>
          </cell>
          <cell r="P60">
            <v>1.0065917048470323E-4</v>
          </cell>
          <cell r="Q60">
            <v>1.0145498212244967E-4</v>
          </cell>
          <cell r="R60">
            <v>1.0090359674253332E-4</v>
          </cell>
          <cell r="S60">
            <v>1</v>
          </cell>
        </row>
        <row r="61">
          <cell r="A61" t="str">
            <v>F101R</v>
          </cell>
          <cell r="B61" t="str">
            <v>Retail Rate Base</v>
          </cell>
          <cell r="C61">
            <v>0</v>
          </cell>
          <cell r="D61">
            <v>0</v>
          </cell>
          <cell r="E61">
            <v>0</v>
          </cell>
          <cell r="F61">
            <v>-3.6755537519483097</v>
          </cell>
          <cell r="G61">
            <v>7.3999564773730556E-2</v>
          </cell>
          <cell r="H61">
            <v>0.60387424979833171</v>
          </cell>
          <cell r="I61">
            <v>-5.6033058722564602E-2</v>
          </cell>
          <cell r="J61">
            <v>2.1250485311204321</v>
          </cell>
          <cell r="K61">
            <v>3.0985234679691318E-2</v>
          </cell>
          <cell r="L61">
            <v>-1.5584865733203284E-2</v>
          </cell>
          <cell r="M61">
            <v>-2.9753097980085149E-3</v>
          </cell>
          <cell r="N61">
            <v>1.412285515178362</v>
          </cell>
          <cell r="O61">
            <v>-9.2892521883968228E-5</v>
          </cell>
          <cell r="P61">
            <v>-8.4991158924146344E-5</v>
          </cell>
          <cell r="Q61">
            <v>0.50427520003501081</v>
          </cell>
          <cell r="R61">
            <v>-1.4342570266041808E-4</v>
          </cell>
          <cell r="S61">
            <v>1</v>
          </cell>
        </row>
        <row r="62">
          <cell r="A62" t="str">
            <v>F101M</v>
          </cell>
          <cell r="B62" t="str">
            <v>Misc Rate Base</v>
          </cell>
          <cell r="C62">
            <v>0</v>
          </cell>
          <cell r="D62">
            <v>0</v>
          </cell>
          <cell r="E62">
            <v>0</v>
          </cell>
          <cell r="F62">
            <v>0.37194479648276563</v>
          </cell>
          <cell r="G62">
            <v>0.27017472865114867</v>
          </cell>
          <cell r="H62">
            <v>8.6399066627692964E-2</v>
          </cell>
          <cell r="I62">
            <v>4.3838958740342413E-3</v>
          </cell>
          <cell r="J62">
            <v>0.14637292352103043</v>
          </cell>
          <cell r="K62">
            <v>7.9917244246912617E-3</v>
          </cell>
          <cell r="L62">
            <v>2.4733407066771136E-4</v>
          </cell>
          <cell r="M62">
            <v>4.1697866713456182E-4</v>
          </cell>
          <cell r="N62">
            <v>6.8699232623730316E-2</v>
          </cell>
          <cell r="O62">
            <v>6.1439919273320988E-4</v>
          </cell>
          <cell r="P62">
            <v>7.4454421015251364E-3</v>
          </cell>
          <cell r="Q62">
            <v>1.9893301994217572E-2</v>
          </cell>
          <cell r="R62">
            <v>1.5416175768628354E-2</v>
          </cell>
          <cell r="S62">
            <v>1</v>
          </cell>
        </row>
        <row r="63">
          <cell r="A63" t="str">
            <v>F102</v>
          </cell>
          <cell r="B63" t="str">
            <v>SGP - System Gross Plant</v>
          </cell>
          <cell r="C63">
            <v>0</v>
          </cell>
          <cell r="D63">
            <v>0</v>
          </cell>
          <cell r="E63">
            <v>0</v>
          </cell>
          <cell r="F63">
            <v>0.40699770433233362</v>
          </cell>
          <cell r="G63">
            <v>0.26604829024262955</v>
          </cell>
          <cell r="H63">
            <v>8.2358502052883642E-2</v>
          </cell>
          <cell r="I63">
            <v>5.9844966363501381E-3</v>
          </cell>
          <cell r="J63">
            <v>0.12315062656674258</v>
          </cell>
          <cell r="K63">
            <v>8.4484920904371388E-3</v>
          </cell>
          <cell r="L63">
            <v>2.7542354000494149E-4</v>
          </cell>
          <cell r="M63">
            <v>3.539347696718907E-4</v>
          </cell>
          <cell r="N63">
            <v>7.2502478242994509E-2</v>
          </cell>
          <cell r="O63">
            <v>6.3661179214994442E-4</v>
          </cell>
          <cell r="P63">
            <v>6.1343366117120202E-3</v>
          </cell>
          <cell r="Q63">
            <v>1.4734950200145411E-2</v>
          </cell>
          <cell r="R63">
            <v>1.2374152921944659E-2</v>
          </cell>
          <cell r="S63">
            <v>1</v>
          </cell>
        </row>
        <row r="64">
          <cell r="A64" t="str">
            <v>F102G</v>
          </cell>
          <cell r="B64" t="str">
            <v>SGGP - System Gross Generation Plant</v>
          </cell>
          <cell r="C64">
            <v>0</v>
          </cell>
          <cell r="D64">
            <v>0</v>
          </cell>
          <cell r="E64">
            <v>0</v>
          </cell>
          <cell r="F64">
            <v>0.34614840034762284</v>
          </cell>
          <cell r="G64">
            <v>0.27714190730544985</v>
          </cell>
          <cell r="H64">
            <v>8.8893933934608704E-2</v>
          </cell>
          <cell r="I64">
            <v>1.8411158366343089E-3</v>
          </cell>
          <cell r="J64">
            <v>0.16676583628548819</v>
          </cell>
          <cell r="K64">
            <v>7.0860901420777261E-3</v>
          </cell>
          <cell r="L64">
            <v>1.9995583660614694E-4</v>
          </cell>
          <cell r="M64">
            <v>3.6884508456680091E-4</v>
          </cell>
          <cell r="N64">
            <v>6.5486496063917571E-2</v>
          </cell>
          <cell r="O64">
            <v>6.1474885781010011E-4</v>
          </cell>
          <cell r="P64">
            <v>8.3923541517602687E-3</v>
          </cell>
          <cell r="Q64">
            <v>2.0243320875040226E-2</v>
          </cell>
          <cell r="R64">
            <v>1.6816995278417228E-2</v>
          </cell>
          <cell r="S64">
            <v>1</v>
          </cell>
        </row>
        <row r="65">
          <cell r="A65" t="str">
            <v>F102T</v>
          </cell>
          <cell r="B65" t="str">
            <v>SGTP - System Gross Transmission Plant</v>
          </cell>
          <cell r="C65">
            <v>0</v>
          </cell>
          <cell r="D65">
            <v>0</v>
          </cell>
          <cell r="E65">
            <v>0</v>
          </cell>
          <cell r="F65">
            <v>0.34340037373305027</v>
          </cell>
          <cell r="G65">
            <v>0.27494171416134194</v>
          </cell>
          <cell r="H65">
            <v>8.8188216687089913E-2</v>
          </cell>
          <cell r="I65">
            <v>1.826499460205872E-3</v>
          </cell>
          <cell r="J65">
            <v>0.17276601076781811</v>
          </cell>
          <cell r="K65">
            <v>7.0298346046142176E-3</v>
          </cell>
          <cell r="L65">
            <v>1.9836841352350088E-4</v>
          </cell>
          <cell r="M65">
            <v>3.6591687196195889E-4</v>
          </cell>
          <cell r="N65">
            <v>6.4966607386408096E-2</v>
          </cell>
          <cell r="O65">
            <v>6.0986844749809615E-4</v>
          </cell>
          <cell r="P65">
            <v>8.3638913257047861E-3</v>
          </cell>
          <cell r="Q65">
            <v>2.0082611813620106E-2</v>
          </cell>
          <cell r="R65">
            <v>1.7260086327163283E-2</v>
          </cell>
          <cell r="S65">
            <v>1</v>
          </cell>
        </row>
        <row r="66">
          <cell r="A66" t="str">
            <v>F102D</v>
          </cell>
          <cell r="B66" t="str">
            <v>SGDP - System Gross Distribution Plant</v>
          </cell>
          <cell r="C66">
            <v>0</v>
          </cell>
          <cell r="D66">
            <v>0</v>
          </cell>
          <cell r="E66">
            <v>0</v>
          </cell>
          <cell r="F66">
            <v>0.57228327124950928</v>
          </cell>
          <cell r="G66">
            <v>0.23812514611636967</v>
          </cell>
          <cell r="H66">
            <v>6.542531486363444E-2</v>
          </cell>
          <cell r="I66">
            <v>1.7098032327922709E-2</v>
          </cell>
          <cell r="J66">
            <v>1.3798204912094045E-3</v>
          </cell>
          <cell r="K66">
            <v>1.2144883461154256E-2</v>
          </cell>
          <cell r="L66">
            <v>4.7892714432723146E-4</v>
          </cell>
          <cell r="M66">
            <v>3.163811342316408E-4</v>
          </cell>
          <cell r="N66">
            <v>9.1726219433068079E-2</v>
          </cell>
          <cell r="O66">
            <v>6.9918422949930893E-4</v>
          </cell>
          <cell r="P66">
            <v>1.0760651635802231E-4</v>
          </cell>
          <cell r="Q66">
            <v>1.0760651635802231E-4</v>
          </cell>
          <cell r="R66">
            <v>1.0760651635802231E-4</v>
          </cell>
          <cell r="S66">
            <v>1</v>
          </cell>
        </row>
        <row r="67">
          <cell r="A67" t="str">
            <v>F102R</v>
          </cell>
          <cell r="B67" t="str">
            <v>SGTP - System Gross Retail Plant</v>
          </cell>
          <cell r="C67">
            <v>0</v>
          </cell>
          <cell r="D67">
            <v>0</v>
          </cell>
          <cell r="E67">
            <v>0</v>
          </cell>
          <cell r="F67">
            <v>0.40699770433233362</v>
          </cell>
          <cell r="G67">
            <v>0.26604829024262955</v>
          </cell>
          <cell r="H67">
            <v>8.2358502052883642E-2</v>
          </cell>
          <cell r="I67">
            <v>5.9844966363501381E-3</v>
          </cell>
          <cell r="J67">
            <v>0.12315062656674258</v>
          </cell>
          <cell r="K67">
            <v>8.4484920904371388E-3</v>
          </cell>
          <cell r="L67">
            <v>2.7542354000494149E-4</v>
          </cell>
          <cell r="M67">
            <v>3.539347696718907E-4</v>
          </cell>
          <cell r="N67">
            <v>7.2502478242994509E-2</v>
          </cell>
          <cell r="O67">
            <v>6.3661179214994442E-4</v>
          </cell>
          <cell r="P67">
            <v>6.1343366117120202E-3</v>
          </cell>
          <cell r="Q67">
            <v>1.4734950200145411E-2</v>
          </cell>
          <cell r="R67">
            <v>1.2374152921944659E-2</v>
          </cell>
          <cell r="S67">
            <v>1</v>
          </cell>
        </row>
        <row r="68">
          <cell r="A68" t="str">
            <v>F102M</v>
          </cell>
          <cell r="B68" t="str">
            <v>SGDP - System Gross Misc Plant</v>
          </cell>
          <cell r="C68">
            <v>0</v>
          </cell>
          <cell r="D68">
            <v>0</v>
          </cell>
          <cell r="E68">
            <v>0</v>
          </cell>
          <cell r="F68">
            <v>0.40699770433233362</v>
          </cell>
          <cell r="G68">
            <v>0.26604829024262955</v>
          </cell>
          <cell r="H68">
            <v>8.2358502052883642E-2</v>
          </cell>
          <cell r="I68">
            <v>5.9844966363501381E-3</v>
          </cell>
          <cell r="J68">
            <v>0.12315062656674258</v>
          </cell>
          <cell r="K68">
            <v>8.4484920904371388E-3</v>
          </cell>
          <cell r="L68">
            <v>2.7542354000494149E-4</v>
          </cell>
          <cell r="M68">
            <v>3.539347696718907E-4</v>
          </cell>
          <cell r="N68">
            <v>7.2502478242994509E-2</v>
          </cell>
          <cell r="O68">
            <v>6.3661179214994442E-4</v>
          </cell>
          <cell r="P68">
            <v>6.1343366117120202E-3</v>
          </cell>
          <cell r="Q68">
            <v>1.4734950200145411E-2</v>
          </cell>
          <cell r="R68">
            <v>1.2374152921944659E-2</v>
          </cell>
          <cell r="S68">
            <v>1</v>
          </cell>
        </row>
        <row r="69">
          <cell r="A69" t="str">
            <v>F103</v>
          </cell>
          <cell r="B69" t="str">
            <v>SGP - System Gross Plant (Regulatory fees)</v>
          </cell>
          <cell r="C69">
            <v>0</v>
          </cell>
          <cell r="D69">
            <v>0</v>
          </cell>
          <cell r="E69">
            <v>0</v>
          </cell>
          <cell r="F69">
            <v>0.25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0.25</v>
          </cell>
          <cell r="L69">
            <v>0</v>
          </cell>
          <cell r="M69">
            <v>0</v>
          </cell>
          <cell r="N69">
            <v>0.25</v>
          </cell>
          <cell r="O69">
            <v>0.25</v>
          </cell>
          <cell r="P69">
            <v>0</v>
          </cell>
          <cell r="Q69">
            <v>0</v>
          </cell>
          <cell r="R69">
            <v>0</v>
          </cell>
          <cell r="S69">
            <v>1</v>
          </cell>
        </row>
        <row r="70">
          <cell r="A70" t="str">
            <v>F104</v>
          </cell>
          <cell r="B70" t="str">
            <v>SNP - System Net Plant</v>
          </cell>
          <cell r="C70">
            <v>0</v>
          </cell>
          <cell r="D70">
            <v>0</v>
          </cell>
          <cell r="E70">
            <v>0</v>
          </cell>
          <cell r="F70">
            <v>0.40685137361051088</v>
          </cell>
          <cell r="G70">
            <v>0.26565191032875735</v>
          </cell>
          <cell r="H70">
            <v>8.2420700219701909E-2</v>
          </cell>
          <cell r="I70">
            <v>4.7494781898919499E-3</v>
          </cell>
          <cell r="J70">
            <v>0.12422881700322501</v>
          </cell>
          <cell r="K70">
            <v>8.5005894274748379E-3</v>
          </cell>
          <cell r="L70">
            <v>2.8258285306598328E-4</v>
          </cell>
          <cell r="M70">
            <v>3.6611178844853088E-4</v>
          </cell>
          <cell r="N70">
            <v>7.2376855493827622E-2</v>
          </cell>
          <cell r="O70">
            <v>6.3680534764103645E-4</v>
          </cell>
          <cell r="P70">
            <v>6.2004998076277094E-3</v>
          </cell>
          <cell r="Q70">
            <v>1.5161025682856153E-2</v>
          </cell>
          <cell r="R70">
            <v>1.2573250246971352E-2</v>
          </cell>
          <cell r="S70">
            <v>1</v>
          </cell>
        </row>
        <row r="71">
          <cell r="A71" t="str">
            <v>F104G</v>
          </cell>
          <cell r="B71" t="str">
            <v>SNP - System Net Generation Plant</v>
          </cell>
          <cell r="C71">
            <v>0</v>
          </cell>
          <cell r="D71">
            <v>0</v>
          </cell>
          <cell r="E71">
            <v>0</v>
          </cell>
          <cell r="F71">
            <v>0.34420642446377425</v>
          </cell>
          <cell r="G71">
            <v>0.27689359500204153</v>
          </cell>
          <cell r="H71">
            <v>8.9175871851307834E-2</v>
          </cell>
          <cell r="I71">
            <v>1.9180536924996142E-3</v>
          </cell>
          <cell r="J71">
            <v>0.16765159235120625</v>
          </cell>
          <cell r="K71">
            <v>7.1298868617589656E-3</v>
          </cell>
          <cell r="L71">
            <v>2.0164023661130938E-4</v>
          </cell>
          <cell r="M71">
            <v>3.8380810841633751E-4</v>
          </cell>
          <cell r="N71">
            <v>6.5326005322296668E-2</v>
          </cell>
          <cell r="O71">
            <v>6.1149227299897113E-4</v>
          </cell>
          <cell r="P71">
            <v>8.4671711418651697E-3</v>
          </cell>
          <cell r="Q71">
            <v>2.0947260969540159E-2</v>
          </cell>
          <cell r="R71">
            <v>1.7087197725683005E-2</v>
          </cell>
          <cell r="S71">
            <v>1</v>
          </cell>
        </row>
        <row r="72">
          <cell r="A72" t="str">
            <v>F104T</v>
          </cell>
          <cell r="B72" t="str">
            <v>SNP - System Net Transmission Plant</v>
          </cell>
          <cell r="C72">
            <v>0</v>
          </cell>
          <cell r="D72">
            <v>0</v>
          </cell>
          <cell r="E72">
            <v>0</v>
          </cell>
          <cell r="F72">
            <v>0.34340052398237036</v>
          </cell>
          <cell r="G72">
            <v>0.27494183445767456</v>
          </cell>
          <cell r="H72">
            <v>8.8188255272428212E-2</v>
          </cell>
          <cell r="I72">
            <v>1.8265002593613857E-3</v>
          </cell>
          <cell r="J72">
            <v>0.17276568270617143</v>
          </cell>
          <cell r="K72">
            <v>7.0298376804054808E-3</v>
          </cell>
          <cell r="L72">
            <v>1.9836850031641534E-4</v>
          </cell>
          <cell r="M72">
            <v>3.6591703206301121E-4</v>
          </cell>
          <cell r="N72">
            <v>6.4966635811504095E-2</v>
          </cell>
          <cell r="O72">
            <v>6.0986871433624365E-4</v>
          </cell>
          <cell r="P72">
            <v>8.3638928819197954E-3</v>
          </cell>
          <cell r="Q72">
            <v>2.0082620600444471E-2</v>
          </cell>
          <cell r="R72">
            <v>1.7260062101004607E-2</v>
          </cell>
          <cell r="S72">
            <v>1</v>
          </cell>
        </row>
        <row r="73">
          <cell r="A73" t="str">
            <v>F104D</v>
          </cell>
          <cell r="B73" t="str">
            <v>SNP - System Net Distribution Plant</v>
          </cell>
          <cell r="C73">
            <v>0</v>
          </cell>
          <cell r="D73">
            <v>0</v>
          </cell>
          <cell r="E73">
            <v>0</v>
          </cell>
          <cell r="F73">
            <v>0.57613045334718493</v>
          </cell>
          <cell r="G73">
            <v>0.23846417633296926</v>
          </cell>
          <cell r="H73">
            <v>6.5362943553253811E-2</v>
          </cell>
          <cell r="I73">
            <v>1.2575185943177299E-2</v>
          </cell>
          <cell r="J73">
            <v>1.2791519146759583E-3</v>
          </cell>
          <cell r="K73">
            <v>1.2403440118704276E-2</v>
          </cell>
          <cell r="L73">
            <v>4.897227255862617E-4</v>
          </cell>
          <cell r="M73">
            <v>3.3148038799609412E-4</v>
          </cell>
          <cell r="N73">
            <v>9.1950992239916401E-2</v>
          </cell>
          <cell r="O73">
            <v>7.1318607029246595E-4</v>
          </cell>
          <cell r="P73">
            <v>9.9755788747802202E-5</v>
          </cell>
          <cell r="Q73">
            <v>9.9755788747802202E-5</v>
          </cell>
          <cell r="R73">
            <v>9.9755788747802202E-5</v>
          </cell>
          <cell r="S73">
            <v>1</v>
          </cell>
        </row>
        <row r="74">
          <cell r="A74" t="str">
            <v>F104R</v>
          </cell>
          <cell r="B74" t="str">
            <v>SNP - System Net Retail Plant</v>
          </cell>
          <cell r="C74">
            <v>0</v>
          </cell>
          <cell r="D74">
            <v>0</v>
          </cell>
          <cell r="E74">
            <v>0</v>
          </cell>
          <cell r="F74">
            <v>0.87164885972756267</v>
          </cell>
          <cell r="G74">
            <v>1.8711933791347925E-2</v>
          </cell>
          <cell r="H74">
            <v>3.6111608455106865E-4</v>
          </cell>
          <cell r="I74">
            <v>1.0725084478773038E-2</v>
          </cell>
          <cell r="J74">
            <v>1.5428423563938244E-3</v>
          </cell>
          <cell r="K74">
            <v>3.5449745149797318E-3</v>
          </cell>
          <cell r="L74">
            <v>2.4800185530835465E-3</v>
          </cell>
          <cell r="M74">
            <v>5.2164383112987165E-4</v>
          </cell>
          <cell r="N74">
            <v>9.0421278399340152E-2</v>
          </cell>
          <cell r="O74">
            <v>1.3319968655183395E-5</v>
          </cell>
          <cell r="P74">
            <v>9.6427647274614109E-6</v>
          </cell>
          <cell r="Q74">
            <v>9.6427647274614109E-6</v>
          </cell>
          <cell r="R74">
            <v>9.6427647274614109E-6</v>
          </cell>
          <cell r="S74">
            <v>1</v>
          </cell>
        </row>
        <row r="75">
          <cell r="A75" t="str">
            <v>F104M</v>
          </cell>
          <cell r="B75" t="str">
            <v>SNP - System Net Misc Plant</v>
          </cell>
          <cell r="C75">
            <v>0</v>
          </cell>
          <cell r="D75">
            <v>0</v>
          </cell>
          <cell r="E75">
            <v>0</v>
          </cell>
          <cell r="F75">
            <v>0.40685137361051088</v>
          </cell>
          <cell r="G75">
            <v>0.26565191032875735</v>
          </cell>
          <cell r="H75">
            <v>8.2420700219701909E-2</v>
          </cell>
          <cell r="I75">
            <v>4.7494781898919499E-3</v>
          </cell>
          <cell r="J75">
            <v>0.12422881700322501</v>
          </cell>
          <cell r="K75">
            <v>8.5005894274748379E-3</v>
          </cell>
          <cell r="L75">
            <v>2.8258285306598328E-4</v>
          </cell>
          <cell r="M75">
            <v>3.6611178844853088E-4</v>
          </cell>
          <cell r="N75">
            <v>7.2376855493827622E-2</v>
          </cell>
          <cell r="O75">
            <v>6.3680534764103645E-4</v>
          </cell>
          <cell r="P75">
            <v>6.2004998076277094E-3</v>
          </cell>
          <cell r="Q75">
            <v>1.5161025682856153E-2</v>
          </cell>
          <cell r="R75">
            <v>1.2573250246971352E-2</v>
          </cell>
          <cell r="S75">
            <v>1</v>
          </cell>
        </row>
        <row r="76">
          <cell r="A76" t="str">
            <v>F105</v>
          </cell>
          <cell r="B76" t="str">
            <v>STP - System Prod &amp; Trans Plant</v>
          </cell>
          <cell r="C76">
            <v>0</v>
          </cell>
          <cell r="D76">
            <v>0</v>
          </cell>
          <cell r="E76">
            <v>0</v>
          </cell>
          <cell r="F76">
            <v>0.34530906154292762</v>
          </cell>
          <cell r="G76">
            <v>0.27646989507897385</v>
          </cell>
          <cell r="H76">
            <v>8.8678384395225004E-2</v>
          </cell>
          <cell r="I76">
            <v>1.8366515087215572E-3</v>
          </cell>
          <cell r="J76">
            <v>0.16859848930684371</v>
          </cell>
          <cell r="K76">
            <v>7.0689078282960031E-3</v>
          </cell>
          <cell r="L76">
            <v>1.9947098475439691E-4</v>
          </cell>
          <cell r="M76">
            <v>3.6795071096262674E-4</v>
          </cell>
          <cell r="N76">
            <v>6.5327704755696089E-2</v>
          </cell>
          <cell r="O76">
            <v>6.1325821804119197E-4</v>
          </cell>
          <cell r="P76">
            <v>8.3836606572093176E-3</v>
          </cell>
          <cell r="Q76">
            <v>2.0194234977982041E-2</v>
          </cell>
          <cell r="R76">
            <v>1.6952330034366647E-2</v>
          </cell>
          <cell r="S76">
            <v>1</v>
          </cell>
        </row>
        <row r="77">
          <cell r="A77" t="str">
            <v>F105G</v>
          </cell>
          <cell r="B77" t="str">
            <v>SGGP - System Gross Generation Plant</v>
          </cell>
          <cell r="C77">
            <v>0</v>
          </cell>
          <cell r="D77">
            <v>0</v>
          </cell>
          <cell r="E77">
            <v>0</v>
          </cell>
          <cell r="F77">
            <v>0.34614840034762284</v>
          </cell>
          <cell r="G77">
            <v>0.27714190730544985</v>
          </cell>
          <cell r="H77">
            <v>8.8893933934608704E-2</v>
          </cell>
          <cell r="I77">
            <v>1.8411158366343089E-3</v>
          </cell>
          <cell r="J77">
            <v>0.16676583628548819</v>
          </cell>
          <cell r="K77">
            <v>7.0860901420777261E-3</v>
          </cell>
          <cell r="L77">
            <v>1.9995583660614694E-4</v>
          </cell>
          <cell r="M77">
            <v>3.6884508456680091E-4</v>
          </cell>
          <cell r="N77">
            <v>6.5486496063917571E-2</v>
          </cell>
          <cell r="O77">
            <v>6.1474885781010011E-4</v>
          </cell>
          <cell r="P77">
            <v>8.3923541517602687E-3</v>
          </cell>
          <cell r="Q77">
            <v>2.0243320875040226E-2</v>
          </cell>
          <cell r="R77">
            <v>1.6816995278417228E-2</v>
          </cell>
          <cell r="S77">
            <v>1</v>
          </cell>
        </row>
        <row r="78">
          <cell r="A78" t="str">
            <v>F105T</v>
          </cell>
          <cell r="B78" t="str">
            <v>SGTP - System Gross Transmission Plant</v>
          </cell>
          <cell r="C78">
            <v>0</v>
          </cell>
          <cell r="D78">
            <v>0</v>
          </cell>
          <cell r="E78">
            <v>0</v>
          </cell>
          <cell r="F78">
            <v>0.34340037373305027</v>
          </cell>
          <cell r="G78">
            <v>0.27494171416134194</v>
          </cell>
          <cell r="H78">
            <v>8.8188216687089913E-2</v>
          </cell>
          <cell r="I78">
            <v>1.826499460205872E-3</v>
          </cell>
          <cell r="J78">
            <v>0.17276601076781811</v>
          </cell>
          <cell r="K78">
            <v>7.0298346046142176E-3</v>
          </cell>
          <cell r="L78">
            <v>1.9836841352350088E-4</v>
          </cell>
          <cell r="M78">
            <v>3.6591687196195889E-4</v>
          </cell>
          <cell r="N78">
            <v>6.4966607386408096E-2</v>
          </cell>
          <cell r="O78">
            <v>6.0986844749809615E-4</v>
          </cell>
          <cell r="P78">
            <v>8.3638913257047861E-3</v>
          </cell>
          <cell r="Q78">
            <v>2.0082611813620106E-2</v>
          </cell>
          <cell r="R78">
            <v>1.7260086327163283E-2</v>
          </cell>
          <cell r="S78">
            <v>1</v>
          </cell>
        </row>
        <row r="79">
          <cell r="A79" t="str">
            <v>F105D</v>
          </cell>
          <cell r="B79" t="str">
            <v>SGDP - System Gross Distribution Plant</v>
          </cell>
          <cell r="C79">
            <v>0</v>
          </cell>
          <cell r="D79">
            <v>0</v>
          </cell>
          <cell r="E79">
            <v>0</v>
          </cell>
          <cell r="F79">
            <v>7.6923076923076927E-2</v>
          </cell>
          <cell r="G79">
            <v>7.6923076923076927E-2</v>
          </cell>
          <cell r="H79">
            <v>7.6923076923076927E-2</v>
          </cell>
          <cell r="I79">
            <v>7.6923076923076927E-2</v>
          </cell>
          <cell r="J79">
            <v>7.6923076923076927E-2</v>
          </cell>
          <cell r="K79">
            <v>7.6923076923076927E-2</v>
          </cell>
          <cell r="L79">
            <v>7.6923076923076927E-2</v>
          </cell>
          <cell r="M79">
            <v>7.6923076923076927E-2</v>
          </cell>
          <cell r="N79">
            <v>7.6923076923076927E-2</v>
          </cell>
          <cell r="O79">
            <v>7.6923076923076927E-2</v>
          </cell>
          <cell r="P79">
            <v>7.6923076923076927E-2</v>
          </cell>
          <cell r="Q79">
            <v>7.6923076923076927E-2</v>
          </cell>
          <cell r="R79">
            <v>7.6923076923076927E-2</v>
          </cell>
          <cell r="S79">
            <v>1</v>
          </cell>
        </row>
        <row r="80">
          <cell r="A80" t="str">
            <v>F105R</v>
          </cell>
          <cell r="B80" t="str">
            <v>SGTP - System Gross Retail Plant</v>
          </cell>
          <cell r="C80">
            <v>0</v>
          </cell>
          <cell r="D80">
            <v>0</v>
          </cell>
          <cell r="E80">
            <v>0</v>
          </cell>
          <cell r="F80">
            <v>7.6923076923076927E-2</v>
          </cell>
          <cell r="G80">
            <v>7.6923076923076927E-2</v>
          </cell>
          <cell r="H80">
            <v>7.6923076923076927E-2</v>
          </cell>
          <cell r="I80">
            <v>7.6923076923076927E-2</v>
          </cell>
          <cell r="J80">
            <v>7.6923076923076927E-2</v>
          </cell>
          <cell r="K80">
            <v>7.6923076923076927E-2</v>
          </cell>
          <cell r="L80">
            <v>7.6923076923076927E-2</v>
          </cell>
          <cell r="M80">
            <v>7.6923076923076927E-2</v>
          </cell>
          <cell r="N80">
            <v>7.6923076923076927E-2</v>
          </cell>
          <cell r="O80">
            <v>7.6923076923076927E-2</v>
          </cell>
          <cell r="P80">
            <v>7.6923076923076927E-2</v>
          </cell>
          <cell r="Q80">
            <v>7.6923076923076927E-2</v>
          </cell>
          <cell r="R80">
            <v>7.6923076923076927E-2</v>
          </cell>
          <cell r="S80">
            <v>1</v>
          </cell>
        </row>
        <row r="81">
          <cell r="A81" t="str">
            <v>F105M</v>
          </cell>
          <cell r="B81" t="str">
            <v>SGDP - System Gross Misc Plant</v>
          </cell>
          <cell r="C81">
            <v>0</v>
          </cell>
          <cell r="D81">
            <v>0</v>
          </cell>
          <cell r="E81">
            <v>0</v>
          </cell>
          <cell r="F81">
            <v>7.6923076923076927E-2</v>
          </cell>
          <cell r="G81">
            <v>7.6923076923076927E-2</v>
          </cell>
          <cell r="H81">
            <v>7.6923076923076927E-2</v>
          </cell>
          <cell r="I81">
            <v>7.6923076923076927E-2</v>
          </cell>
          <cell r="J81">
            <v>7.6923076923076927E-2</v>
          </cell>
          <cell r="K81">
            <v>7.6923076923076927E-2</v>
          </cell>
          <cell r="L81">
            <v>7.6923076923076927E-2</v>
          </cell>
          <cell r="M81">
            <v>7.6923076923076927E-2</v>
          </cell>
          <cell r="N81">
            <v>7.6923076923076927E-2</v>
          </cell>
          <cell r="O81">
            <v>7.6923076923076927E-2</v>
          </cell>
          <cell r="P81">
            <v>7.6923076923076927E-2</v>
          </cell>
          <cell r="Q81">
            <v>7.6923076923076927E-2</v>
          </cell>
          <cell r="R81">
            <v>7.6923076923076927E-2</v>
          </cell>
          <cell r="S81">
            <v>1</v>
          </cell>
        </row>
        <row r="82">
          <cell r="A82" t="str">
            <v>F106</v>
          </cell>
          <cell r="B82" t="str">
            <v>STP - System Transmission Plant</v>
          </cell>
          <cell r="C82">
            <v>0</v>
          </cell>
          <cell r="D82">
            <v>0</v>
          </cell>
          <cell r="E82">
            <v>0</v>
          </cell>
          <cell r="F82">
            <v>0.34340037373305027</v>
          </cell>
          <cell r="G82">
            <v>0.27494171416134194</v>
          </cell>
          <cell r="H82">
            <v>8.8188216687089913E-2</v>
          </cell>
          <cell r="I82">
            <v>1.826499460205872E-3</v>
          </cell>
          <cell r="J82">
            <v>0.17276601076781811</v>
          </cell>
          <cell r="K82">
            <v>7.0298346046142176E-3</v>
          </cell>
          <cell r="L82">
            <v>1.9836841352350088E-4</v>
          </cell>
          <cell r="M82">
            <v>3.6591687196195889E-4</v>
          </cell>
          <cell r="N82">
            <v>6.4966607386408096E-2</v>
          </cell>
          <cell r="O82">
            <v>6.0986844749809615E-4</v>
          </cell>
          <cell r="P82">
            <v>8.3638913257047861E-3</v>
          </cell>
          <cell r="Q82">
            <v>2.0082611813620106E-2</v>
          </cell>
          <cell r="R82">
            <v>1.7260086327163283E-2</v>
          </cell>
          <cell r="S82">
            <v>1</v>
          </cell>
        </row>
        <row r="83">
          <cell r="A83" t="str">
            <v>F107</v>
          </cell>
          <cell r="B83" t="str">
            <v>STP - System Trans &amp; Dist Plant</v>
          </cell>
          <cell r="C83">
            <v>0</v>
          </cell>
          <cell r="D83">
            <v>0</v>
          </cell>
          <cell r="E83">
            <v>0</v>
          </cell>
          <cell r="F83">
            <v>0.4692734113239776</v>
          </cell>
          <cell r="G83">
            <v>0.2546946214175056</v>
          </cell>
          <cell r="H83">
            <v>7.5669869409979079E-2</v>
          </cell>
          <cell r="I83">
            <v>1.0225004772692023E-2</v>
          </cell>
          <cell r="J83">
            <v>7.8513008008177287E-2</v>
          </cell>
          <cell r="K83">
            <v>9.8428308746933094E-3</v>
          </cell>
          <cell r="L83">
            <v>3.5266032459292163E-4</v>
          </cell>
          <cell r="M83">
            <v>3.3867493363856676E-4</v>
          </cell>
          <cell r="N83">
            <v>7.9682926035011564E-2</v>
          </cell>
          <cell r="O83">
            <v>6.5898722791939558E-4</v>
          </cell>
          <cell r="P83">
            <v>3.8233876032998581E-3</v>
          </cell>
          <cell r="Q83">
            <v>9.0974546876691001E-3</v>
          </cell>
          <cell r="R83">
            <v>7.8271633808437279E-3</v>
          </cell>
          <cell r="S83">
            <v>1</v>
          </cell>
        </row>
        <row r="84">
          <cell r="A84" t="str">
            <v>F107G</v>
          </cell>
          <cell r="B84" t="str">
            <v>SGGP - System Gross Generation Plant</v>
          </cell>
          <cell r="C84">
            <v>0</v>
          </cell>
          <cell r="D84">
            <v>0</v>
          </cell>
          <cell r="E84">
            <v>0</v>
          </cell>
          <cell r="F84">
            <v>0.34614840034762284</v>
          </cell>
          <cell r="G84">
            <v>0.27714190730544985</v>
          </cell>
          <cell r="H84">
            <v>8.8893933934608704E-2</v>
          </cell>
          <cell r="I84">
            <v>1.8411158366343089E-3</v>
          </cell>
          <cell r="J84">
            <v>0.16676583628548819</v>
          </cell>
          <cell r="K84">
            <v>7.0860901420777261E-3</v>
          </cell>
          <cell r="L84">
            <v>1.9995583660614694E-4</v>
          </cell>
          <cell r="M84">
            <v>3.6884508456680091E-4</v>
          </cell>
          <cell r="N84">
            <v>6.5486496063917571E-2</v>
          </cell>
          <cell r="O84">
            <v>6.1474885781010011E-4</v>
          </cell>
          <cell r="P84">
            <v>8.3923541517602687E-3</v>
          </cell>
          <cell r="Q84">
            <v>2.0243320875040226E-2</v>
          </cell>
          <cell r="R84">
            <v>1.6816995278417228E-2</v>
          </cell>
          <cell r="S84">
            <v>1</v>
          </cell>
        </row>
        <row r="85">
          <cell r="A85" t="str">
            <v>F107T</v>
          </cell>
          <cell r="B85" t="str">
            <v>SGTP - System Gross Transmission Plant</v>
          </cell>
          <cell r="C85">
            <v>0</v>
          </cell>
          <cell r="D85">
            <v>0</v>
          </cell>
          <cell r="E85">
            <v>0</v>
          </cell>
          <cell r="F85">
            <v>0.34340037373305027</v>
          </cell>
          <cell r="G85">
            <v>0.27494171416134194</v>
          </cell>
          <cell r="H85">
            <v>8.8188216687089913E-2</v>
          </cell>
          <cell r="I85">
            <v>1.826499460205872E-3</v>
          </cell>
          <cell r="J85">
            <v>0.17276601076781811</v>
          </cell>
          <cell r="K85">
            <v>7.0298346046142176E-3</v>
          </cell>
          <cell r="L85">
            <v>1.9836841352350088E-4</v>
          </cell>
          <cell r="M85">
            <v>3.6591687196195889E-4</v>
          </cell>
          <cell r="N85">
            <v>6.4966607386408096E-2</v>
          </cell>
          <cell r="O85">
            <v>6.0986844749809615E-4</v>
          </cell>
          <cell r="P85">
            <v>8.3638913257047861E-3</v>
          </cell>
          <cell r="Q85">
            <v>2.0082611813620106E-2</v>
          </cell>
          <cell r="R85">
            <v>1.7260086327163283E-2</v>
          </cell>
          <cell r="S85">
            <v>1</v>
          </cell>
        </row>
        <row r="86">
          <cell r="A86" t="str">
            <v>F107D</v>
          </cell>
          <cell r="B86" t="str">
            <v>SGDP - System Gross Distribution Plant</v>
          </cell>
          <cell r="C86">
            <v>0</v>
          </cell>
          <cell r="D86">
            <v>0</v>
          </cell>
          <cell r="E86">
            <v>0</v>
          </cell>
          <cell r="F86">
            <v>0.57228327124950928</v>
          </cell>
          <cell r="G86">
            <v>0.23812514611636967</v>
          </cell>
          <cell r="H86">
            <v>6.542531486363444E-2</v>
          </cell>
          <cell r="I86">
            <v>1.7098032327922709E-2</v>
          </cell>
          <cell r="J86">
            <v>1.3798204912094045E-3</v>
          </cell>
          <cell r="K86">
            <v>1.2144883461154256E-2</v>
          </cell>
          <cell r="L86">
            <v>4.7892714432723146E-4</v>
          </cell>
          <cell r="M86">
            <v>3.163811342316408E-4</v>
          </cell>
          <cell r="N86">
            <v>9.1726219433068079E-2</v>
          </cell>
          <cell r="O86">
            <v>6.9918422949930893E-4</v>
          </cell>
          <cell r="P86">
            <v>1.0760651635802231E-4</v>
          </cell>
          <cell r="Q86">
            <v>1.0760651635802231E-4</v>
          </cell>
          <cell r="R86">
            <v>1.0760651635802231E-4</v>
          </cell>
          <cell r="S86">
            <v>1</v>
          </cell>
        </row>
        <row r="87">
          <cell r="A87" t="str">
            <v>F107R</v>
          </cell>
          <cell r="B87" t="str">
            <v>SGTP - System Gross Retail Plant</v>
          </cell>
          <cell r="C87">
            <v>0</v>
          </cell>
          <cell r="D87">
            <v>0</v>
          </cell>
          <cell r="E87">
            <v>0</v>
          </cell>
          <cell r="F87">
            <v>0.57228327124950928</v>
          </cell>
          <cell r="G87">
            <v>0.23812514611636967</v>
          </cell>
          <cell r="H87">
            <v>6.542531486363444E-2</v>
          </cell>
          <cell r="I87">
            <v>1.7098032327922709E-2</v>
          </cell>
          <cell r="J87">
            <v>1.3798204912094045E-3</v>
          </cell>
          <cell r="K87">
            <v>1.2144883461154256E-2</v>
          </cell>
          <cell r="L87">
            <v>4.7892714432723146E-4</v>
          </cell>
          <cell r="M87">
            <v>3.163811342316408E-4</v>
          </cell>
          <cell r="N87">
            <v>9.1726219433068079E-2</v>
          </cell>
          <cell r="O87">
            <v>6.9918422949930893E-4</v>
          </cell>
          <cell r="P87">
            <v>1.0760651635802231E-4</v>
          </cell>
          <cell r="Q87">
            <v>1.0760651635802231E-4</v>
          </cell>
          <cell r="R87">
            <v>1.0760651635802231E-4</v>
          </cell>
          <cell r="S87">
            <v>1</v>
          </cell>
        </row>
        <row r="88">
          <cell r="A88" t="str">
            <v>F107M</v>
          </cell>
          <cell r="B88" t="str">
            <v>SGDP - System Gross Misc Plant</v>
          </cell>
          <cell r="C88">
            <v>0</v>
          </cell>
          <cell r="D88">
            <v>0</v>
          </cell>
          <cell r="E88">
            <v>0</v>
          </cell>
          <cell r="F88">
            <v>0.57228327124950928</v>
          </cell>
          <cell r="G88">
            <v>0.23812514611636967</v>
          </cell>
          <cell r="H88">
            <v>6.542531486363444E-2</v>
          </cell>
          <cell r="I88">
            <v>1.7098032327922709E-2</v>
          </cell>
          <cell r="J88">
            <v>1.3798204912094045E-3</v>
          </cell>
          <cell r="K88">
            <v>1.2144883461154256E-2</v>
          </cell>
          <cell r="L88">
            <v>4.7892714432723146E-4</v>
          </cell>
          <cell r="M88">
            <v>3.163811342316408E-4</v>
          </cell>
          <cell r="N88">
            <v>9.1726219433068079E-2</v>
          </cell>
          <cell r="O88">
            <v>6.9918422949930893E-4</v>
          </cell>
          <cell r="P88">
            <v>1.0760651635802231E-4</v>
          </cell>
          <cell r="Q88">
            <v>1.0760651635802231E-4</v>
          </cell>
          <cell r="R88">
            <v>1.0760651635802231E-4</v>
          </cell>
          <cell r="S88">
            <v>1</v>
          </cell>
        </row>
        <row r="89">
          <cell r="A89" t="str">
            <v>F108</v>
          </cell>
          <cell r="B89" t="str">
            <v>SGP - System General Plant</v>
          </cell>
          <cell r="C89">
            <v>0</v>
          </cell>
          <cell r="D89">
            <v>0</v>
          </cell>
          <cell r="E89">
            <v>0</v>
          </cell>
          <cell r="F89">
            <v>0.39962058657514998</v>
          </cell>
          <cell r="G89">
            <v>0.25900517637058285</v>
          </cell>
          <cell r="H89">
            <v>8.3226556285771428E-2</v>
          </cell>
          <cell r="I89">
            <v>6.830129603004333E-3</v>
          </cell>
          <cell r="J89">
            <v>0.12781242537183371</v>
          </cell>
          <cell r="K89">
            <v>8.7692265619291488E-3</v>
          </cell>
          <cell r="L89">
            <v>3.3421007919502292E-4</v>
          </cell>
          <cell r="M89">
            <v>4.9056652826668149E-4</v>
          </cell>
          <cell r="N89">
            <v>7.1553649843376213E-2</v>
          </cell>
          <cell r="O89">
            <v>5.9617115742151337E-4</v>
          </cell>
          <cell r="P89">
            <v>6.6494423035403797E-3</v>
          </cell>
          <cell r="Q89">
            <v>2.0650636111612497E-2</v>
          </cell>
          <cell r="R89">
            <v>1.4461223208316328E-2</v>
          </cell>
          <cell r="S89">
            <v>1</v>
          </cell>
        </row>
        <row r="90">
          <cell r="A90" t="str">
            <v>F108G</v>
          </cell>
          <cell r="B90" t="str">
            <v>SGGP - System Gen Generation Plant</v>
          </cell>
          <cell r="C90">
            <v>0</v>
          </cell>
          <cell r="D90">
            <v>0</v>
          </cell>
          <cell r="E90">
            <v>0</v>
          </cell>
          <cell r="F90">
            <v>0.31305531109819079</v>
          </cell>
          <cell r="G90">
            <v>0.27291043291549044</v>
          </cell>
          <cell r="H90">
            <v>9.3698420291891682E-2</v>
          </cell>
          <cell r="I90">
            <v>3.1522090134272797E-3</v>
          </cell>
          <cell r="J90">
            <v>0.181859949852924</v>
          </cell>
          <cell r="K90">
            <v>7.8324272955398212E-3</v>
          </cell>
          <cell r="L90">
            <v>2.2865959146025518E-4</v>
          </cell>
          <cell r="M90">
            <v>6.2382903560987107E-4</v>
          </cell>
          <cell r="N90">
            <v>6.2751583400819919E-2</v>
          </cell>
          <cell r="O90">
            <v>5.5925360027401876E-4</v>
          </cell>
          <cell r="P90">
            <v>9.6673057881361234E-3</v>
          </cell>
          <cell r="Q90">
            <v>3.2239119879182328E-2</v>
          </cell>
          <cell r="R90">
            <v>2.1421498237053457E-2</v>
          </cell>
          <cell r="S90">
            <v>1</v>
          </cell>
        </row>
        <row r="91">
          <cell r="A91" t="str">
            <v>F108T</v>
          </cell>
          <cell r="B91" t="str">
            <v>SGTP - System Gen Transmission Plant</v>
          </cell>
          <cell r="C91">
            <v>0</v>
          </cell>
          <cell r="D91">
            <v>0</v>
          </cell>
          <cell r="E91">
            <v>0</v>
          </cell>
          <cell r="F91">
            <v>0.34340257188918805</v>
          </cell>
          <cell r="G91">
            <v>0.27494347410356312</v>
          </cell>
          <cell r="H91">
            <v>8.818878119279408E-2</v>
          </cell>
          <cell r="I91">
            <v>1.8265111518966973E-3</v>
          </cell>
          <cell r="J91">
            <v>0.17276121120718207</v>
          </cell>
          <cell r="K91">
            <v>7.0298796036161564E-3</v>
          </cell>
          <cell r="L91">
            <v>1.9836968330879838E-4</v>
          </cell>
          <cell r="M91">
            <v>3.6591921424950294E-4</v>
          </cell>
          <cell r="N91">
            <v>6.4967023247186645E-2</v>
          </cell>
          <cell r="O91">
            <v>6.0987235135544075E-4</v>
          </cell>
          <cell r="P91">
            <v>8.3639140932192848E-3</v>
          </cell>
          <cell r="Q91">
            <v>2.0082740365362613E-2</v>
          </cell>
          <cell r="R91">
            <v>1.7259731897077621E-2</v>
          </cell>
          <cell r="S91">
            <v>1</v>
          </cell>
        </row>
        <row r="92">
          <cell r="A92" t="str">
            <v>F108D</v>
          </cell>
          <cell r="B92" t="str">
            <v>SGDP - System Gen Distribution Plant</v>
          </cell>
          <cell r="C92">
            <v>0</v>
          </cell>
          <cell r="D92">
            <v>0</v>
          </cell>
          <cell r="E92">
            <v>0</v>
          </cell>
          <cell r="F92">
            <v>0.5722832712495094</v>
          </cell>
          <cell r="G92">
            <v>0.23812514611636967</v>
          </cell>
          <cell r="H92">
            <v>6.542531486363444E-2</v>
          </cell>
          <cell r="I92">
            <v>1.7098032327922705E-2</v>
          </cell>
          <cell r="J92">
            <v>1.3798204912094047E-3</v>
          </cell>
          <cell r="K92">
            <v>1.2144883461154258E-2</v>
          </cell>
          <cell r="L92">
            <v>4.7892714432723162E-4</v>
          </cell>
          <cell r="M92">
            <v>3.1638113423164085E-4</v>
          </cell>
          <cell r="N92">
            <v>9.1726219433068107E-2</v>
          </cell>
          <cell r="O92">
            <v>6.9918422949930882E-4</v>
          </cell>
          <cell r="P92">
            <v>1.0760651635802233E-4</v>
          </cell>
          <cell r="Q92">
            <v>1.0760651635802233E-4</v>
          </cell>
          <cell r="R92">
            <v>1.0760651635802233E-4</v>
          </cell>
          <cell r="S92">
            <v>1</v>
          </cell>
        </row>
        <row r="93">
          <cell r="A93" t="str">
            <v>F108R</v>
          </cell>
          <cell r="B93" t="str">
            <v>SGTP - System Gen Retail Plant</v>
          </cell>
          <cell r="C93">
            <v>0</v>
          </cell>
          <cell r="D93">
            <v>0</v>
          </cell>
          <cell r="E93">
            <v>0</v>
          </cell>
          <cell r="F93">
            <v>0.87121091198399014</v>
          </cell>
          <cell r="G93">
            <v>1.8685618887272257E-2</v>
          </cell>
          <cell r="H93">
            <v>3.6060824098817972E-4</v>
          </cell>
          <cell r="I93">
            <v>1.0806265281044006E-2</v>
          </cell>
          <cell r="J93">
            <v>1.4291196877289566E-3</v>
          </cell>
          <cell r="K93">
            <v>3.5368533735182328E-3</v>
          </cell>
          <cell r="L93">
            <v>2.4986356816757084E-3</v>
          </cell>
          <cell r="M93">
            <v>5.2555973340059469E-4</v>
          </cell>
          <cell r="N93">
            <v>9.0906317860013006E-2</v>
          </cell>
          <cell r="O93">
            <v>1.3313276223762299E-5</v>
          </cell>
          <cell r="P93">
            <v>8.9319980483059787E-6</v>
          </cell>
          <cell r="Q93">
            <v>8.9319980483059787E-6</v>
          </cell>
          <cell r="R93">
            <v>8.9319980483059787E-6</v>
          </cell>
          <cell r="S93">
            <v>1</v>
          </cell>
        </row>
        <row r="94">
          <cell r="A94" t="str">
            <v>F108M</v>
          </cell>
          <cell r="B94" t="str">
            <v>SGDP - System Gen Misc Plant</v>
          </cell>
          <cell r="C94">
            <v>0</v>
          </cell>
          <cell r="D94">
            <v>0</v>
          </cell>
          <cell r="E94">
            <v>0</v>
          </cell>
          <cell r="F94">
            <v>7.6923076923076927E-2</v>
          </cell>
          <cell r="G94">
            <v>7.6923076923076927E-2</v>
          </cell>
          <cell r="H94">
            <v>7.6923076923076927E-2</v>
          </cell>
          <cell r="I94">
            <v>7.6923076923076927E-2</v>
          </cell>
          <cell r="J94">
            <v>7.6923076923076927E-2</v>
          </cell>
          <cell r="K94">
            <v>7.6923076923076927E-2</v>
          </cell>
          <cell r="L94">
            <v>7.6923076923076927E-2</v>
          </cell>
          <cell r="M94">
            <v>7.6923076923076927E-2</v>
          </cell>
          <cell r="N94">
            <v>7.6923076923076927E-2</v>
          </cell>
          <cell r="O94">
            <v>7.6923076923076927E-2</v>
          </cell>
          <cell r="P94">
            <v>7.6923076923076927E-2</v>
          </cell>
          <cell r="Q94">
            <v>7.6923076923076927E-2</v>
          </cell>
          <cell r="R94">
            <v>7.6923076923076927E-2</v>
          </cell>
          <cell r="S94">
            <v>1</v>
          </cell>
        </row>
        <row r="95">
          <cell r="A95" t="str">
            <v>F110</v>
          </cell>
          <cell r="B95" t="str">
            <v>SIP - System Intangible Plant</v>
          </cell>
          <cell r="C95">
            <v>0</v>
          </cell>
          <cell r="D95">
            <v>0</v>
          </cell>
          <cell r="E95">
            <v>0</v>
          </cell>
          <cell r="F95">
            <v>0.45665947910921073</v>
          </cell>
          <cell r="G95">
            <v>0.23158901732916684</v>
          </cell>
          <cell r="H95">
            <v>7.2009738952105204E-2</v>
          </cell>
          <cell r="I95">
            <v>5.2325962910293655E-3</v>
          </cell>
          <cell r="J95">
            <v>0.1203954023106211</v>
          </cell>
          <cell r="K95">
            <v>7.1927072962992061E-3</v>
          </cell>
          <cell r="L95">
            <v>5.9320580506181005E-4</v>
          </cell>
          <cell r="M95">
            <v>3.872933416527607E-4</v>
          </cell>
          <cell r="N95">
            <v>7.2775809131081989E-2</v>
          </cell>
          <cell r="O95">
            <v>5.3143987190643267E-4</v>
          </cell>
          <cell r="P95">
            <v>6.0107693613809981E-3</v>
          </cell>
          <cell r="Q95">
            <v>1.4512544058634372E-2</v>
          </cell>
          <cell r="R95">
            <v>1.2109997141849198E-2</v>
          </cell>
          <cell r="S95">
            <v>1</v>
          </cell>
        </row>
        <row r="96">
          <cell r="A96" t="str">
            <v>F118</v>
          </cell>
          <cell r="B96" t="str">
            <v>Account 360</v>
          </cell>
          <cell r="C96">
            <v>0</v>
          </cell>
          <cell r="D96">
            <v>0</v>
          </cell>
          <cell r="E96">
            <v>0</v>
          </cell>
          <cell r="F96">
            <v>0.4707810800032789</v>
          </cell>
          <cell r="G96">
            <v>0.33195406095819258</v>
          </cell>
          <cell r="H96">
            <v>9.6141941246542115E-2</v>
          </cell>
          <cell r="I96">
            <v>7.492994782912029E-4</v>
          </cell>
          <cell r="J96">
            <v>0</v>
          </cell>
          <cell r="K96">
            <v>1.3031919730716126E-2</v>
          </cell>
          <cell r="L96">
            <v>1.7660135383184555E-4</v>
          </cell>
          <cell r="M96">
            <v>1.6273362534603863E-4</v>
          </cell>
          <cell r="N96">
            <v>8.619861671738005E-2</v>
          </cell>
          <cell r="O96">
            <v>8.0374688642115581E-4</v>
          </cell>
          <cell r="P96">
            <v>0</v>
          </cell>
          <cell r="Q96">
            <v>0</v>
          </cell>
          <cell r="R96">
            <v>0</v>
          </cell>
          <cell r="S96">
            <v>1</v>
          </cell>
        </row>
        <row r="97">
          <cell r="A97" t="str">
            <v>F119</v>
          </cell>
          <cell r="B97" t="str">
            <v>Account 361</v>
          </cell>
          <cell r="C97">
            <v>0</v>
          </cell>
          <cell r="D97">
            <v>0</v>
          </cell>
          <cell r="E97">
            <v>0</v>
          </cell>
          <cell r="F97">
            <v>0.4707810800032789</v>
          </cell>
          <cell r="G97">
            <v>0.33195406095819258</v>
          </cell>
          <cell r="H97">
            <v>9.6141941246542115E-2</v>
          </cell>
          <cell r="I97">
            <v>7.492994782912029E-4</v>
          </cell>
          <cell r="J97">
            <v>0</v>
          </cell>
          <cell r="K97">
            <v>1.3031919730716126E-2</v>
          </cell>
          <cell r="L97">
            <v>1.7660135383184555E-4</v>
          </cell>
          <cell r="M97">
            <v>1.6273362534603863E-4</v>
          </cell>
          <cell r="N97">
            <v>8.619861671738005E-2</v>
          </cell>
          <cell r="O97">
            <v>8.0374688642115581E-4</v>
          </cell>
          <cell r="P97">
            <v>0</v>
          </cell>
          <cell r="Q97">
            <v>0</v>
          </cell>
          <cell r="R97">
            <v>0</v>
          </cell>
          <cell r="S97">
            <v>1</v>
          </cell>
        </row>
        <row r="98">
          <cell r="A98" t="str">
            <v>F120</v>
          </cell>
          <cell r="B98" t="str">
            <v>Account 362</v>
          </cell>
          <cell r="C98">
            <v>0</v>
          </cell>
          <cell r="D98">
            <v>0</v>
          </cell>
          <cell r="E98">
            <v>0</v>
          </cell>
          <cell r="F98">
            <v>0.47078108000327895</v>
          </cell>
          <cell r="G98">
            <v>0.33195406095819258</v>
          </cell>
          <cell r="H98">
            <v>9.6141941246542115E-2</v>
          </cell>
          <cell r="I98">
            <v>7.492994782912029E-4</v>
          </cell>
          <cell r="J98">
            <v>0</v>
          </cell>
          <cell r="K98">
            <v>1.3031919730716126E-2</v>
          </cell>
          <cell r="L98">
            <v>1.7660135383184555E-4</v>
          </cell>
          <cell r="M98">
            <v>1.6273362534603863E-4</v>
          </cell>
          <cell r="N98">
            <v>8.619861671738005E-2</v>
          </cell>
          <cell r="O98">
            <v>8.0374688642115581E-4</v>
          </cell>
          <cell r="P98">
            <v>0</v>
          </cell>
          <cell r="Q98">
            <v>0</v>
          </cell>
          <cell r="R98">
            <v>0</v>
          </cell>
          <cell r="S98">
            <v>1</v>
          </cell>
        </row>
        <row r="99">
          <cell r="A99" t="str">
            <v>F121</v>
          </cell>
          <cell r="B99" t="str">
            <v>Account 364</v>
          </cell>
          <cell r="C99">
            <v>0</v>
          </cell>
          <cell r="D99">
            <v>0</v>
          </cell>
          <cell r="E99">
            <v>0</v>
          </cell>
          <cell r="F99">
            <v>0.46650143808336253</v>
          </cell>
          <cell r="G99">
            <v>0.32643931427058126</v>
          </cell>
          <cell r="H99">
            <v>9.4544736951166233E-2</v>
          </cell>
          <cell r="I99">
            <v>1.3361247569268569E-2</v>
          </cell>
          <cell r="J99">
            <v>0</v>
          </cell>
          <cell r="K99">
            <v>1.2815420688768167E-2</v>
          </cell>
          <cell r="L99">
            <v>1.7366747880028055E-4</v>
          </cell>
          <cell r="M99">
            <v>1.6003013463184286E-4</v>
          </cell>
          <cell r="N99">
            <v>8.521375056918884E-2</v>
          </cell>
          <cell r="O99">
            <v>7.9039425423230842E-4</v>
          </cell>
          <cell r="P99">
            <v>0</v>
          </cell>
          <cell r="Q99">
            <v>0</v>
          </cell>
          <cell r="R99">
            <v>0</v>
          </cell>
          <cell r="S99">
            <v>1</v>
          </cell>
        </row>
        <row r="100">
          <cell r="A100" t="str">
            <v>F122</v>
          </cell>
          <cell r="B100" t="str">
            <v>Account 365</v>
          </cell>
          <cell r="C100">
            <v>0</v>
          </cell>
          <cell r="D100">
            <v>0</v>
          </cell>
          <cell r="E100">
            <v>0</v>
          </cell>
          <cell r="F100">
            <v>0.62630032180128248</v>
          </cell>
          <cell r="G100">
            <v>0.20263236706771157</v>
          </cell>
          <cell r="H100">
            <v>5.8687244473039427E-2</v>
          </cell>
          <cell r="I100">
            <v>8.316280907041753E-3</v>
          </cell>
          <cell r="J100">
            <v>0</v>
          </cell>
          <cell r="K100">
            <v>7.9549824901946307E-3</v>
          </cell>
          <cell r="L100">
            <v>1.0780151401376061E-4</v>
          </cell>
          <cell r="M100">
            <v>9.9336334703044779E-5</v>
          </cell>
          <cell r="N100">
            <v>9.5411039890973603E-2</v>
          </cell>
          <cell r="O100">
            <v>4.9062552103959261E-4</v>
          </cell>
          <cell r="P100">
            <v>0</v>
          </cell>
          <cell r="Q100">
            <v>0</v>
          </cell>
          <cell r="R100">
            <v>0</v>
          </cell>
          <cell r="S100">
            <v>1</v>
          </cell>
        </row>
        <row r="101">
          <cell r="A101" t="str">
            <v>F123</v>
          </cell>
          <cell r="B101" t="str">
            <v>Account 366</v>
          </cell>
          <cell r="C101">
            <v>0</v>
          </cell>
          <cell r="D101">
            <v>0</v>
          </cell>
          <cell r="E101">
            <v>0</v>
          </cell>
          <cell r="F101">
            <v>0.62854085366896428</v>
          </cell>
          <cell r="G101">
            <v>0.20629135114531277</v>
          </cell>
          <cell r="H101">
            <v>5.9746974940548529E-2</v>
          </cell>
          <cell r="I101">
            <v>6.2296750022582548E-4</v>
          </cell>
          <cell r="J101">
            <v>0</v>
          </cell>
          <cell r="K101">
            <v>8.0986276278911772E-3</v>
          </cell>
          <cell r="L101">
            <v>1.0974811331092939E-4</v>
          </cell>
          <cell r="M101">
            <v>1.0113007610904755E-4</v>
          </cell>
          <cell r="N101">
            <v>9.5988862057050053E-2</v>
          </cell>
          <cell r="O101">
            <v>4.9948487058738117E-4</v>
          </cell>
          <cell r="P101">
            <v>0</v>
          </cell>
          <cell r="Q101">
            <v>0</v>
          </cell>
          <cell r="R101">
            <v>0</v>
          </cell>
          <cell r="S101">
            <v>1</v>
          </cell>
        </row>
        <row r="102">
          <cell r="A102" t="str">
            <v>F124</v>
          </cell>
          <cell r="B102" t="str">
            <v>Account 367</v>
          </cell>
          <cell r="C102">
            <v>0</v>
          </cell>
          <cell r="D102">
            <v>0</v>
          </cell>
          <cell r="E102">
            <v>0</v>
          </cell>
          <cell r="F102">
            <v>0.5984560038114245</v>
          </cell>
          <cell r="G102">
            <v>0.22838765526518298</v>
          </cell>
          <cell r="H102">
            <v>6.6146600136656117E-2</v>
          </cell>
          <cell r="I102">
            <v>3.2858791544882475E-3</v>
          </cell>
          <cell r="J102">
            <v>0</v>
          </cell>
          <cell r="K102">
            <v>8.9660888085269716E-3</v>
          </cell>
          <cell r="L102">
            <v>1.2150346647933277E-4</v>
          </cell>
          <cell r="M102">
            <v>1.1196233303579126E-4</v>
          </cell>
          <cell r="N102">
            <v>9.3971321269832264E-2</v>
          </cell>
          <cell r="O102">
            <v>5.529857543738199E-4</v>
          </cell>
          <cell r="P102">
            <v>0</v>
          </cell>
          <cell r="Q102">
            <v>0</v>
          </cell>
          <cell r="R102">
            <v>0</v>
          </cell>
          <cell r="S102">
            <v>1</v>
          </cell>
        </row>
        <row r="103">
          <cell r="A103" t="str">
            <v>F125</v>
          </cell>
          <cell r="B103" t="str">
            <v>Account 368</v>
          </cell>
          <cell r="C103">
            <v>0</v>
          </cell>
          <cell r="D103">
            <v>0</v>
          </cell>
          <cell r="E103">
            <v>0</v>
          </cell>
          <cell r="F103">
            <v>0.59055368391181151</v>
          </cell>
          <cell r="G103">
            <v>0.23978681675195562</v>
          </cell>
          <cell r="H103">
            <v>6.3362723263065746E-2</v>
          </cell>
          <cell r="I103">
            <v>3.6483710767670928E-3</v>
          </cell>
          <cell r="J103">
            <v>0</v>
          </cell>
          <cell r="K103">
            <v>2.5710409495489625E-2</v>
          </cell>
          <cell r="L103">
            <v>1.1517789034312014E-4</v>
          </cell>
          <cell r="M103">
            <v>8.5950976985743111E-4</v>
          </cell>
          <cell r="N103">
            <v>7.4564681784161146E-2</v>
          </cell>
          <cell r="O103">
            <v>1.3986260565486365E-3</v>
          </cell>
          <cell r="P103">
            <v>0</v>
          </cell>
          <cell r="Q103">
            <v>0</v>
          </cell>
          <cell r="R103">
            <v>0</v>
          </cell>
          <cell r="S103">
            <v>1</v>
          </cell>
        </row>
        <row r="104">
          <cell r="A104" t="str">
            <v>F126</v>
          </cell>
          <cell r="B104" t="str">
            <v>Account 369</v>
          </cell>
          <cell r="C104">
            <v>0</v>
          </cell>
          <cell r="D104">
            <v>0</v>
          </cell>
          <cell r="E104">
            <v>0</v>
          </cell>
          <cell r="F104">
            <v>0.78247152659940289</v>
          </cell>
          <cell r="G104">
            <v>7.9505021864011857E-2</v>
          </cell>
          <cell r="H104">
            <v>3.0064817283884599E-3</v>
          </cell>
          <cell r="I104">
            <v>0</v>
          </cell>
          <cell r="J104">
            <v>0</v>
          </cell>
          <cell r="K104">
            <v>0</v>
          </cell>
          <cell r="L104">
            <v>3.1363648863416945E-3</v>
          </cell>
          <cell r="M104">
            <v>6.5969885309860956E-4</v>
          </cell>
          <cell r="N104">
            <v>0.13122090606875636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1</v>
          </cell>
        </row>
        <row r="105">
          <cell r="A105" t="str">
            <v>F127</v>
          </cell>
          <cell r="B105" t="str">
            <v>Account 370</v>
          </cell>
          <cell r="C105">
            <v>0</v>
          </cell>
          <cell r="D105">
            <v>0</v>
          </cell>
          <cell r="E105">
            <v>0</v>
          </cell>
          <cell r="F105">
            <v>0.68497890837007003</v>
          </cell>
          <cell r="G105">
            <v>0.10902835722412574</v>
          </cell>
          <cell r="H105">
            <v>1.3486620889471449E-2</v>
          </cell>
          <cell r="I105">
            <v>0</v>
          </cell>
          <cell r="J105">
            <v>3.8957800440214296E-2</v>
          </cell>
          <cell r="K105">
            <v>1.1135492495671355E-2</v>
          </cell>
          <cell r="L105">
            <v>2.0350891354208589E-3</v>
          </cell>
          <cell r="M105">
            <v>4.2805796431312178E-4</v>
          </cell>
          <cell r="N105">
            <v>0.1306353806924791</v>
          </cell>
          <cell r="O105">
            <v>1.9981764371414633E-4</v>
          </cell>
          <cell r="P105">
            <v>3.03815838150666E-3</v>
          </cell>
          <cell r="Q105">
            <v>3.03815838150666E-3</v>
          </cell>
          <cell r="R105">
            <v>3.03815838150666E-3</v>
          </cell>
          <cell r="S105">
            <v>1</v>
          </cell>
        </row>
        <row r="106">
          <cell r="A106" t="str">
            <v>F128</v>
          </cell>
          <cell r="B106" t="str">
            <v>Account 371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1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1</v>
          </cell>
        </row>
        <row r="107">
          <cell r="A107" t="str">
            <v>F129</v>
          </cell>
          <cell r="B107" t="str">
            <v>Account 372</v>
          </cell>
          <cell r="C107">
            <v>0</v>
          </cell>
          <cell r="D107">
            <v>0</v>
          </cell>
          <cell r="E107">
            <v>0</v>
          </cell>
          <cell r="F107">
            <v>7.6923076923076927E-2</v>
          </cell>
          <cell r="G107">
            <v>7.6923076923076927E-2</v>
          </cell>
          <cell r="H107">
            <v>7.6923076923076927E-2</v>
          </cell>
          <cell r="I107">
            <v>7.6923076923076927E-2</v>
          </cell>
          <cell r="J107">
            <v>7.6923076923076927E-2</v>
          </cell>
          <cell r="K107">
            <v>7.6923076923076927E-2</v>
          </cell>
          <cell r="L107">
            <v>7.6923076923076927E-2</v>
          </cell>
          <cell r="M107">
            <v>7.6923076923076927E-2</v>
          </cell>
          <cell r="N107">
            <v>7.6923076923076927E-2</v>
          </cell>
          <cell r="O107">
            <v>7.6923076923076927E-2</v>
          </cell>
          <cell r="P107">
            <v>7.6923076923076927E-2</v>
          </cell>
          <cell r="Q107">
            <v>7.6923076923076927E-2</v>
          </cell>
          <cell r="R107">
            <v>7.6923076923076927E-2</v>
          </cell>
          <cell r="S107">
            <v>1</v>
          </cell>
        </row>
        <row r="108">
          <cell r="A108" t="str">
            <v>F130</v>
          </cell>
          <cell r="B108" t="str">
            <v>Account 373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1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1</v>
          </cell>
        </row>
        <row r="109">
          <cell r="A109" t="str">
            <v>F131</v>
          </cell>
          <cell r="B109" t="str">
            <v>Account 581 thru 587 &amp; 591 thru 597</v>
          </cell>
          <cell r="C109">
            <v>0</v>
          </cell>
          <cell r="D109">
            <v>0</v>
          </cell>
          <cell r="E109">
            <v>0</v>
          </cell>
          <cell r="F109">
            <v>0.5431178716251488</v>
          </cell>
          <cell r="G109">
            <v>0.24651479307064361</v>
          </cell>
          <cell r="H109">
            <v>6.8434723782509047E-2</v>
          </cell>
          <cell r="I109">
            <v>3.5081888691545951E-2</v>
          </cell>
          <cell r="J109">
            <v>2.2844854412390034E-3</v>
          </cell>
          <cell r="K109">
            <v>9.8890964518531053E-3</v>
          </cell>
          <cell r="L109">
            <v>5.3505083595494331E-4</v>
          </cell>
          <cell r="M109">
            <v>2.0515278338273965E-4</v>
          </cell>
          <cell r="N109">
            <v>9.2822255042778745E-2</v>
          </cell>
          <cell r="O109">
            <v>5.8020944698907698E-4</v>
          </cell>
          <cell r="P109">
            <v>1.7815760931835713E-4</v>
          </cell>
          <cell r="Q109">
            <v>1.7815760931835713E-4</v>
          </cell>
          <cell r="R109">
            <v>1.7815760931835713E-4</v>
          </cell>
          <cell r="S109">
            <v>1</v>
          </cell>
        </row>
        <row r="110">
          <cell r="A110" t="str">
            <v>F132</v>
          </cell>
          <cell r="B110" t="str">
            <v>Account 364 + 365</v>
          </cell>
          <cell r="C110">
            <v>0</v>
          </cell>
          <cell r="D110">
            <v>0</v>
          </cell>
          <cell r="E110">
            <v>0</v>
          </cell>
          <cell r="F110">
            <v>0.53119782782208946</v>
          </cell>
          <cell r="G110">
            <v>0.27631466807631871</v>
          </cell>
          <cell r="H110">
            <v>8.0027424599263916E-2</v>
          </cell>
          <cell r="I110">
            <v>1.1318735620471341E-2</v>
          </cell>
          <cell r="J110">
            <v>0</v>
          </cell>
          <cell r="K110">
            <v>1.0847617180509703E-2</v>
          </cell>
          <cell r="L110">
            <v>1.4700089622347065E-4</v>
          </cell>
          <cell r="M110">
            <v>1.3545756163534266E-4</v>
          </cell>
          <cell r="N110">
            <v>8.9342238759414938E-2</v>
          </cell>
          <cell r="O110">
            <v>6.6902948407311907E-4</v>
          </cell>
          <cell r="P110">
            <v>0</v>
          </cell>
          <cell r="Q110">
            <v>0</v>
          </cell>
          <cell r="R110">
            <v>0</v>
          </cell>
          <cell r="S110">
            <v>1</v>
          </cell>
        </row>
        <row r="111">
          <cell r="A111" t="str">
            <v>F133</v>
          </cell>
          <cell r="B111" t="str">
            <v>Account 366 + 367</v>
          </cell>
          <cell r="C111">
            <v>0</v>
          </cell>
          <cell r="D111">
            <v>0</v>
          </cell>
          <cell r="E111">
            <v>0</v>
          </cell>
          <cell r="F111">
            <v>0.60634676110342911</v>
          </cell>
          <cell r="G111">
            <v>0.22259216106508412</v>
          </cell>
          <cell r="H111">
            <v>6.4468084557505675E-2</v>
          </cell>
          <cell r="I111">
            <v>2.5874415803160363E-3</v>
          </cell>
          <cell r="J111">
            <v>0</v>
          </cell>
          <cell r="K111">
            <v>8.7385681238951549E-3</v>
          </cell>
          <cell r="L111">
            <v>1.1842023225436881E-4</v>
          </cell>
          <cell r="M111">
            <v>1.0912121164950157E-4</v>
          </cell>
          <cell r="N111">
            <v>9.4500488766231308E-2</v>
          </cell>
          <cell r="O111">
            <v>5.3895335963475384E-4</v>
          </cell>
          <cell r="P111">
            <v>0</v>
          </cell>
          <cell r="Q111">
            <v>0</v>
          </cell>
          <cell r="R111">
            <v>0</v>
          </cell>
          <cell r="S111">
            <v>1</v>
          </cell>
        </row>
        <row r="112">
          <cell r="A112" t="str">
            <v>F134</v>
          </cell>
          <cell r="B112" t="str">
            <v>Account 364 + 365 + 369  (OH)</v>
          </cell>
          <cell r="C112">
            <v>0</v>
          </cell>
          <cell r="D112">
            <v>0</v>
          </cell>
          <cell r="E112">
            <v>0</v>
          </cell>
          <cell r="F112">
            <v>0.5646956754982182</v>
          </cell>
          <cell r="G112">
            <v>0.25007754265454785</v>
          </cell>
          <cell r="H112">
            <v>6.9759593844534146E-2</v>
          </cell>
          <cell r="I112">
            <v>9.8098101597252907E-3</v>
          </cell>
          <cell r="J112">
            <v>0</v>
          </cell>
          <cell r="K112">
            <v>9.401497551874383E-3</v>
          </cell>
          <cell r="L112">
            <v>5.4551956362379223E-4</v>
          </cell>
          <cell r="M112">
            <v>2.053453175462253E-4</v>
          </cell>
          <cell r="N112">
            <v>9.4925175713158103E-2</v>
          </cell>
          <cell r="O112">
            <v>5.7983969677197482E-4</v>
          </cell>
          <cell r="P112">
            <v>0</v>
          </cell>
          <cell r="Q112">
            <v>0</v>
          </cell>
          <cell r="R112">
            <v>0</v>
          </cell>
          <cell r="S112">
            <v>1</v>
          </cell>
        </row>
        <row r="113">
          <cell r="A113" t="str">
            <v>F135</v>
          </cell>
          <cell r="B113" t="str">
            <v>Account 366 + 367 + 369  (UG)</v>
          </cell>
          <cell r="C113">
            <v>0</v>
          </cell>
          <cell r="D113">
            <v>0</v>
          </cell>
          <cell r="E113">
            <v>0</v>
          </cell>
          <cell r="F113">
            <v>0.63847973148955328</v>
          </cell>
          <cell r="G113">
            <v>0.1964867193139728</v>
          </cell>
          <cell r="H113">
            <v>5.3254761672275774E-2</v>
          </cell>
          <cell r="I113">
            <v>2.1153774532638855E-3</v>
          </cell>
          <cell r="J113">
            <v>0</v>
          </cell>
          <cell r="K113">
            <v>7.1442656420634843E-3</v>
          </cell>
          <cell r="L113">
            <v>6.6902721772664649E-4</v>
          </cell>
          <cell r="M113">
            <v>2.0957099790259236E-4</v>
          </cell>
          <cell r="N113">
            <v>0.10119992185518628</v>
          </cell>
          <cell r="O113">
            <v>4.4062435805523664E-4</v>
          </cell>
          <cell r="P113">
            <v>0</v>
          </cell>
          <cell r="Q113">
            <v>0</v>
          </cell>
          <cell r="R113">
            <v>0</v>
          </cell>
          <cell r="S113">
            <v>1</v>
          </cell>
        </row>
        <row r="114">
          <cell r="A114" t="str">
            <v>F136</v>
          </cell>
          <cell r="B114" t="str">
            <v>Account 902 + 903 + 904</v>
          </cell>
          <cell r="C114">
            <v>0</v>
          </cell>
          <cell r="D114">
            <v>0</v>
          </cell>
          <cell r="E114">
            <v>0</v>
          </cell>
          <cell r="F114">
            <v>0.85278051655847564</v>
          </cell>
          <cell r="G114">
            <v>3.1575841689494413E-2</v>
          </cell>
          <cell r="H114">
            <v>5.8266424581653008E-3</v>
          </cell>
          <cell r="I114">
            <v>7.6249230415128605E-3</v>
          </cell>
          <cell r="J114">
            <v>8.2904151394039612E-3</v>
          </cell>
          <cell r="K114">
            <v>3.4825089585814868E-3</v>
          </cell>
          <cell r="L114">
            <v>2.1749138845496823E-3</v>
          </cell>
          <cell r="M114">
            <v>4.5746851760581562E-4</v>
          </cell>
          <cell r="N114">
            <v>8.771127807081136E-2</v>
          </cell>
          <cell r="O114">
            <v>1.0739860096555443E-5</v>
          </cell>
          <cell r="P114">
            <v>1.1525982314316034E-5</v>
          </cell>
          <cell r="Q114">
            <v>2.6612919494371003E-5</v>
          </cell>
          <cell r="R114">
            <v>2.6612919494371003E-5</v>
          </cell>
          <cell r="S114">
            <v>1</v>
          </cell>
        </row>
        <row r="115">
          <cell r="A115" t="str">
            <v>F137</v>
          </cell>
          <cell r="B115" t="str">
            <v>Total O &amp; M Expense</v>
          </cell>
          <cell r="C115">
            <v>0</v>
          </cell>
          <cell r="D115">
            <v>0</v>
          </cell>
          <cell r="E115">
            <v>0</v>
          </cell>
          <cell r="F115">
            <v>0.35856042356017565</v>
          </cell>
          <cell r="G115">
            <v>0.26408203129872732</v>
          </cell>
          <cell r="H115">
            <v>8.7416190333786933E-2</v>
          </cell>
          <cell r="I115">
            <v>5.6071649845686614E-3</v>
          </cell>
          <cell r="J115">
            <v>0.1568768956047466</v>
          </cell>
          <cell r="K115">
            <v>7.3824965335934295E-3</v>
          </cell>
          <cell r="L115">
            <v>3.1879840396214099E-4</v>
          </cell>
          <cell r="M115">
            <v>5.1255252231742553E-4</v>
          </cell>
          <cell r="N115">
            <v>6.7150571991724542E-2</v>
          </cell>
          <cell r="O115">
            <v>5.5482104554298002E-4</v>
          </cell>
          <cell r="P115">
            <v>8.2044122989504802E-3</v>
          </cell>
          <cell r="Q115">
            <v>2.5660312901860344E-2</v>
          </cell>
          <cell r="R115">
            <v>1.7673328520043777E-2</v>
          </cell>
          <cell r="S115">
            <v>1</v>
          </cell>
        </row>
        <row r="116">
          <cell r="A116" t="str">
            <v>F137G</v>
          </cell>
          <cell r="B116" t="str">
            <v>Generation O &amp; M Exp</v>
          </cell>
          <cell r="C116">
            <v>0</v>
          </cell>
          <cell r="D116">
            <v>0</v>
          </cell>
          <cell r="E116">
            <v>0</v>
          </cell>
          <cell r="F116">
            <v>0.31840108073022311</v>
          </cell>
          <cell r="G116">
            <v>0.27489015835754088</v>
          </cell>
          <cell r="H116">
            <v>9.28799971629925E-2</v>
          </cell>
          <cell r="I116">
            <v>2.8373136903540215E-3</v>
          </cell>
          <cell r="J116">
            <v>0.17901149232130834</v>
          </cell>
          <cell r="K116">
            <v>7.3163055943166978E-3</v>
          </cell>
          <cell r="L116">
            <v>2.2388434206237063E-4</v>
          </cell>
          <cell r="M116">
            <v>5.5885548905086093E-4</v>
          </cell>
          <cell r="N116">
            <v>6.3557195281612508E-2</v>
          </cell>
          <cell r="O116">
            <v>5.6909834147879921E-4</v>
          </cell>
          <cell r="P116">
            <v>9.4140076515919647E-3</v>
          </cell>
          <cell r="Q116">
            <v>2.9945680984222671E-2</v>
          </cell>
          <cell r="R116">
            <v>2.0394930053245407E-2</v>
          </cell>
          <cell r="S116">
            <v>1</v>
          </cell>
        </row>
        <row r="117">
          <cell r="A117" t="str">
            <v>F137T</v>
          </cell>
          <cell r="B117" t="str">
            <v>Transmission O &amp; M Exp</v>
          </cell>
          <cell r="C117">
            <v>0</v>
          </cell>
          <cell r="D117">
            <v>0</v>
          </cell>
          <cell r="E117">
            <v>0</v>
          </cell>
          <cell r="F117">
            <v>0.33895056728158685</v>
          </cell>
          <cell r="G117">
            <v>0.2774814878170751</v>
          </cell>
          <cell r="H117">
            <v>8.9573892868729493E-2</v>
          </cell>
          <cell r="I117">
            <v>2.0966280983772609E-3</v>
          </cell>
          <cell r="J117">
            <v>0.17064686796817535</v>
          </cell>
          <cell r="K117">
            <v>6.6133241894246759E-3</v>
          </cell>
          <cell r="L117">
            <v>2.0857420033217538E-4</v>
          </cell>
          <cell r="M117">
            <v>3.8984768033234815E-4</v>
          </cell>
          <cell r="N117">
            <v>6.5627016161163718E-2</v>
          </cell>
          <cell r="O117">
            <v>6.0197378070384121E-4</v>
          </cell>
          <cell r="P117">
            <v>8.4978283758878718E-3</v>
          </cell>
          <cell r="Q117">
            <v>2.1964538398993386E-2</v>
          </cell>
          <cell r="R117">
            <v>1.7347453179217813E-2</v>
          </cell>
          <cell r="S117">
            <v>1</v>
          </cell>
        </row>
        <row r="118">
          <cell r="A118" t="str">
            <v>F137D</v>
          </cell>
          <cell r="B118" t="str">
            <v xml:space="preserve">Distribution O &amp; M Exp </v>
          </cell>
          <cell r="C118">
            <v>0</v>
          </cell>
          <cell r="D118">
            <v>0</v>
          </cell>
          <cell r="E118">
            <v>0</v>
          </cell>
          <cell r="F118">
            <v>0.54054031867854702</v>
          </cell>
          <cell r="G118">
            <v>0.2461890671172916</v>
          </cell>
          <cell r="H118">
            <v>6.8700137085952476E-2</v>
          </cell>
          <cell r="I118">
            <v>3.2343825477048005E-2</v>
          </cell>
          <cell r="J118">
            <v>6.8528358164167708E-3</v>
          </cell>
          <cell r="K118">
            <v>1.0059659944078982E-2</v>
          </cell>
          <cell r="L118">
            <v>5.2232906993957364E-4</v>
          </cell>
          <cell r="M118">
            <v>2.2619038922403308E-4</v>
          </cell>
          <cell r="N118">
            <v>9.1930770224364466E-2</v>
          </cell>
          <cell r="O118">
            <v>5.9198657123027431E-4</v>
          </cell>
          <cell r="P118">
            <v>4.1141948484687803E-4</v>
          </cell>
          <cell r="Q118">
            <v>9.3045285313566217E-4</v>
          </cell>
          <cell r="R118">
            <v>7.0100728792423265E-4</v>
          </cell>
          <cell r="S118">
            <v>1</v>
          </cell>
        </row>
        <row r="119">
          <cell r="A119" t="str">
            <v>F137R</v>
          </cell>
          <cell r="B119" t="str">
            <v>Retail O &amp; M Exp  (Customer)</v>
          </cell>
          <cell r="C119">
            <v>0</v>
          </cell>
          <cell r="D119">
            <v>0</v>
          </cell>
          <cell r="E119">
            <v>0</v>
          </cell>
          <cell r="F119">
            <v>0.85462793204989895</v>
          </cell>
          <cell r="G119">
            <v>2.9766302619335355E-2</v>
          </cell>
          <cell r="H119">
            <v>5.1027399152060414E-3</v>
          </cell>
          <cell r="I119">
            <v>8.1562395414022278E-3</v>
          </cell>
          <cell r="J119">
            <v>7.2382114561459843E-3</v>
          </cell>
          <cell r="K119">
            <v>3.4786308743713595E-3</v>
          </cell>
          <cell r="L119">
            <v>2.2438569753083942E-3</v>
          </cell>
          <cell r="M119">
            <v>4.7260755430000574E-4</v>
          </cell>
          <cell r="N119">
            <v>8.8805752511835381E-2</v>
          </cell>
          <cell r="O119">
            <v>1.0661010195594862E-5</v>
          </cell>
          <cell r="P119">
            <v>1.1511389664271826E-5</v>
          </cell>
          <cell r="Q119">
            <v>5.3512403418519102E-5</v>
          </cell>
          <cell r="R119">
            <v>3.2041698918036537E-5</v>
          </cell>
          <cell r="S119">
            <v>1</v>
          </cell>
        </row>
        <row r="120">
          <cell r="A120" t="str">
            <v>F137M</v>
          </cell>
          <cell r="B120" t="str">
            <v xml:space="preserve">Misc &amp; Customer O &amp; M Exp </v>
          </cell>
          <cell r="C120">
            <v>0</v>
          </cell>
          <cell r="D120">
            <v>0</v>
          </cell>
          <cell r="E120">
            <v>0</v>
          </cell>
          <cell r="F120">
            <v>0.40699770433233368</v>
          </cell>
          <cell r="G120">
            <v>0.26604829024262955</v>
          </cell>
          <cell r="H120">
            <v>8.2358502052883642E-2</v>
          </cell>
          <cell r="I120">
            <v>5.9844966363501381E-3</v>
          </cell>
          <cell r="J120">
            <v>0.12315062656674258</v>
          </cell>
          <cell r="K120">
            <v>8.4484920904371388E-3</v>
          </cell>
          <cell r="L120">
            <v>2.7542354000494149E-4</v>
          </cell>
          <cell r="M120">
            <v>3.539347696718907E-4</v>
          </cell>
          <cell r="N120">
            <v>7.2502478242994509E-2</v>
          </cell>
          <cell r="O120">
            <v>6.3661179214994442E-4</v>
          </cell>
          <cell r="P120">
            <v>6.1343366117120202E-3</v>
          </cell>
          <cell r="Q120">
            <v>1.4734950200145413E-2</v>
          </cell>
          <cell r="R120">
            <v>1.2374152921944659E-2</v>
          </cell>
          <cell r="S120">
            <v>1</v>
          </cell>
        </row>
        <row r="121">
          <cell r="A121" t="str">
            <v>F138</v>
          </cell>
          <cell r="B121" t="str">
            <v>GTD O&amp;M Exp  (less fuel, purchased p &amp; wheeling)</v>
          </cell>
          <cell r="C121">
            <v>0</v>
          </cell>
          <cell r="D121">
            <v>0</v>
          </cell>
          <cell r="E121">
            <v>0</v>
          </cell>
          <cell r="F121">
            <v>0.46517393622124814</v>
          </cell>
          <cell r="G121">
            <v>0.23729080594656712</v>
          </cell>
          <cell r="H121">
            <v>7.2588071346608274E-2</v>
          </cell>
          <cell r="I121">
            <v>1.2031280264176913E-2</v>
          </cell>
          <cell r="J121">
            <v>0.1007919216307373</v>
          </cell>
          <cell r="K121">
            <v>7.42366622621758E-3</v>
          </cell>
          <cell r="L121">
            <v>5.5102135080567125E-4</v>
          </cell>
          <cell r="M121">
            <v>3.3698989659877856E-4</v>
          </cell>
          <cell r="N121">
            <v>7.6082075124231374E-2</v>
          </cell>
          <cell r="O121">
            <v>5.2857010985461598E-4</v>
          </cell>
          <cell r="P121">
            <v>5.0265419999859689E-3</v>
          </cell>
          <cell r="Q121">
            <v>1.2105576169874109E-2</v>
          </cell>
          <cell r="R121">
            <v>1.0069543713093786E-2</v>
          </cell>
          <cell r="S121">
            <v>1</v>
          </cell>
        </row>
        <row r="122">
          <cell r="A122" t="str">
            <v>F138G</v>
          </cell>
          <cell r="B122" t="str">
            <v xml:space="preserve">Generation O &amp; M Exp (less fuel &amp; purchased power) </v>
          </cell>
          <cell r="C122">
            <v>0</v>
          </cell>
          <cell r="D122">
            <v>0</v>
          </cell>
          <cell r="E122">
            <v>0</v>
          </cell>
          <cell r="F122">
            <v>0.34573284175561814</v>
          </cell>
          <cell r="G122">
            <v>0.27709023300000502</v>
          </cell>
          <cell r="H122">
            <v>8.8955862930045884E-2</v>
          </cell>
          <cell r="I122">
            <v>1.8575802547006596E-3</v>
          </cell>
          <cell r="J122">
            <v>0.16695712064381904</v>
          </cell>
          <cell r="K122">
            <v>7.0902242885279038E-3</v>
          </cell>
          <cell r="L122">
            <v>2.003251320436722E-4</v>
          </cell>
          <cell r="M122">
            <v>3.7205224265470145E-4</v>
          </cell>
          <cell r="N122">
            <v>6.5452956264633835E-2</v>
          </cell>
          <cell r="O122">
            <v>6.1407458999095165E-4</v>
          </cell>
          <cell r="P122">
            <v>8.408354916744255E-3</v>
          </cell>
          <cell r="Q122">
            <v>2.0393874334921392E-2</v>
          </cell>
          <cell r="R122">
            <v>1.6874499646294477E-2</v>
          </cell>
          <cell r="S122">
            <v>1</v>
          </cell>
        </row>
        <row r="123">
          <cell r="A123" t="str">
            <v>F138T</v>
          </cell>
          <cell r="B123" t="str">
            <v>Transmission O &amp; M Exp - (less wheeling exp)</v>
          </cell>
          <cell r="C123">
            <v>0</v>
          </cell>
          <cell r="D123">
            <v>0</v>
          </cell>
          <cell r="E123">
            <v>0</v>
          </cell>
          <cell r="F123">
            <v>0.34347145415227098</v>
          </cell>
          <cell r="G123">
            <v>0.27499862432742989</v>
          </cell>
          <cell r="H123">
            <v>8.820647075986307E-2</v>
          </cell>
          <cell r="I123">
            <v>1.8268775272007522E-3</v>
          </cell>
          <cell r="J123">
            <v>0.17261081033586431</v>
          </cell>
          <cell r="K123">
            <v>7.0312897095848852E-3</v>
          </cell>
          <cell r="L123">
            <v>1.9840947378747239E-4</v>
          </cell>
          <cell r="M123">
            <v>3.6599261306956515E-4</v>
          </cell>
          <cell r="N123">
            <v>6.4980054819904362E-2</v>
          </cell>
          <cell r="O123">
            <v>6.0999468412517479E-4</v>
          </cell>
          <cell r="P123">
            <v>8.3646275447783174E-3</v>
          </cell>
          <cell r="Q123">
            <v>2.0086768712027765E-2</v>
          </cell>
          <cell r="R123">
            <v>1.724862534009319E-2</v>
          </cell>
          <cell r="S123">
            <v>1</v>
          </cell>
        </row>
        <row r="124">
          <cell r="A124" t="str">
            <v>F138D</v>
          </cell>
          <cell r="B124" t="str">
            <v xml:space="preserve">Distribution O &amp; M Exp </v>
          </cell>
          <cell r="C124">
            <v>0</v>
          </cell>
          <cell r="D124">
            <v>0</v>
          </cell>
          <cell r="E124">
            <v>0</v>
          </cell>
          <cell r="F124">
            <v>0.5431178716251488</v>
          </cell>
          <cell r="G124">
            <v>0.24651479307064361</v>
          </cell>
          <cell r="H124">
            <v>6.8434723782509033E-2</v>
          </cell>
          <cell r="I124">
            <v>3.5081888691545951E-2</v>
          </cell>
          <cell r="J124">
            <v>2.2844854412390034E-3</v>
          </cell>
          <cell r="K124">
            <v>9.8890964518531053E-3</v>
          </cell>
          <cell r="L124">
            <v>5.3505083595494331E-4</v>
          </cell>
          <cell r="M124">
            <v>2.0515278338273965E-4</v>
          </cell>
          <cell r="N124">
            <v>9.2822255042778745E-2</v>
          </cell>
          <cell r="O124">
            <v>5.8020944698907698E-4</v>
          </cell>
          <cell r="P124">
            <v>1.7815760931835713E-4</v>
          </cell>
          <cell r="Q124">
            <v>1.7815760931835713E-4</v>
          </cell>
          <cell r="R124">
            <v>1.7815760931835713E-4</v>
          </cell>
          <cell r="S124">
            <v>1</v>
          </cell>
        </row>
        <row r="125">
          <cell r="A125" t="str">
            <v>F138R</v>
          </cell>
          <cell r="B125" t="str">
            <v>Retail O &amp; M Exp  (Customer)</v>
          </cell>
          <cell r="C125">
            <v>0</v>
          </cell>
          <cell r="D125">
            <v>0</v>
          </cell>
          <cell r="E125">
            <v>0</v>
          </cell>
          <cell r="F125">
            <v>0.85454842705351874</v>
          </cell>
          <cell r="G125">
            <v>2.9871586495254121E-2</v>
          </cell>
          <cell r="H125">
            <v>5.1189405745740036E-3</v>
          </cell>
          <cell r="I125">
            <v>8.1505737721491688E-3</v>
          </cell>
          <cell r="J125">
            <v>7.2430263247767529E-3</v>
          </cell>
          <cell r="K125">
            <v>3.478116703819274E-3</v>
          </cell>
          <cell r="L125">
            <v>2.2429671332991571E-3</v>
          </cell>
          <cell r="M125">
            <v>4.7178274818057155E-4</v>
          </cell>
          <cell r="N125">
            <v>8.8806672142818829E-2</v>
          </cell>
          <cell r="O125">
            <v>1.1063298841235599E-5</v>
          </cell>
          <cell r="P125">
            <v>1.0190875656186684E-5</v>
          </cell>
          <cell r="Q125">
            <v>2.3326438556021258E-5</v>
          </cell>
          <cell r="R125">
            <v>2.3326438556021258E-5</v>
          </cell>
          <cell r="S125">
            <v>1</v>
          </cell>
        </row>
        <row r="126">
          <cell r="A126" t="str">
            <v>F138M</v>
          </cell>
          <cell r="B126" t="str">
            <v xml:space="preserve">Misc &amp; Customer O &amp; M Exp </v>
          </cell>
          <cell r="C126">
            <v>0</v>
          </cell>
          <cell r="D126">
            <v>0</v>
          </cell>
          <cell r="E126">
            <v>0</v>
          </cell>
          <cell r="F126">
            <v>7.6923076923076927E-2</v>
          </cell>
          <cell r="G126">
            <v>7.6923076923076927E-2</v>
          </cell>
          <cell r="H126">
            <v>7.6923076923076927E-2</v>
          </cell>
          <cell r="I126">
            <v>7.6923076923076927E-2</v>
          </cell>
          <cell r="J126">
            <v>7.6923076923076927E-2</v>
          </cell>
          <cell r="K126">
            <v>7.6923076923076927E-2</v>
          </cell>
          <cell r="L126">
            <v>7.6923076923076927E-2</v>
          </cell>
          <cell r="M126">
            <v>7.6923076923076927E-2</v>
          </cell>
          <cell r="N126">
            <v>7.6923076923076927E-2</v>
          </cell>
          <cell r="O126">
            <v>7.6923076923076927E-2</v>
          </cell>
          <cell r="P126">
            <v>7.6923076923076927E-2</v>
          </cell>
          <cell r="Q126">
            <v>7.6923076923076927E-2</v>
          </cell>
          <cell r="R126">
            <v>7.6923076923076927E-2</v>
          </cell>
          <cell r="S126">
            <v>1</v>
          </cell>
        </row>
        <row r="127">
          <cell r="A127" t="str">
            <v>F140</v>
          </cell>
          <cell r="B127" t="str">
            <v>Revenue Requirement Before Rev Credits</v>
          </cell>
          <cell r="C127">
            <v>0</v>
          </cell>
          <cell r="D127">
            <v>0</v>
          </cell>
          <cell r="E127">
            <v>0</v>
          </cell>
          <cell r="F127">
            <v>0.37505823624434115</v>
          </cell>
          <cell r="G127">
            <v>0.26948475987658699</v>
          </cell>
          <cell r="H127">
            <v>8.5323444400192405E-2</v>
          </cell>
          <cell r="I127">
            <v>6.2248956332308421E-3</v>
          </cell>
          <cell r="J127">
            <v>0.14112117538759233</v>
          </cell>
          <cell r="K127">
            <v>7.5848585070070248E-3</v>
          </cell>
          <cell r="L127">
            <v>3.0627381927896295E-4</v>
          </cell>
          <cell r="M127">
            <v>5.4240176599364414E-4</v>
          </cell>
          <cell r="N127">
            <v>7.058829374083897E-2</v>
          </cell>
          <cell r="O127">
            <v>5.5952035071762539E-4</v>
          </cell>
          <cell r="P127">
            <v>7.1657475890743588E-3</v>
          </cell>
          <cell r="Q127">
            <v>2.0780556627261665E-2</v>
          </cell>
          <cell r="R127">
            <v>1.5259835962699805E-2</v>
          </cell>
          <cell r="S127">
            <v>1</v>
          </cell>
        </row>
        <row r="128">
          <cell r="A128" t="str">
            <v>F140G</v>
          </cell>
          <cell r="B128" t="str">
            <v>Revenue Requirement Before Rev Credits</v>
          </cell>
          <cell r="C128">
            <v>0</v>
          </cell>
          <cell r="D128">
            <v>0</v>
          </cell>
          <cell r="E128">
            <v>0</v>
          </cell>
          <cell r="F128">
            <v>0.32345560665046424</v>
          </cell>
          <cell r="G128">
            <v>0.27990417112480165</v>
          </cell>
          <cell r="H128">
            <v>9.1972295333427032E-2</v>
          </cell>
          <cell r="I128">
            <v>2.8535491497781004E-3</v>
          </cell>
          <cell r="J128">
            <v>0.17356925245933538</v>
          </cell>
          <cell r="K128">
            <v>7.1343074034468353E-3</v>
          </cell>
          <cell r="L128">
            <v>2.1913600479901653E-4</v>
          </cell>
          <cell r="M128">
            <v>5.8940176295765097E-4</v>
          </cell>
          <cell r="N128">
            <v>6.4992486347540679E-2</v>
          </cell>
          <cell r="O128">
            <v>5.6176801710514513E-4</v>
          </cell>
          <cell r="P128">
            <v>8.925116767555908E-3</v>
          </cell>
          <cell r="Q128">
            <v>2.6688648812033706E-2</v>
          </cell>
          <cell r="R128">
            <v>1.9134260166837561E-2</v>
          </cell>
          <cell r="S128">
            <v>1</v>
          </cell>
        </row>
        <row r="129">
          <cell r="A129" t="str">
            <v>F140T</v>
          </cell>
          <cell r="B129" t="str">
            <v>Revenue Requirement Before Rev Credits</v>
          </cell>
          <cell r="C129">
            <v>0</v>
          </cell>
          <cell r="D129">
            <v>0</v>
          </cell>
          <cell r="E129">
            <v>0</v>
          </cell>
          <cell r="F129">
            <v>0.34040366652016457</v>
          </cell>
          <cell r="G129">
            <v>0.28594839817307288</v>
          </cell>
          <cell r="H129">
            <v>8.8673588226581029E-2</v>
          </cell>
          <cell r="I129">
            <v>2.2135475988279999E-3</v>
          </cell>
          <cell r="J129">
            <v>0.16518041477589901</v>
          </cell>
          <cell r="K129">
            <v>6.5742527057948662E-3</v>
          </cell>
          <cell r="L129">
            <v>1.9901201700667784E-4</v>
          </cell>
          <cell r="M129">
            <v>4.9595426863632505E-4</v>
          </cell>
          <cell r="N129">
            <v>6.727319024616378E-2</v>
          </cell>
          <cell r="O129">
            <v>5.7197402841294414E-4</v>
          </cell>
          <cell r="P129">
            <v>7.853655965978654E-3</v>
          </cell>
          <cell r="Q129">
            <v>1.8390929579941828E-2</v>
          </cell>
          <cell r="R129">
            <v>1.6221415892982562E-2</v>
          </cell>
          <cell r="S129">
            <v>1</v>
          </cell>
        </row>
        <row r="130">
          <cell r="A130" t="str">
            <v>F140D</v>
          </cell>
          <cell r="B130" t="str">
            <v>Revenue Requirement Before Rev Credits</v>
          </cell>
          <cell r="C130">
            <v>0</v>
          </cell>
          <cell r="D130">
            <v>0</v>
          </cell>
          <cell r="E130">
            <v>0</v>
          </cell>
          <cell r="F130">
            <v>0.5535515496212009</v>
          </cell>
          <cell r="G130">
            <v>0.24732836856459947</v>
          </cell>
          <cell r="H130">
            <v>6.5904103533668282E-2</v>
          </cell>
          <cell r="I130">
            <v>2.3523698505864148E-2</v>
          </cell>
          <cell r="J130">
            <v>2.6127361761412293E-3</v>
          </cell>
          <cell r="K130">
            <v>1.0876179184792356E-2</v>
          </cell>
          <cell r="L130">
            <v>4.9069884425070062E-4</v>
          </cell>
          <cell r="M130">
            <v>3.9392832348767733E-4</v>
          </cell>
          <cell r="N130">
            <v>9.3801614168634126E-2</v>
          </cell>
          <cell r="O130">
            <v>6.1975327041352416E-4</v>
          </cell>
          <cell r="P130">
            <v>2.051151184985279E-4</v>
          </cell>
          <cell r="Q130">
            <v>3.8416839711429446E-4</v>
          </cell>
          <cell r="R130">
            <v>3.0808629187298905E-4</v>
          </cell>
          <cell r="S130">
            <v>1</v>
          </cell>
        </row>
        <row r="131">
          <cell r="A131" t="str">
            <v>F140R</v>
          </cell>
          <cell r="B131" t="str">
            <v>Revenue Requirement Before Rev Credits</v>
          </cell>
          <cell r="C131">
            <v>0</v>
          </cell>
          <cell r="D131">
            <v>0</v>
          </cell>
          <cell r="E131">
            <v>0</v>
          </cell>
          <cell r="F131">
            <v>0.83449756794297336</v>
          </cell>
          <cell r="G131">
            <v>3.1776467014015243E-2</v>
          </cell>
          <cell r="H131">
            <v>7.9134955238763238E-3</v>
          </cell>
          <cell r="I131">
            <v>8.0083814809114601E-3</v>
          </cell>
          <cell r="J131">
            <v>1.6644601801912223E-2</v>
          </cell>
          <cell r="K131">
            <v>3.6765803802998945E-3</v>
          </cell>
          <cell r="L131">
            <v>2.1418791277244783E-3</v>
          </cell>
          <cell r="M131">
            <v>4.6284605287676416E-4</v>
          </cell>
          <cell r="N131">
            <v>9.2217271981541463E-2</v>
          </cell>
          <cell r="O131">
            <v>1.414913500044821E-5</v>
          </cell>
          <cell r="P131">
            <v>4.9453532526993607E-5</v>
          </cell>
          <cell r="Q131">
            <v>2.4897081761200883E-3</v>
          </cell>
          <cell r="R131">
            <v>1.0759785025636462E-4</v>
          </cell>
          <cell r="S131">
            <v>1</v>
          </cell>
        </row>
        <row r="132">
          <cell r="A132" t="str">
            <v>F140M</v>
          </cell>
          <cell r="B132" t="str">
            <v>Revenue Requirement Before Rev Credits</v>
          </cell>
          <cell r="C132">
            <v>0</v>
          </cell>
          <cell r="D132">
            <v>0</v>
          </cell>
          <cell r="E132">
            <v>0</v>
          </cell>
          <cell r="F132">
            <v>0.4008933906799596</v>
          </cell>
          <cell r="G132">
            <v>0.27005325479842512</v>
          </cell>
          <cell r="H132">
            <v>8.2857855476646716E-2</v>
          </cell>
          <cell r="I132">
            <v>6.1279199469340909E-3</v>
          </cell>
          <cell r="J132">
            <v>0.12456007410233134</v>
          </cell>
          <cell r="K132">
            <v>8.2459172449810669E-3</v>
          </cell>
          <cell r="L132">
            <v>2.7132674499582009E-4</v>
          </cell>
          <cell r="M132">
            <v>4.2077989136409498E-4</v>
          </cell>
          <cell r="N132">
            <v>7.2762968101757447E-2</v>
          </cell>
          <cell r="O132">
            <v>6.194589706302586E-4</v>
          </cell>
          <cell r="P132">
            <v>6.1358459068860862E-3</v>
          </cell>
          <cell r="Q132">
            <v>1.4596525376861914E-2</v>
          </cell>
          <cell r="R132">
            <v>1.2454657765642975E-2</v>
          </cell>
          <cell r="S132">
            <v>1</v>
          </cell>
        </row>
        <row r="133">
          <cell r="A133" t="str">
            <v>F141</v>
          </cell>
          <cell r="B133" t="str">
            <v>Firm Revenues</v>
          </cell>
          <cell r="C133">
            <v>0</v>
          </cell>
          <cell r="D133">
            <v>0</v>
          </cell>
          <cell r="E133">
            <v>0</v>
          </cell>
          <cell r="F133">
            <v>0.37643136257302112</v>
          </cell>
          <cell r="G133">
            <v>0.27920039270360569</v>
          </cell>
          <cell r="H133">
            <v>8.4185226772836047E-2</v>
          </cell>
          <cell r="I133">
            <v>8.3493834430601373E-3</v>
          </cell>
          <cell r="J133">
            <v>0.130425341209151</v>
          </cell>
          <cell r="K133">
            <v>7.3454479183869981E-3</v>
          </cell>
          <cell r="L133">
            <v>3.1777179730256154E-4</v>
          </cell>
          <cell r="M133">
            <v>7.3596122162594702E-4</v>
          </cell>
          <cell r="N133">
            <v>7.3955908745865995E-2</v>
          </cell>
          <cell r="O133">
            <v>5.0233728575399561E-4</v>
          </cell>
          <cell r="P133">
            <v>6.3787094230879655E-3</v>
          </cell>
          <cell r="Q133">
            <v>1.831085355368715E-2</v>
          </cell>
          <cell r="R133">
            <v>1.3861303352615281E-2</v>
          </cell>
          <cell r="S133">
            <v>1</v>
          </cell>
        </row>
        <row r="134">
          <cell r="A134" t="str">
            <v>F150</v>
          </cell>
          <cell r="B134" t="str">
            <v>Income Before State Taxes</v>
          </cell>
          <cell r="C134">
            <v>0</v>
          </cell>
          <cell r="D134">
            <v>0</v>
          </cell>
          <cell r="E134">
            <v>0</v>
          </cell>
          <cell r="F134">
            <v>0.31666138585334658</v>
          </cell>
          <cell r="G134">
            <v>8.9171824318046752E-2</v>
          </cell>
          <cell r="H134">
            <v>0.10668090369819894</v>
          </cell>
          <cell r="I134">
            <v>-1.4240228783217282E-2</v>
          </cell>
          <cell r="J134">
            <v>0.33924515920253306</v>
          </cell>
          <cell r="K134">
            <v>1.3993169810290165E-2</v>
          </cell>
          <cell r="L134">
            <v>-1.4288530914343792E-5</v>
          </cell>
          <cell r="M134">
            <v>-2.7658728452215398E-3</v>
          </cell>
          <cell r="N134">
            <v>1.8540335250869303E-2</v>
          </cell>
          <cell r="O134">
            <v>1.4466366042718783E-3</v>
          </cell>
          <cell r="P134">
            <v>2.0628587185430741E-2</v>
          </cell>
          <cell r="Q134">
            <v>7.0892999980082902E-2</v>
          </cell>
          <cell r="R134">
            <v>3.9759391446429593E-2</v>
          </cell>
          <cell r="S134">
            <v>1</v>
          </cell>
        </row>
        <row r="135">
          <cell r="A135" t="str">
            <v>F150G</v>
          </cell>
          <cell r="B135" t="str">
            <v>Income Before State Taxes</v>
          </cell>
          <cell r="C135">
            <v>0</v>
          </cell>
          <cell r="D135">
            <v>0</v>
          </cell>
          <cell r="E135">
            <v>0</v>
          </cell>
          <cell r="F135">
            <v>0.3664803480421388</v>
          </cell>
          <cell r="G135">
            <v>0.18993481795861258</v>
          </cell>
          <cell r="H135">
            <v>8.9477495835339482E-2</v>
          </cell>
          <cell r="I135">
            <v>-2.6228811862979481E-3</v>
          </cell>
          <cell r="J135">
            <v>0.21953354386115048</v>
          </cell>
          <cell r="K135">
            <v>9.7873251761557232E-3</v>
          </cell>
          <cell r="L135">
            <v>1.8996303571067411E-4</v>
          </cell>
          <cell r="M135">
            <v>-1.0063348324610677E-3</v>
          </cell>
          <cell r="N135">
            <v>4.5955033580527646E-2</v>
          </cell>
          <cell r="O135">
            <v>9.4763608294083537E-4</v>
          </cell>
          <cell r="P135">
            <v>1.3468458172939476E-2</v>
          </cell>
          <cell r="Q135">
            <v>4.1847360533803592E-2</v>
          </cell>
          <cell r="R135">
            <v>2.6007233739583992E-2</v>
          </cell>
          <cell r="S135">
            <v>1</v>
          </cell>
        </row>
        <row r="136">
          <cell r="A136" t="str">
            <v>F150T</v>
          </cell>
          <cell r="B136" t="str">
            <v>Income Before State Taxes</v>
          </cell>
          <cell r="C136">
            <v>0</v>
          </cell>
          <cell r="D136">
            <v>0</v>
          </cell>
          <cell r="E136">
            <v>0</v>
          </cell>
          <cell r="F136">
            <v>0.71636574804674691</v>
          </cell>
          <cell r="G136">
            <v>-2.1206826505314131</v>
          </cell>
          <cell r="H136">
            <v>0.11770708047220943</v>
          </cell>
          <cell r="I136">
            <v>-8.7241580725519935E-2</v>
          </cell>
          <cell r="J136">
            <v>1.7308353919995922</v>
          </cell>
          <cell r="K136">
            <v>8.1428714941926925E-2</v>
          </cell>
          <cell r="L136">
            <v>2.9714131411404446E-4</v>
          </cell>
          <cell r="M136">
            <v>-3.0935013713150605E-2</v>
          </cell>
          <cell r="N136">
            <v>-0.46475524902484888</v>
          </cell>
          <cell r="O136">
            <v>9.3350258619898062E-3</v>
          </cell>
          <cell r="P136">
            <v>0.14815682120157744</v>
          </cell>
          <cell r="Q136">
            <v>0.6147722944335634</v>
          </cell>
          <cell r="R136">
            <v>0.28471627586296622</v>
          </cell>
          <cell r="S136">
            <v>1</v>
          </cell>
        </row>
        <row r="137">
          <cell r="A137" t="str">
            <v>F150D</v>
          </cell>
          <cell r="B137" t="str">
            <v>Income Before State Taxes</v>
          </cell>
          <cell r="C137">
            <v>0</v>
          </cell>
          <cell r="D137">
            <v>0</v>
          </cell>
          <cell r="E137">
            <v>0</v>
          </cell>
          <cell r="F137">
            <v>0.46437534894583243</v>
          </cell>
          <cell r="G137">
            <v>0.33074361408834801</v>
          </cell>
          <cell r="H137">
            <v>4.9100560283442292E-2</v>
          </cell>
          <cell r="I137">
            <v>2.4765836803917498E-2</v>
          </cell>
          <cell r="J137">
            <v>-3.0461432710225458E-3</v>
          </cell>
          <cell r="K137">
            <v>2.1012263446690254E-3</v>
          </cell>
          <cell r="L137">
            <v>5.3873188602831515E-4</v>
          </cell>
          <cell r="M137">
            <v>2.2751245684578445E-3</v>
          </cell>
          <cell r="N137">
            <v>0.12972623532896871</v>
          </cell>
          <cell r="O137">
            <v>-6.0497095257040286E-5</v>
          </cell>
          <cell r="P137">
            <v>-1.3152163557565805E-4</v>
          </cell>
          <cell r="Q137">
            <v>-2.4637450950914174E-4</v>
          </cell>
          <cell r="R137">
            <v>-1.4214173729466963E-4</v>
          </cell>
          <cell r="S137">
            <v>1</v>
          </cell>
        </row>
        <row r="138">
          <cell r="A138" t="str">
            <v>F150R</v>
          </cell>
          <cell r="B138" t="str">
            <v>Income Before State Taxes</v>
          </cell>
          <cell r="C138">
            <v>0</v>
          </cell>
          <cell r="D138">
            <v>0</v>
          </cell>
          <cell r="E138">
            <v>0</v>
          </cell>
          <cell r="F138">
            <v>-0.7284519173381554</v>
          </cell>
          <cell r="G138">
            <v>-2.3140820483842885E-2</v>
          </cell>
          <cell r="H138">
            <v>0.21113123964315733</v>
          </cell>
          <cell r="I138">
            <v>-1.7748653057892805E-2</v>
          </cell>
          <cell r="J138">
            <v>0.76238558308846149</v>
          </cell>
          <cell r="K138">
            <v>1.24876025064596E-2</v>
          </cell>
          <cell r="L138">
            <v>-3.8325206137654923E-3</v>
          </cell>
          <cell r="M138">
            <v>-1.1275161713342223E-3</v>
          </cell>
          <cell r="N138">
            <v>0.62310998056064038</v>
          </cell>
          <cell r="O138">
            <v>-1.8811757764999331E-4</v>
          </cell>
          <cell r="P138">
            <v>-1.6216749477372112E-3</v>
          </cell>
          <cell r="Q138">
            <v>0.17026653858454344</v>
          </cell>
          <cell r="R138">
            <v>-3.2697242925947513E-3</v>
          </cell>
          <cell r="S138">
            <v>1</v>
          </cell>
        </row>
        <row r="139">
          <cell r="A139" t="str">
            <v>F150M</v>
          </cell>
          <cell r="B139" t="str">
            <v>Income Before State Taxes</v>
          </cell>
          <cell r="C139">
            <v>0</v>
          </cell>
          <cell r="D139">
            <v>0</v>
          </cell>
          <cell r="E139">
            <v>0</v>
          </cell>
          <cell r="F139">
            <v>-7.3082206488909334</v>
          </cell>
          <cell r="G139">
            <v>9.500589471304183</v>
          </cell>
          <cell r="H139">
            <v>0.45409862282010766</v>
          </cell>
          <cell r="I139">
            <v>0.7232728932764001</v>
          </cell>
          <cell r="J139">
            <v>-1.4406154377606339</v>
          </cell>
          <cell r="K139">
            <v>-0.40379667697870431</v>
          </cell>
          <cell r="L139">
            <v>-3.8932620093799718E-3</v>
          </cell>
          <cell r="M139">
            <v>0.1557724397605236</v>
          </cell>
          <cell r="N139">
            <v>1.5734212332865798</v>
          </cell>
          <cell r="O139">
            <v>-3.7910166992317772E-2</v>
          </cell>
          <cell r="P139">
            <v>-0.27994303639762358</v>
          </cell>
          <cell r="Q139">
            <v>-1.4765511830878328</v>
          </cell>
          <cell r="R139">
            <v>-0.45628752199981226</v>
          </cell>
          <cell r="S139">
            <v>1</v>
          </cell>
        </row>
        <row r="140">
          <cell r="A140" t="str">
            <v>F151</v>
          </cell>
          <cell r="B140" t="str">
            <v>Depreciation Expense</v>
          </cell>
          <cell r="C140">
            <v>0</v>
          </cell>
          <cell r="D140">
            <v>0</v>
          </cell>
          <cell r="E140">
            <v>0</v>
          </cell>
          <cell r="F140">
            <v>0.40655676078437381</v>
          </cell>
          <cell r="G140">
            <v>0.26569875790327996</v>
          </cell>
          <cell r="H140">
            <v>8.2247042388827102E-2</v>
          </cell>
          <cell r="I140">
            <v>9.2158223793638305E-3</v>
          </cell>
          <cell r="J140">
            <v>0.12137056696613006</v>
          </cell>
          <cell r="K140">
            <v>8.4296489272596056E-3</v>
          </cell>
          <cell r="L140">
            <v>2.717684120988252E-4</v>
          </cell>
          <cell r="M140">
            <v>3.4696836014617462E-4</v>
          </cell>
          <cell r="N140">
            <v>7.2421446268088205E-2</v>
          </cell>
          <cell r="O140">
            <v>6.3269706723910208E-4</v>
          </cell>
          <cell r="P140">
            <v>6.0607738225710479E-3</v>
          </cell>
          <cell r="Q140">
            <v>1.4549449408987119E-2</v>
          </cell>
          <cell r="R140">
            <v>1.2198297311635352E-2</v>
          </cell>
          <cell r="S140">
            <v>1</v>
          </cell>
        </row>
        <row r="141">
          <cell r="A141" t="str">
            <v>F151G</v>
          </cell>
          <cell r="B141" t="str">
            <v>Depreciation Expense</v>
          </cell>
          <cell r="C141">
            <v>0</v>
          </cell>
          <cell r="D141">
            <v>0</v>
          </cell>
          <cell r="E141">
            <v>0</v>
          </cell>
          <cell r="F141">
            <v>0.34614523771625788</v>
          </cell>
          <cell r="G141">
            <v>0.27714150291305473</v>
          </cell>
          <cell r="H141">
            <v>8.8894393088455981E-2</v>
          </cell>
          <cell r="I141">
            <v>1.841241134830924E-3</v>
          </cell>
          <cell r="J141">
            <v>0.16676727879563391</v>
          </cell>
          <cell r="K141">
            <v>7.0861614678240977E-3</v>
          </cell>
          <cell r="L141">
            <v>1.9995857975879463E-4</v>
          </cell>
          <cell r="M141">
            <v>3.6886945280377838E-4</v>
          </cell>
          <cell r="N141">
            <v>6.5486234694526996E-2</v>
          </cell>
          <cell r="O141">
            <v>6.1474355425440112E-4</v>
          </cell>
          <cell r="P141">
            <v>8.3924759959919659E-3</v>
          </cell>
          <cell r="Q141">
            <v>2.024446728630129E-2</v>
          </cell>
          <cell r="R141">
            <v>1.6817435320305354E-2</v>
          </cell>
          <cell r="S141">
            <v>1</v>
          </cell>
        </row>
        <row r="142">
          <cell r="A142" t="str">
            <v>F151T</v>
          </cell>
          <cell r="B142" t="str">
            <v>Depreciation Expense</v>
          </cell>
          <cell r="C142">
            <v>0</v>
          </cell>
          <cell r="D142">
            <v>0</v>
          </cell>
          <cell r="E142">
            <v>0</v>
          </cell>
          <cell r="F142">
            <v>0.34340037373305027</v>
          </cell>
          <cell r="G142">
            <v>0.27494171416134194</v>
          </cell>
          <cell r="H142">
            <v>8.8188216687089913E-2</v>
          </cell>
          <cell r="I142">
            <v>1.826499460205872E-3</v>
          </cell>
          <cell r="J142">
            <v>0.17276601076781811</v>
          </cell>
          <cell r="K142">
            <v>7.0298346046142185E-3</v>
          </cell>
          <cell r="L142">
            <v>1.9836841352350088E-4</v>
          </cell>
          <cell r="M142">
            <v>3.6591687196195889E-4</v>
          </cell>
          <cell r="N142">
            <v>6.4966607386408096E-2</v>
          </cell>
          <cell r="O142">
            <v>6.0986844749809615E-4</v>
          </cell>
          <cell r="P142">
            <v>8.3638913257047861E-3</v>
          </cell>
          <cell r="Q142">
            <v>2.0082611813620106E-2</v>
          </cell>
          <cell r="R142">
            <v>1.7260086327163283E-2</v>
          </cell>
          <cell r="S142">
            <v>1</v>
          </cell>
        </row>
        <row r="143">
          <cell r="A143" t="str">
            <v>F151D</v>
          </cell>
          <cell r="B143" t="str">
            <v>Depreciation Expense</v>
          </cell>
          <cell r="C143">
            <v>0</v>
          </cell>
          <cell r="D143">
            <v>0</v>
          </cell>
          <cell r="E143">
            <v>0</v>
          </cell>
          <cell r="F143">
            <v>0.55880700310046749</v>
          </cell>
          <cell r="G143">
            <v>0.24047358165360042</v>
          </cell>
          <cell r="H143">
            <v>6.650933156768081E-2</v>
          </cell>
          <cell r="I143">
            <v>2.8225694445843497E-2</v>
          </cell>
          <cell r="J143">
            <v>1.7421816323298744E-3</v>
          </cell>
          <cell r="K143">
            <v>1.1987641390655664E-2</v>
          </cell>
          <cell r="L143">
            <v>4.3237965121809441E-4</v>
          </cell>
          <cell r="M143">
            <v>2.9036822740779382E-4</v>
          </cell>
          <cell r="N143">
            <v>9.0434899826545845E-2</v>
          </cell>
          <cell r="O143">
            <v>6.8932179689858066E-4</v>
          </cell>
          <cell r="P143">
            <v>1.3586556911735254E-4</v>
          </cell>
          <cell r="Q143">
            <v>1.3586556911735254E-4</v>
          </cell>
          <cell r="R143">
            <v>1.3586556911735254E-4</v>
          </cell>
          <cell r="S143">
            <v>1</v>
          </cell>
        </row>
        <row r="144">
          <cell r="A144" t="str">
            <v>F151R</v>
          </cell>
          <cell r="B144" t="str">
            <v>Depreciation Expense</v>
          </cell>
          <cell r="C144">
            <v>0</v>
          </cell>
          <cell r="D144">
            <v>0</v>
          </cell>
          <cell r="E144">
            <v>0</v>
          </cell>
          <cell r="F144">
            <v>0.87121091198399003</v>
          </cell>
          <cell r="G144">
            <v>1.8685618887272257E-2</v>
          </cell>
          <cell r="H144">
            <v>3.6060824098817966E-4</v>
          </cell>
          <cell r="I144">
            <v>1.0806265281044006E-2</v>
          </cell>
          <cell r="J144">
            <v>1.4291196877289564E-3</v>
          </cell>
          <cell r="K144">
            <v>3.5368533735182337E-3</v>
          </cell>
          <cell r="L144">
            <v>2.4986356816757084E-3</v>
          </cell>
          <cell r="M144">
            <v>5.2555973340059469E-4</v>
          </cell>
          <cell r="N144">
            <v>9.0906317860013006E-2</v>
          </cell>
          <cell r="O144">
            <v>1.3313276223762299E-5</v>
          </cell>
          <cell r="P144">
            <v>8.9319980483059787E-6</v>
          </cell>
          <cell r="Q144">
            <v>8.9319980483059787E-6</v>
          </cell>
          <cell r="R144">
            <v>8.9319980483059787E-6</v>
          </cell>
          <cell r="S144">
            <v>1</v>
          </cell>
        </row>
        <row r="145">
          <cell r="A145" t="str">
            <v>F151M</v>
          </cell>
          <cell r="B145" t="str">
            <v>Depreciation Expense</v>
          </cell>
          <cell r="C145">
            <v>0</v>
          </cell>
          <cell r="D145">
            <v>0</v>
          </cell>
          <cell r="E145">
            <v>0</v>
          </cell>
          <cell r="F145">
            <v>7.6923076923076927E-2</v>
          </cell>
          <cell r="G145">
            <v>7.6923076923076927E-2</v>
          </cell>
          <cell r="H145">
            <v>7.6923076923076927E-2</v>
          </cell>
          <cell r="I145">
            <v>7.6923076923076927E-2</v>
          </cell>
          <cell r="J145">
            <v>7.6923076923076927E-2</v>
          </cell>
          <cell r="K145">
            <v>7.6923076923076927E-2</v>
          </cell>
          <cell r="L145">
            <v>7.6923076923076927E-2</v>
          </cell>
          <cell r="M145">
            <v>7.6923076923076927E-2</v>
          </cell>
          <cell r="N145">
            <v>7.6923076923076927E-2</v>
          </cell>
          <cell r="O145">
            <v>7.6923076923076927E-2</v>
          </cell>
          <cell r="P145">
            <v>7.6923076923076927E-2</v>
          </cell>
          <cell r="Q145">
            <v>7.6923076923076927E-2</v>
          </cell>
          <cell r="R145">
            <v>7.6923076923076927E-2</v>
          </cell>
          <cell r="S145">
            <v>1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/>
      <sheetData sheetId="1">
        <row r="5">
          <cell r="T5">
            <v>3</v>
          </cell>
        </row>
        <row r="6">
          <cell r="C6" t="str">
            <v xml:space="preserve">Commission Method </v>
          </cell>
        </row>
        <row r="8">
          <cell r="D8">
            <v>0.1576213356965549</v>
          </cell>
        </row>
        <row r="9">
          <cell r="D9">
            <v>0.8423786643034451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61">
          <cell r="H61">
            <v>6.9188435929027195E-2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Facto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>
        <row r="5">
          <cell r="C5" t="str">
            <v>State of Utah</v>
          </cell>
        </row>
        <row r="17">
          <cell r="H17">
            <v>0.37950999999999996</v>
          </cell>
        </row>
      </sheetData>
      <sheetData sheetId="1" refreshError="1"/>
      <sheetData sheetId="2"/>
      <sheetData sheetId="3">
        <row r="94">
          <cell r="D94">
            <v>22277537.413922604</v>
          </cell>
        </row>
      </sheetData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>
        <row r="58">
          <cell r="H58">
            <v>5752868671.222683</v>
          </cell>
        </row>
      </sheetData>
      <sheetData sheetId="12"/>
      <sheetData sheetId="13"/>
      <sheetData sheetId="14"/>
      <sheetData sheetId="15"/>
      <sheetData sheetId="16"/>
      <sheetData sheetId="17">
        <row r="120">
          <cell r="F120" t="str">
            <v>2010 Protocol</v>
          </cell>
        </row>
      </sheetData>
      <sheetData sheetId="18">
        <row r="4">
          <cell r="I4">
            <v>0.73983771349904326</v>
          </cell>
        </row>
      </sheetData>
      <sheetData sheetId="19">
        <row r="61">
          <cell r="E61">
            <v>6.6413560461439841E-2</v>
          </cell>
        </row>
        <row r="722">
          <cell r="Y722">
            <v>11440.454450226256</v>
          </cell>
        </row>
        <row r="724">
          <cell r="Y724">
            <v>38084.035315421454</v>
          </cell>
        </row>
        <row r="1134">
          <cell r="Y1134">
            <v>0</v>
          </cell>
        </row>
        <row r="1135">
          <cell r="Y1135">
            <v>0</v>
          </cell>
        </row>
        <row r="1136">
          <cell r="Y1136">
            <v>0</v>
          </cell>
        </row>
        <row r="1778">
          <cell r="Y1778">
            <v>0</v>
          </cell>
        </row>
        <row r="1912">
          <cell r="F1912">
            <v>1.0719561604796075</v>
          </cell>
        </row>
      </sheetData>
      <sheetData sheetId="20" refreshError="1"/>
      <sheetData sheetId="21">
        <row r="10">
          <cell r="A10" t="str">
            <v>FACTOR NAME</v>
          </cell>
        </row>
      </sheetData>
      <sheetData sheetId="22">
        <row r="11">
          <cell r="A11" t="str">
            <v>FACTOR</v>
          </cell>
        </row>
      </sheetData>
      <sheetData sheetId="23" refreshError="1"/>
      <sheetData sheetId="24">
        <row r="14">
          <cell r="A14" t="str">
            <v>A</v>
          </cell>
        </row>
      </sheetData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MONTANA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UTAH</v>
          </cell>
          <cell r="AL15">
            <v>6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MONTANA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INDEGO</v>
          </cell>
          <cell r="P3" t="str">
            <v>OTHER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MONTANA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INDEGO</v>
          </cell>
          <cell r="AG3" t="str">
            <v>OTHER</v>
          </cell>
        </row>
        <row r="4">
          <cell r="B4" t="str">
            <v>SG</v>
          </cell>
          <cell r="E4">
            <v>1.0000000000000002</v>
          </cell>
          <cell r="F4">
            <v>2.6279504915630095E-2</v>
          </cell>
          <cell r="G4">
            <v>0.33717881920133841</v>
          </cell>
          <cell r="H4">
            <v>9.831704306078197E-2</v>
          </cell>
          <cell r="I4">
            <v>0</v>
          </cell>
          <cell r="J4">
            <v>0.11425312055562384</v>
          </cell>
          <cell r="K4">
            <v>0.36297363404100813</v>
          </cell>
          <cell r="L4">
            <v>4.397854045954528E-2</v>
          </cell>
          <cell r="M4">
            <v>1.5217866586822837E-2</v>
          </cell>
          <cell r="N4">
            <v>1.8014711792495054E-3</v>
          </cell>
          <cell r="O4">
            <v>0</v>
          </cell>
          <cell r="P4">
            <v>0</v>
          </cell>
          <cell r="S4" t="str">
            <v>SG</v>
          </cell>
          <cell r="V4">
            <v>1.0000000000000002</v>
          </cell>
          <cell r="W4">
            <v>2.6279504915630095E-2</v>
          </cell>
          <cell r="X4">
            <v>0.33717881920133841</v>
          </cell>
          <cell r="Y4">
            <v>9.831704306078197E-2</v>
          </cell>
          <cell r="Z4">
            <v>0</v>
          </cell>
          <cell r="AA4">
            <v>0.11425312055562384</v>
          </cell>
          <cell r="AB4">
            <v>0.36297363404100813</v>
          </cell>
          <cell r="AC4">
            <v>4.397854045954528E-2</v>
          </cell>
          <cell r="AD4">
            <v>1.5217866586822837E-2</v>
          </cell>
          <cell r="AE4">
            <v>1.8014711792495054E-3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1.0000000000000002</v>
          </cell>
          <cell r="F5">
            <v>2.6279504915630095E-2</v>
          </cell>
          <cell r="G5">
            <v>0.33717881920133841</v>
          </cell>
          <cell r="H5">
            <v>9.831704306078197E-2</v>
          </cell>
          <cell r="I5">
            <v>0</v>
          </cell>
          <cell r="J5">
            <v>0.11425312055562384</v>
          </cell>
          <cell r="K5">
            <v>0.36297363404100813</v>
          </cell>
          <cell r="L5">
            <v>4.397854045954528E-2</v>
          </cell>
          <cell r="M5">
            <v>1.5217866586822837E-2</v>
          </cell>
          <cell r="N5">
            <v>1.8014711792495054E-3</v>
          </cell>
          <cell r="O5">
            <v>0</v>
          </cell>
          <cell r="P5">
            <v>0</v>
          </cell>
          <cell r="S5" t="str">
            <v>SG-P</v>
          </cell>
          <cell r="V5">
            <v>1.0000000000000002</v>
          </cell>
          <cell r="W5">
            <v>2.6279504915630095E-2</v>
          </cell>
          <cell r="X5">
            <v>0.33717881920133841</v>
          </cell>
          <cell r="Y5">
            <v>9.831704306078197E-2</v>
          </cell>
          <cell r="Z5">
            <v>0</v>
          </cell>
          <cell r="AA5">
            <v>0.11425312055562384</v>
          </cell>
          <cell r="AB5">
            <v>0.36297363404100813</v>
          </cell>
          <cell r="AC5">
            <v>4.397854045954528E-2</v>
          </cell>
          <cell r="AD5">
            <v>1.5217866586822837E-2</v>
          </cell>
          <cell r="AE5">
            <v>1.8014711792495054E-3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1.0000000000000002</v>
          </cell>
          <cell r="F6">
            <v>2.6279504915630095E-2</v>
          </cell>
          <cell r="G6">
            <v>0.33717881920133841</v>
          </cell>
          <cell r="H6">
            <v>9.831704306078197E-2</v>
          </cell>
          <cell r="I6">
            <v>0</v>
          </cell>
          <cell r="J6">
            <v>0.11425312055562384</v>
          </cell>
          <cell r="K6">
            <v>0.36297363404100813</v>
          </cell>
          <cell r="L6">
            <v>4.397854045954528E-2</v>
          </cell>
          <cell r="M6">
            <v>1.5217866586822837E-2</v>
          </cell>
          <cell r="N6">
            <v>1.8014711792495054E-3</v>
          </cell>
          <cell r="O6">
            <v>0</v>
          </cell>
          <cell r="P6">
            <v>0</v>
          </cell>
          <cell r="S6" t="str">
            <v>SG-U</v>
          </cell>
          <cell r="V6">
            <v>1.0000000000000002</v>
          </cell>
          <cell r="W6">
            <v>2.6279504915630095E-2</v>
          </cell>
          <cell r="X6">
            <v>0.33717881920133841</v>
          </cell>
          <cell r="Y6">
            <v>9.831704306078197E-2</v>
          </cell>
          <cell r="Z6">
            <v>0</v>
          </cell>
          <cell r="AA6">
            <v>0.11425312055562384</v>
          </cell>
          <cell r="AB6">
            <v>0.36297363404100813</v>
          </cell>
          <cell r="AC6">
            <v>4.397854045954528E-2</v>
          </cell>
          <cell r="AD6">
            <v>1.5217866586822837E-2</v>
          </cell>
          <cell r="AE6">
            <v>1.8014711792495054E-3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0.99999999999999989</v>
          </cell>
          <cell r="F7">
            <v>4.5621884117290498E-2</v>
          </cell>
          <cell r="G7">
            <v>0.58535094423560519</v>
          </cell>
          <cell r="H7">
            <v>0.17068086935708962</v>
          </cell>
          <cell r="I7">
            <v>0</v>
          </cell>
          <cell r="J7">
            <v>0.1983463022900146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0.99999999999999989</v>
          </cell>
          <cell r="W7">
            <v>4.5621884117290498E-2</v>
          </cell>
          <cell r="X7">
            <v>0.58535094423560519</v>
          </cell>
          <cell r="Y7">
            <v>0.17068086935708962</v>
          </cell>
          <cell r="Z7">
            <v>0</v>
          </cell>
          <cell r="AA7">
            <v>0.1983463022900146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0.85612741313794338</v>
          </cell>
          <cell r="L8">
            <v>0.1037299421945317</v>
          </cell>
          <cell r="M8">
            <v>3.5893606401678886E-2</v>
          </cell>
          <cell r="N8">
            <v>4.2490382658460371E-3</v>
          </cell>
          <cell r="O8">
            <v>0</v>
          </cell>
          <cell r="P8">
            <v>0</v>
          </cell>
          <cell r="S8" t="str">
            <v>DGU</v>
          </cell>
          <cell r="V8">
            <v>1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0.85612741313794338</v>
          </cell>
          <cell r="AC8">
            <v>0.1037299421945317</v>
          </cell>
          <cell r="AD8">
            <v>3.5893606401678886E-2</v>
          </cell>
          <cell r="AE8">
            <v>4.2490382658460371E-3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1.0000000000000002</v>
          </cell>
          <cell r="F9">
            <v>2.6458852698436015E-2</v>
          </cell>
          <cell r="G9">
            <v>0.34084396748895357</v>
          </cell>
          <cell r="H9">
            <v>0.10022462750815073</v>
          </cell>
          <cell r="I9">
            <v>0</v>
          </cell>
          <cell r="J9">
            <v>0.10948929900422784</v>
          </cell>
          <cell r="K9">
            <v>0.36300065940901288</v>
          </cell>
          <cell r="L9">
            <v>4.3621480640108942E-2</v>
          </cell>
          <cell r="M9">
            <v>1.4533382892231937E-2</v>
          </cell>
          <cell r="N9">
            <v>1.8277303588782544E-3</v>
          </cell>
          <cell r="O9">
            <v>0</v>
          </cell>
          <cell r="P9">
            <v>0</v>
          </cell>
          <cell r="S9" t="str">
            <v>SC</v>
          </cell>
          <cell r="V9">
            <v>1.0000000000000002</v>
          </cell>
          <cell r="W9">
            <v>2.6458852698436015E-2</v>
          </cell>
          <cell r="X9">
            <v>0.34084396748895357</v>
          </cell>
          <cell r="Y9">
            <v>0.10022462750815073</v>
          </cell>
          <cell r="Z9">
            <v>0</v>
          </cell>
          <cell r="AA9">
            <v>0.10948929900422784</v>
          </cell>
          <cell r="AB9">
            <v>0.36300065940901288</v>
          </cell>
          <cell r="AC9">
            <v>4.3621480640108942E-2</v>
          </cell>
          <cell r="AD9">
            <v>1.4533382892231937E-2</v>
          </cell>
          <cell r="AE9">
            <v>1.8277303588782544E-3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2.5741461567212319E-2</v>
          </cell>
          <cell r="G10">
            <v>0.32618337433849304</v>
          </cell>
          <cell r="H10">
            <v>9.2594289718675726E-2</v>
          </cell>
          <cell r="I10">
            <v>0</v>
          </cell>
          <cell r="J10">
            <v>0.12854458520981182</v>
          </cell>
          <cell r="K10">
            <v>0.36289255793699388</v>
          </cell>
          <cell r="L10">
            <v>4.5049719917854315E-2</v>
          </cell>
          <cell r="M10">
            <v>1.7271317670595539E-2</v>
          </cell>
          <cell r="N10">
            <v>1.7226936403632589E-3</v>
          </cell>
          <cell r="O10">
            <v>0</v>
          </cell>
          <cell r="P10">
            <v>0</v>
          </cell>
          <cell r="S10" t="str">
            <v>SE</v>
          </cell>
          <cell r="V10">
            <v>1</v>
          </cell>
          <cell r="W10">
            <v>2.5741461567212319E-2</v>
          </cell>
          <cell r="X10">
            <v>0.32618337433849304</v>
          </cell>
          <cell r="Y10">
            <v>9.2594289718675726E-2</v>
          </cell>
          <cell r="Z10">
            <v>0</v>
          </cell>
          <cell r="AA10">
            <v>0.12854458520981182</v>
          </cell>
          <cell r="AB10">
            <v>0.36289255793699388</v>
          </cell>
          <cell r="AC10">
            <v>4.5049719917854315E-2</v>
          </cell>
          <cell r="AD10">
            <v>1.7271317670595539E-2</v>
          </cell>
          <cell r="AE10">
            <v>1.7226936403632589E-3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2.5741461567212319E-2</v>
          </cell>
          <cell r="G11">
            <v>0.32618337433849304</v>
          </cell>
          <cell r="H11">
            <v>9.2594289718675726E-2</v>
          </cell>
          <cell r="I11">
            <v>0</v>
          </cell>
          <cell r="J11">
            <v>0.12854458520981182</v>
          </cell>
          <cell r="K11">
            <v>0.36289255793699388</v>
          </cell>
          <cell r="L11">
            <v>4.5049719917854315E-2</v>
          </cell>
          <cell r="M11">
            <v>1.7271317670595539E-2</v>
          </cell>
          <cell r="N11">
            <v>1.7226936403632589E-3</v>
          </cell>
          <cell r="O11">
            <v>0</v>
          </cell>
          <cell r="P11">
            <v>0</v>
          </cell>
          <cell r="S11" t="str">
            <v>SE-P</v>
          </cell>
          <cell r="V11">
            <v>1</v>
          </cell>
          <cell r="W11">
            <v>2.5741461567212319E-2</v>
          </cell>
          <cell r="X11">
            <v>0.32618337433849304</v>
          </cell>
          <cell r="Y11">
            <v>9.2594289718675726E-2</v>
          </cell>
          <cell r="Z11">
            <v>0</v>
          </cell>
          <cell r="AA11">
            <v>0.12854458520981182</v>
          </cell>
          <cell r="AB11">
            <v>0.36289255793699388</v>
          </cell>
          <cell r="AC11">
            <v>4.5049719917854315E-2</v>
          </cell>
          <cell r="AD11">
            <v>1.7271317670595539E-2</v>
          </cell>
          <cell r="AE11">
            <v>1.7226936403632589E-3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2.5741461567212319E-2</v>
          </cell>
          <cell r="G12">
            <v>0.32618337433849304</v>
          </cell>
          <cell r="H12">
            <v>9.2594289718675726E-2</v>
          </cell>
          <cell r="I12">
            <v>0</v>
          </cell>
          <cell r="J12">
            <v>0.12854458520981182</v>
          </cell>
          <cell r="K12">
            <v>0.36289255793699388</v>
          </cell>
          <cell r="L12">
            <v>4.5049719917854315E-2</v>
          </cell>
          <cell r="M12">
            <v>1.7271317670595539E-2</v>
          </cell>
          <cell r="N12">
            <v>1.7226936403632589E-3</v>
          </cell>
          <cell r="O12">
            <v>0</v>
          </cell>
          <cell r="P12">
            <v>0</v>
          </cell>
          <cell r="S12" t="str">
            <v>SE-U</v>
          </cell>
          <cell r="V12">
            <v>1</v>
          </cell>
          <cell r="W12">
            <v>2.5741461567212319E-2</v>
          </cell>
          <cell r="X12">
            <v>0.32618337433849304</v>
          </cell>
          <cell r="Y12">
            <v>9.2594289718675726E-2</v>
          </cell>
          <cell r="Z12">
            <v>0</v>
          </cell>
          <cell r="AA12">
            <v>0.12854458520981182</v>
          </cell>
          <cell r="AB12">
            <v>0.36289255793699388</v>
          </cell>
          <cell r="AC12">
            <v>4.5049719917854315E-2</v>
          </cell>
          <cell r="AD12">
            <v>1.7271317670595539E-2</v>
          </cell>
          <cell r="AE12">
            <v>1.7226936403632589E-3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</v>
          </cell>
          <cell r="F13">
            <v>4.4919022231823383E-2</v>
          </cell>
          <cell r="G13">
            <v>0.56919216514979987</v>
          </cell>
          <cell r="H13">
            <v>0.16157765352806724</v>
          </cell>
          <cell r="I13">
            <v>0</v>
          </cell>
          <cell r="J13">
            <v>0.2243111590903096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1</v>
          </cell>
          <cell r="W13">
            <v>4.4919022231823383E-2</v>
          </cell>
          <cell r="X13">
            <v>0.56919216514979987</v>
          </cell>
          <cell r="Y13">
            <v>0.16157765352806724</v>
          </cell>
          <cell r="Z13">
            <v>0</v>
          </cell>
          <cell r="AA13">
            <v>0.2243111590903096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0.84999229895882489</v>
          </cell>
          <cell r="L14">
            <v>0.1055186009272653</v>
          </cell>
          <cell r="M14">
            <v>4.0454086731165573E-2</v>
          </cell>
          <cell r="N14">
            <v>4.0350133827443879E-3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0.84999229895882489</v>
          </cell>
          <cell r="AC14">
            <v>0.1055186009272653</v>
          </cell>
          <cell r="AD14">
            <v>4.0454086731165573E-2</v>
          </cell>
          <cell r="AE14">
            <v>4.0350133827443879E-3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0.99999999999999978</v>
          </cell>
          <cell r="F15">
            <v>3.2102337564687888E-2</v>
          </cell>
          <cell r="G15">
            <v>0.33921544289213695</v>
          </cell>
          <cell r="H15">
            <v>9.2156599007644072E-2</v>
          </cell>
          <cell r="I15">
            <v>0</v>
          </cell>
          <cell r="J15">
            <v>0.10757638563924968</v>
          </cell>
          <cell r="K15">
            <v>0.36423715480111202</v>
          </cell>
          <cell r="L15">
            <v>4.715276129472027E-2</v>
          </cell>
          <cell r="M15">
            <v>1.6367831918363163E-2</v>
          </cell>
          <cell r="N15">
            <v>1.1914868820859415E-3</v>
          </cell>
          <cell r="O15">
            <v>0</v>
          </cell>
          <cell r="P15">
            <v>0</v>
          </cell>
          <cell r="S15" t="str">
            <v>SO</v>
          </cell>
          <cell r="V15">
            <v>0.99999999999999933</v>
          </cell>
          <cell r="W15">
            <v>3.1978181705860906E-2</v>
          </cell>
          <cell r="X15">
            <v>0.33880145084537494</v>
          </cell>
          <cell r="Y15">
            <v>9.2159195300805977E-2</v>
          </cell>
          <cell r="Z15">
            <v>0</v>
          </cell>
          <cell r="AA15">
            <v>0.10727618530611092</v>
          </cell>
          <cell r="AB15">
            <v>0.36519157679847458</v>
          </cell>
          <cell r="AC15">
            <v>4.7107228268776162E-2</v>
          </cell>
          <cell r="AD15">
            <v>1.6297047462861421E-2</v>
          </cell>
          <cell r="AE15">
            <v>1.1891343117345354E-3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0.99999999999999978</v>
          </cell>
          <cell r="F16">
            <v>3.2102337564687888E-2</v>
          </cell>
          <cell r="G16">
            <v>0.33921544289213695</v>
          </cell>
          <cell r="H16">
            <v>9.2156599007644072E-2</v>
          </cell>
          <cell r="I16">
            <v>0</v>
          </cell>
          <cell r="J16">
            <v>0.10757638563924968</v>
          </cell>
          <cell r="K16">
            <v>0.36423715480111202</v>
          </cell>
          <cell r="L16">
            <v>4.715276129472027E-2</v>
          </cell>
          <cell r="M16">
            <v>1.6367831918363163E-2</v>
          </cell>
          <cell r="N16">
            <v>1.1914868820859415E-3</v>
          </cell>
          <cell r="O16">
            <v>0</v>
          </cell>
          <cell r="P16">
            <v>0</v>
          </cell>
          <cell r="S16" t="str">
            <v>SO-P</v>
          </cell>
          <cell r="V16">
            <v>0.99999999999999933</v>
          </cell>
          <cell r="W16">
            <v>3.1978181705860906E-2</v>
          </cell>
          <cell r="X16">
            <v>0.33880145084537494</v>
          </cell>
          <cell r="Y16">
            <v>9.2159195300805977E-2</v>
          </cell>
          <cell r="Z16">
            <v>0</v>
          </cell>
          <cell r="AA16">
            <v>0.10727618530611092</v>
          </cell>
          <cell r="AB16">
            <v>0.36519157679847458</v>
          </cell>
          <cell r="AC16">
            <v>4.7107228268776162E-2</v>
          </cell>
          <cell r="AD16">
            <v>1.6297047462861421E-2</v>
          </cell>
          <cell r="AE16">
            <v>1.1891343117345354E-3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0.99999999999999978</v>
          </cell>
          <cell r="F17">
            <v>3.2102337564687888E-2</v>
          </cell>
          <cell r="G17">
            <v>0.33921544289213695</v>
          </cell>
          <cell r="H17">
            <v>9.2156599007644072E-2</v>
          </cell>
          <cell r="I17">
            <v>0</v>
          </cell>
          <cell r="J17">
            <v>0.10757638563924968</v>
          </cell>
          <cell r="K17">
            <v>0.36423715480111202</v>
          </cell>
          <cell r="L17">
            <v>4.715276129472027E-2</v>
          </cell>
          <cell r="M17">
            <v>1.6367831918363163E-2</v>
          </cell>
          <cell r="N17">
            <v>1.1914868820859415E-3</v>
          </cell>
          <cell r="O17">
            <v>0</v>
          </cell>
          <cell r="P17">
            <v>0</v>
          </cell>
          <cell r="S17" t="str">
            <v>SO-U</v>
          </cell>
          <cell r="V17">
            <v>0.99999999999999933</v>
          </cell>
          <cell r="W17">
            <v>3.1978181705860906E-2</v>
          </cell>
          <cell r="X17">
            <v>0.33880145084537494</v>
          </cell>
          <cell r="Y17">
            <v>9.2159195300805977E-2</v>
          </cell>
          <cell r="Z17">
            <v>0</v>
          </cell>
          <cell r="AA17">
            <v>0.10727618530611092</v>
          </cell>
          <cell r="AB17">
            <v>0.36519157679847458</v>
          </cell>
          <cell r="AC17">
            <v>4.7107228268776162E-2</v>
          </cell>
          <cell r="AD17">
            <v>1.6297047462861421E-2</v>
          </cell>
          <cell r="AE17">
            <v>1.1891343117345354E-3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0.99999999999999989</v>
          </cell>
          <cell r="F20">
            <v>3.2102337564687902E-2</v>
          </cell>
          <cell r="G20">
            <v>0.33921544289213701</v>
          </cell>
          <cell r="H20">
            <v>9.2156599007644044E-2</v>
          </cell>
          <cell r="I20">
            <v>0</v>
          </cell>
          <cell r="J20">
            <v>0.10757638563924972</v>
          </cell>
          <cell r="K20">
            <v>0.36423715480111191</v>
          </cell>
          <cell r="L20">
            <v>4.715276129472025E-2</v>
          </cell>
          <cell r="M20">
            <v>1.6367831918363173E-2</v>
          </cell>
          <cell r="N20">
            <v>1.1914868820859415E-3</v>
          </cell>
          <cell r="O20">
            <v>0</v>
          </cell>
          <cell r="P20">
            <v>0</v>
          </cell>
          <cell r="S20" t="str">
            <v>GPS</v>
          </cell>
          <cell r="V20">
            <v>0.99999999999999978</v>
          </cell>
          <cell r="W20">
            <v>3.197818170586092E-2</v>
          </cell>
          <cell r="X20">
            <v>0.33880145084537522</v>
          </cell>
          <cell r="Y20">
            <v>9.2159195300806018E-2</v>
          </cell>
          <cell r="Z20">
            <v>0</v>
          </cell>
          <cell r="AA20">
            <v>0.10727618530611097</v>
          </cell>
          <cell r="AB20">
            <v>0.36519157679847458</v>
          </cell>
          <cell r="AC20">
            <v>4.7107228268776155E-2</v>
          </cell>
          <cell r="AD20">
            <v>1.6297047462861428E-2</v>
          </cell>
          <cell r="AE20">
            <v>1.1891343117345356E-3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0.99999999999999989</v>
          </cell>
          <cell r="F23">
            <v>3.2410743726264526E-2</v>
          </cell>
          <cell r="G23">
            <v>0.3427830340432822</v>
          </cell>
          <cell r="H23">
            <v>9.1561964298496487E-2</v>
          </cell>
          <cell r="I23">
            <v>0</v>
          </cell>
          <cell r="J23">
            <v>0.10642356485607479</v>
          </cell>
          <cell r="K23">
            <v>0.36411193830296973</v>
          </cell>
          <cell r="L23">
            <v>4.5411218908673751E-2</v>
          </cell>
          <cell r="M23">
            <v>1.6159847846376172E-2</v>
          </cell>
          <cell r="N23">
            <v>1.1376880178622559E-3</v>
          </cell>
          <cell r="O23">
            <v>0</v>
          </cell>
          <cell r="P23">
            <v>0</v>
          </cell>
          <cell r="S23" t="str">
            <v>SNP</v>
          </cell>
          <cell r="V23">
            <v>0.99999999999999967</v>
          </cell>
          <cell r="W23">
            <v>3.2435134430631153E-2</v>
          </cell>
          <cell r="X23">
            <v>0.34168201235388218</v>
          </cell>
          <cell r="Y23">
            <v>9.1626217606543395E-2</v>
          </cell>
          <cell r="Z23">
            <v>0</v>
          </cell>
          <cell r="AA23">
            <v>0.10593990785605548</v>
          </cell>
          <cell r="AB23">
            <v>0.36557837643784602</v>
          </cell>
          <cell r="AC23">
            <v>4.5582987825759945E-2</v>
          </cell>
          <cell r="AD23">
            <v>1.6020250000984775E-2</v>
          </cell>
          <cell r="AE23">
            <v>1.1351134882966651E-3</v>
          </cell>
          <cell r="AF23">
            <v>0</v>
          </cell>
          <cell r="AG23">
            <v>0</v>
          </cell>
        </row>
        <row r="24">
          <cell r="B24" t="str">
            <v>DNPP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S24" t="str">
            <v>DNPP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B25" t="str">
            <v>DNPU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S25" t="str">
            <v>DNPU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B26" t="str">
            <v>DNPPOP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S26" t="str">
            <v>DNPPOP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B27" t="str">
            <v>DNPPOU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S27" t="str">
            <v>DNPPOU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B28" t="str">
            <v>DNPPNP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S28" t="str">
            <v>DNPPNP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B29" t="str">
            <v>DNPPNU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S29" t="str">
            <v>DNPPNU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B30" t="str">
            <v>DNPPP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S30" t="str">
            <v>DNPPP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B31" t="str">
            <v>DNPPU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S31" t="str">
            <v>DNPPU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B32" t="str">
            <v>DNPDP</v>
          </cell>
          <cell r="E32">
            <v>1</v>
          </cell>
          <cell r="F32">
            <v>8.0586359146230149E-2</v>
          </cell>
          <cell r="G32">
            <v>0.6251582423419374</v>
          </cell>
          <cell r="H32">
            <v>0.13657585566614461</v>
          </cell>
          <cell r="I32">
            <v>0</v>
          </cell>
          <cell r="J32">
            <v>0.15767954284568783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S32" t="str">
            <v>DNPDP</v>
          </cell>
          <cell r="V32">
            <v>1</v>
          </cell>
          <cell r="W32">
            <v>8.1163698981483248E-2</v>
          </cell>
          <cell r="X32">
            <v>0.62287773141949665</v>
          </cell>
          <cell r="Y32">
            <v>0.13863660257235766</v>
          </cell>
          <cell r="Z32">
            <v>0</v>
          </cell>
          <cell r="AA32">
            <v>0.1573219670266624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B33" t="str">
            <v>DNPDU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0.85652069150857679</v>
          </cell>
          <cell r="L33">
            <v>0.10580750443423052</v>
          </cell>
          <cell r="M33">
            <v>3.7671804057192712E-2</v>
          </cell>
          <cell r="N33">
            <v>0</v>
          </cell>
          <cell r="O33">
            <v>0</v>
          </cell>
          <cell r="P33">
            <v>0</v>
          </cell>
          <cell r="S33" t="str">
            <v>DNPDU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0.85842105655564793</v>
          </cell>
          <cell r="AC33">
            <v>0.10547465291224374</v>
          </cell>
          <cell r="AD33">
            <v>3.610429053210832E-2</v>
          </cell>
          <cell r="AE33">
            <v>0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1</v>
          </cell>
          <cell r="F34">
            <v>4.5970243589734401E-2</v>
          </cell>
          <cell r="G34">
            <v>0.35661961884194981</v>
          </cell>
          <cell r="H34">
            <v>7.7909281669573741E-2</v>
          </cell>
          <cell r="I34">
            <v>0</v>
          </cell>
          <cell r="J34">
            <v>8.9947815865227876E-2</v>
          </cell>
          <cell r="K34">
            <v>0.36792106688911685</v>
          </cell>
          <cell r="L34">
            <v>4.544993518808324E-2</v>
          </cell>
          <cell r="M34">
            <v>1.6182037956314E-2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1</v>
          </cell>
          <cell r="W34">
            <v>4.5918396361709315E-2</v>
          </cell>
          <cell r="X34">
            <v>0.35239333489135266</v>
          </cell>
          <cell r="Y34">
            <v>7.8433715405339346E-2</v>
          </cell>
          <cell r="Z34">
            <v>0</v>
          </cell>
          <cell r="AA34">
            <v>8.9004968095184156E-2</v>
          </cell>
          <cell r="AB34">
            <v>0.37276898777607909</v>
          </cell>
          <cell r="AC34">
            <v>4.5802324281151378E-2</v>
          </cell>
          <cell r="AD34">
            <v>1.5678273189184088E-2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DNPGP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S35" t="str">
            <v>DNPGP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B36" t="str">
            <v>DNPGU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S36" t="str">
            <v>DNPGU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</v>
          </cell>
          <cell r="F38">
            <v>2.5741461567212319E-2</v>
          </cell>
          <cell r="G38">
            <v>0.32618337433849304</v>
          </cell>
          <cell r="H38">
            <v>9.2594289718675754E-2</v>
          </cell>
          <cell r="I38">
            <v>0</v>
          </cell>
          <cell r="J38">
            <v>0.12854458520981182</v>
          </cell>
          <cell r="K38">
            <v>0.36289255793699388</v>
          </cell>
          <cell r="L38">
            <v>4.5049719917854315E-2</v>
          </cell>
          <cell r="M38">
            <v>1.7271317670595542E-2</v>
          </cell>
          <cell r="N38">
            <v>1.7226936403632589E-3</v>
          </cell>
          <cell r="O38">
            <v>0</v>
          </cell>
          <cell r="P38">
            <v>0</v>
          </cell>
          <cell r="S38" t="str">
            <v>DNPGMU</v>
          </cell>
          <cell r="V38">
            <v>0.99999999999999978</v>
          </cell>
          <cell r="W38">
            <v>2.5741461567212326E-2</v>
          </cell>
          <cell r="X38">
            <v>0.32618337433849304</v>
          </cell>
          <cell r="Y38">
            <v>9.2594289718675754E-2</v>
          </cell>
          <cell r="Z38">
            <v>0</v>
          </cell>
          <cell r="AA38">
            <v>0.12854458520981182</v>
          </cell>
          <cell r="AB38">
            <v>0.36289255793699376</v>
          </cell>
          <cell r="AC38">
            <v>4.5049719917854308E-2</v>
          </cell>
          <cell r="AD38">
            <v>1.7271317670595539E-2</v>
          </cell>
          <cell r="AE38">
            <v>1.7226936403632593E-3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0.99999999999999989</v>
          </cell>
          <cell r="F47">
            <v>2.8617759392218493E-2</v>
          </cell>
          <cell r="G47">
            <v>0.33548393774517754</v>
          </cell>
          <cell r="H47">
            <v>8.0736679765802635E-2</v>
          </cell>
          <cell r="I47">
            <v>0</v>
          </cell>
          <cell r="J47">
            <v>7.3396103380819144E-2</v>
          </cell>
          <cell r="K47">
            <v>0.43538836810527148</v>
          </cell>
          <cell r="L47">
            <v>3.7486759982197138E-2</v>
          </cell>
          <cell r="M47">
            <v>8.8903916285135651E-3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0.99999999999999989</v>
          </cell>
          <cell r="W47">
            <v>2.8617759392218493E-2</v>
          </cell>
          <cell r="X47">
            <v>0.33548393774517754</v>
          </cell>
          <cell r="Y47">
            <v>8.0736679765802635E-2</v>
          </cell>
          <cell r="Z47">
            <v>0</v>
          </cell>
          <cell r="AA47">
            <v>7.3396103380819144E-2</v>
          </cell>
          <cell r="AB47">
            <v>0.43538836810527148</v>
          </cell>
          <cell r="AC47">
            <v>3.7486759982197138E-2</v>
          </cell>
          <cell r="AD47">
            <v>8.8903916285135651E-3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0.68519706012923598</v>
          </cell>
          <cell r="H48">
            <v>0.1648977175835559</v>
          </cell>
          <cell r="I48">
            <v>0</v>
          </cell>
          <cell r="J48">
            <v>0.14990522228720818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5.5221642868175352E-2</v>
          </cell>
          <cell r="X48">
            <v>0.64735935278045564</v>
          </cell>
          <cell r="Y48">
            <v>0.15579179471337953</v>
          </cell>
          <cell r="Z48">
            <v>0</v>
          </cell>
          <cell r="AA48">
            <v>0.14162720963798953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0.90373501275464529</v>
          </cell>
          <cell r="L49">
            <v>7.7811214061763709E-2</v>
          </cell>
          <cell r="M49">
            <v>1.8453773183590979E-2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0.90373501275464529</v>
          </cell>
          <cell r="AC49">
            <v>7.7811214061763709E-2</v>
          </cell>
          <cell r="AD49">
            <v>1.8453773183590979E-2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0.99999999999999989</v>
          </cell>
          <cell r="F53">
            <v>1.3104219600022905E-3</v>
          </cell>
          <cell r="G53">
            <v>0.31475207356349288</v>
          </cell>
          <cell r="H53">
            <v>5.817459609077464E-2</v>
          </cell>
          <cell r="I53">
            <v>0</v>
          </cell>
          <cell r="J53">
            <v>7.6923252439311585E-2</v>
          </cell>
          <cell r="K53">
            <v>0.43232617562868048</v>
          </cell>
          <cell r="L53">
            <v>7.0300508257982675E-2</v>
          </cell>
          <cell r="M53">
            <v>2.424088359061263E-2</v>
          </cell>
          <cell r="N53">
            <v>5.5317362045271632E-3</v>
          </cell>
          <cell r="O53">
            <v>2.1710736682515368E-2</v>
          </cell>
          <cell r="P53">
            <v>-5.2703844178997143E-3</v>
          </cell>
          <cell r="S53" t="str">
            <v>EXCTAX</v>
          </cell>
          <cell r="V53">
            <v>1.0000000000000016</v>
          </cell>
          <cell r="W53">
            <v>1.4030689589167003E-3</v>
          </cell>
          <cell r="X53">
            <v>0.31610531663667851</v>
          </cell>
          <cell r="Y53">
            <v>5.8092774718206834E-2</v>
          </cell>
          <cell r="Z53">
            <v>0</v>
          </cell>
          <cell r="AA53">
            <v>7.7548053915228773E-2</v>
          </cell>
          <cell r="AB53">
            <v>0.43024501628267886</v>
          </cell>
          <cell r="AC53">
            <v>7.0204731793144695E-2</v>
          </cell>
          <cell r="AD53">
            <v>2.4425369111968662E-2</v>
          </cell>
          <cell r="AE53">
            <v>5.5353163185625784E-3</v>
          </cell>
          <cell r="AF53">
            <v>2.1710736682515368E-2</v>
          </cell>
          <cell r="AG53">
            <v>-5.2703844178997143E-3</v>
          </cell>
        </row>
        <row r="54">
          <cell r="B54" t="str">
            <v>INT</v>
          </cell>
          <cell r="E54">
            <v>0.99999999999999989</v>
          </cell>
          <cell r="F54">
            <v>3.2229859365528246E-2</v>
          </cell>
          <cell r="G54">
            <v>0.34086996193028668</v>
          </cell>
          <cell r="H54">
            <v>9.1050956975746583E-2</v>
          </cell>
          <cell r="I54">
            <v>0</v>
          </cell>
          <cell r="J54">
            <v>0.10582961494061305</v>
          </cell>
          <cell r="K54">
            <v>0.36207982957530088</v>
          </cell>
          <cell r="L54">
            <v>4.5157778895944446E-2</v>
          </cell>
          <cell r="M54">
            <v>1.6069659735545548E-2</v>
          </cell>
          <cell r="N54">
            <v>1.1313385810345668E-3</v>
          </cell>
          <cell r="O54">
            <v>0</v>
          </cell>
          <cell r="P54">
            <v>5.581E-3</v>
          </cell>
          <cell r="S54" t="str">
            <v>INT</v>
          </cell>
          <cell r="V54">
            <v>0.99999999999999944</v>
          </cell>
          <cell r="W54">
            <v>3.2254113945373801E-2</v>
          </cell>
          <cell r="X54">
            <v>0.33977508504293519</v>
          </cell>
          <cell r="Y54">
            <v>9.1114851686081286E-2</v>
          </cell>
          <cell r="Z54">
            <v>0</v>
          </cell>
          <cell r="AA54">
            <v>0.10534865723031084</v>
          </cell>
          <cell r="AB54">
            <v>0.3635380835189464</v>
          </cell>
          <cell r="AC54">
            <v>4.5328589170704384E-2</v>
          </cell>
          <cell r="AD54">
            <v>1.5930840985729278E-2</v>
          </cell>
          <cell r="AE54">
            <v>1.1287784199184815E-3</v>
          </cell>
          <cell r="AF54">
            <v>0</v>
          </cell>
          <cell r="AG54">
            <v>5.581E-3</v>
          </cell>
        </row>
        <row r="55">
          <cell r="B55" t="str">
            <v>CIAC</v>
          </cell>
          <cell r="E55">
            <v>1</v>
          </cell>
          <cell r="F55">
            <v>1.9881703559801383E-2</v>
          </cell>
          <cell r="G55">
            <v>0.40545797496340547</v>
          </cell>
          <cell r="H55">
            <v>4.118071059420967E-2</v>
          </cell>
          <cell r="I55">
            <v>0</v>
          </cell>
          <cell r="J55">
            <v>9.9802299485628965E-2</v>
          </cell>
          <cell r="K55">
            <v>0.34339101144936462</v>
          </cell>
          <cell r="L55">
            <v>6.4050844161976012E-2</v>
          </cell>
          <cell r="M55">
            <v>2.6235455785613985E-2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1.9881703559801383E-2</v>
          </cell>
          <cell r="X55">
            <v>0.40545797496340547</v>
          </cell>
          <cell r="Y55">
            <v>4.118071059420967E-2</v>
          </cell>
          <cell r="Z55">
            <v>0</v>
          </cell>
          <cell r="AA55">
            <v>9.9802299485628965E-2</v>
          </cell>
          <cell r="AB55">
            <v>0.34339101144936462</v>
          </cell>
          <cell r="AC55">
            <v>6.4050844161976012E-2</v>
          </cell>
          <cell r="AD55">
            <v>2.6235455785613985E-2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S57" t="str">
            <v>TAXDEPR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</row>
        <row r="58">
          <cell r="B58" t="str">
            <v>BADDEBT</v>
          </cell>
          <cell r="E58">
            <v>0.99999999999999989</v>
          </cell>
          <cell r="F58">
            <v>2.823020595384014E-2</v>
          </cell>
          <cell r="G58">
            <v>0.33243757832363813</v>
          </cell>
          <cell r="H58">
            <v>7.9967745849188851E-2</v>
          </cell>
          <cell r="I58">
            <v>0</v>
          </cell>
          <cell r="J58">
            <v>7.232764683792757E-2</v>
          </cell>
          <cell r="K58">
            <v>0.44136390740159692</v>
          </cell>
          <cell r="L58">
            <v>3.744147354901331E-2</v>
          </cell>
          <cell r="M58">
            <v>8.7214796817874883E-3</v>
          </cell>
          <cell r="N58">
            <v>0</v>
          </cell>
          <cell r="O58">
            <v>-4.900375969923899E-4</v>
          </cell>
          <cell r="P58">
            <v>0</v>
          </cell>
          <cell r="S58" t="str">
            <v>BADDEBT</v>
          </cell>
          <cell r="V58">
            <v>0.99999999999999989</v>
          </cell>
          <cell r="W58">
            <v>2.823020595384014E-2</v>
          </cell>
          <cell r="X58">
            <v>0.33243757832363813</v>
          </cell>
          <cell r="Y58">
            <v>7.9967745849188851E-2</v>
          </cell>
          <cell r="Z58">
            <v>0</v>
          </cell>
          <cell r="AA58">
            <v>7.232764683792757E-2</v>
          </cell>
          <cell r="AB58">
            <v>0.44136390740159692</v>
          </cell>
          <cell r="AC58">
            <v>3.744147354901331E-2</v>
          </cell>
          <cell r="AD58">
            <v>8.7214796817874883E-3</v>
          </cell>
          <cell r="AE58">
            <v>0</v>
          </cell>
          <cell r="AF58">
            <v>-4.900375969923899E-4</v>
          </cell>
          <cell r="AG58">
            <v>0</v>
          </cell>
        </row>
        <row r="59">
          <cell r="B59" t="str">
            <v>DITEXP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S60" t="str">
            <v>DITBAL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B61" t="str">
            <v>ITC84</v>
          </cell>
          <cell r="E61">
            <v>1</v>
          </cell>
          <cell r="F61">
            <v>0</v>
          </cell>
          <cell r="G61">
            <v>0.70975999999999995</v>
          </cell>
          <cell r="H61">
            <v>0.14180000000000001</v>
          </cell>
          <cell r="I61">
            <v>0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3.8979999999999994E-2</v>
          </cell>
          <cell r="S61" t="str">
            <v>ITC84</v>
          </cell>
          <cell r="V61">
            <v>1</v>
          </cell>
          <cell r="W61">
            <v>0</v>
          </cell>
          <cell r="X61">
            <v>0.70975999999999995</v>
          </cell>
          <cell r="Y61">
            <v>0.14180000000000001</v>
          </cell>
          <cell r="Z61">
            <v>0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3.8979999999999994E-2</v>
          </cell>
        </row>
        <row r="62">
          <cell r="B62" t="str">
            <v>ITC85</v>
          </cell>
          <cell r="E62">
            <v>1</v>
          </cell>
          <cell r="F62">
            <v>0</v>
          </cell>
          <cell r="G62">
            <v>0.67689999999999995</v>
          </cell>
          <cell r="H62">
            <v>0.1336</v>
          </cell>
          <cell r="I62">
            <v>0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7.3399999999999993E-2</v>
          </cell>
          <cell r="S62" t="str">
            <v>ITC85</v>
          </cell>
          <cell r="V62">
            <v>1</v>
          </cell>
          <cell r="W62">
            <v>0</v>
          </cell>
          <cell r="X62">
            <v>0.67689999999999995</v>
          </cell>
          <cell r="Y62">
            <v>0.1336</v>
          </cell>
          <cell r="Z62">
            <v>0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7.3399999999999993E-2</v>
          </cell>
        </row>
        <row r="63">
          <cell r="B63" t="str">
            <v>ITC86</v>
          </cell>
          <cell r="E63">
            <v>1</v>
          </cell>
          <cell r="F63">
            <v>0</v>
          </cell>
          <cell r="G63">
            <v>0.64607999999999999</v>
          </cell>
          <cell r="H63">
            <v>0.13125999999999999</v>
          </cell>
          <cell r="I63">
            <v>0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6.7659999999999998E-2</v>
          </cell>
          <cell r="S63" t="str">
            <v>ITC86</v>
          </cell>
          <cell r="V63">
            <v>1</v>
          </cell>
          <cell r="W63">
            <v>0</v>
          </cell>
          <cell r="X63">
            <v>0.64607999999999999</v>
          </cell>
          <cell r="Y63">
            <v>0.13125999999999999</v>
          </cell>
          <cell r="Z63">
            <v>0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6.7659999999999998E-2</v>
          </cell>
        </row>
        <row r="64">
          <cell r="B64" t="str">
            <v>ITC88</v>
          </cell>
          <cell r="E64">
            <v>1</v>
          </cell>
          <cell r="F64">
            <v>0</v>
          </cell>
          <cell r="G64">
            <v>0.61199999999999999</v>
          </cell>
          <cell r="H64">
            <v>0.14960000000000001</v>
          </cell>
          <cell r="I64">
            <v>0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7.1300000000000002E-2</v>
          </cell>
          <cell r="S64" t="str">
            <v>ITC88</v>
          </cell>
          <cell r="V64">
            <v>1</v>
          </cell>
          <cell r="W64">
            <v>0</v>
          </cell>
          <cell r="X64">
            <v>0.61199999999999999</v>
          </cell>
          <cell r="Y64">
            <v>0.14960000000000001</v>
          </cell>
          <cell r="Z64">
            <v>0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7.1300000000000002E-2</v>
          </cell>
        </row>
        <row r="65">
          <cell r="B65" t="str">
            <v>ITC89</v>
          </cell>
          <cell r="E65">
            <v>0.99999999999999989</v>
          </cell>
          <cell r="F65">
            <v>0</v>
          </cell>
          <cell r="G65">
            <v>0.563558</v>
          </cell>
          <cell r="H65">
            <v>0.15268799999999999</v>
          </cell>
          <cell r="I65">
            <v>0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7.6978000000000005E-2</v>
          </cell>
          <cell r="S65" t="str">
            <v>ITC89</v>
          </cell>
          <cell r="V65">
            <v>0.99999999999999989</v>
          </cell>
          <cell r="W65">
            <v>0</v>
          </cell>
          <cell r="X65">
            <v>0.563558</v>
          </cell>
          <cell r="Y65">
            <v>0.15268799999999999</v>
          </cell>
          <cell r="Z65">
            <v>0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7.6978000000000005E-2</v>
          </cell>
        </row>
        <row r="66">
          <cell r="B66" t="str">
            <v>ITC90</v>
          </cell>
          <cell r="E66">
            <v>1</v>
          </cell>
          <cell r="F66">
            <v>0</v>
          </cell>
          <cell r="G66">
            <v>0.159356</v>
          </cell>
          <cell r="H66">
            <v>3.9132E-2</v>
          </cell>
          <cell r="I66">
            <v>0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1.8907E-2</v>
          </cell>
          <cell r="S66" t="str">
            <v>ITC90</v>
          </cell>
          <cell r="V66">
            <v>1</v>
          </cell>
          <cell r="W66">
            <v>0</v>
          </cell>
          <cell r="X66">
            <v>0.159356</v>
          </cell>
          <cell r="Y66">
            <v>3.9132E-2</v>
          </cell>
          <cell r="Z66">
            <v>0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1.8907E-2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1.0000000000000002</v>
          </cell>
          <cell r="F69">
            <v>2.6279504915630084E-2</v>
          </cell>
          <cell r="G69">
            <v>0.33717881920133852</v>
          </cell>
          <cell r="H69">
            <v>9.8317043060781942E-2</v>
          </cell>
          <cell r="I69">
            <v>0</v>
          </cell>
          <cell r="J69">
            <v>0.11425312055562384</v>
          </cell>
          <cell r="K69">
            <v>0.36297363404100819</v>
          </cell>
          <cell r="L69">
            <v>4.397854045954528E-2</v>
          </cell>
          <cell r="M69">
            <v>1.5217866586822837E-2</v>
          </cell>
          <cell r="N69">
            <v>1.8014711792495054E-3</v>
          </cell>
          <cell r="O69">
            <v>0</v>
          </cell>
          <cell r="P69">
            <v>0</v>
          </cell>
          <cell r="S69" t="str">
            <v>SNPPS</v>
          </cell>
          <cell r="V69">
            <v>0.99999999999999944</v>
          </cell>
          <cell r="W69">
            <v>2.6279504915630091E-2</v>
          </cell>
          <cell r="X69">
            <v>0.33717881920133813</v>
          </cell>
          <cell r="Y69">
            <v>9.83170430607819E-2</v>
          </cell>
          <cell r="Z69">
            <v>0</v>
          </cell>
          <cell r="AA69">
            <v>0.11425312055562376</v>
          </cell>
          <cell r="AB69">
            <v>0.36297363404100785</v>
          </cell>
          <cell r="AC69">
            <v>4.3978540459545253E-2</v>
          </cell>
          <cell r="AD69">
            <v>1.5217866586822832E-2</v>
          </cell>
          <cell r="AE69">
            <v>1.8014711792495041E-3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1.0000000000000002</v>
          </cell>
          <cell r="F70">
            <v>2.6279504915630102E-2</v>
          </cell>
          <cell r="G70">
            <v>0.33717881920133835</v>
          </cell>
          <cell r="H70">
            <v>9.8317043060781956E-2</v>
          </cell>
          <cell r="I70">
            <v>0</v>
          </cell>
          <cell r="J70">
            <v>0.11425312055562385</v>
          </cell>
          <cell r="K70">
            <v>0.3629736340410083</v>
          </cell>
          <cell r="L70">
            <v>4.3978540459545287E-2</v>
          </cell>
          <cell r="M70">
            <v>1.5217866586822839E-2</v>
          </cell>
          <cell r="N70">
            <v>1.8014711792495052E-3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1.0000000000000002</v>
          </cell>
          <cell r="W70">
            <v>2.6279504915630098E-2</v>
          </cell>
          <cell r="X70">
            <v>0.33717881920133824</v>
          </cell>
          <cell r="Y70">
            <v>9.831704306078197E-2</v>
          </cell>
          <cell r="Z70">
            <v>0</v>
          </cell>
          <cell r="AA70">
            <v>0.11425312055562384</v>
          </cell>
          <cell r="AB70">
            <v>0.3629736340410083</v>
          </cell>
          <cell r="AC70">
            <v>4.3978540459545273E-2</v>
          </cell>
          <cell r="AD70">
            <v>1.5217866586822839E-2</v>
          </cell>
          <cell r="AE70">
            <v>1.8014711792495054E-3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1.0000000000000002</v>
          </cell>
          <cell r="F71">
            <v>2.6279504915630081E-2</v>
          </cell>
          <cell r="G71">
            <v>0.33717881920133852</v>
          </cell>
          <cell r="H71">
            <v>9.8317043060781914E-2</v>
          </cell>
          <cell r="I71">
            <v>0</v>
          </cell>
          <cell r="J71">
            <v>0.11425312055562381</v>
          </cell>
          <cell r="K71">
            <v>0.36297363404100824</v>
          </cell>
          <cell r="L71">
            <v>4.3978540459545266E-2</v>
          </cell>
          <cell r="M71">
            <v>1.5217866586822837E-2</v>
          </cell>
          <cell r="N71">
            <v>1.801471179249505E-3</v>
          </cell>
          <cell r="O71">
            <v>0</v>
          </cell>
          <cell r="P71">
            <v>0</v>
          </cell>
          <cell r="S71" t="str">
            <v>SNPP</v>
          </cell>
          <cell r="V71">
            <v>0.99999999999999922</v>
          </cell>
          <cell r="W71">
            <v>2.6279504915630084E-2</v>
          </cell>
          <cell r="X71">
            <v>0.33717881920133808</v>
          </cell>
          <cell r="Y71">
            <v>9.8317043060781914E-2</v>
          </cell>
          <cell r="Z71">
            <v>0</v>
          </cell>
          <cell r="AA71">
            <v>0.11425312055562373</v>
          </cell>
          <cell r="AB71">
            <v>0.36297363404100785</v>
          </cell>
          <cell r="AC71">
            <v>4.3978540459545253E-2</v>
          </cell>
          <cell r="AD71">
            <v>1.5217866586822832E-2</v>
          </cell>
          <cell r="AE71">
            <v>1.8014711792495039E-3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1.0000000000000009</v>
          </cell>
          <cell r="F72">
            <v>2.6279504915630095E-2</v>
          </cell>
          <cell r="G72">
            <v>0.33717881920133863</v>
          </cell>
          <cell r="H72">
            <v>9.8317043060781997E-2</v>
          </cell>
          <cell r="I72">
            <v>0</v>
          </cell>
          <cell r="J72">
            <v>0.11425312055562391</v>
          </cell>
          <cell r="K72">
            <v>0.36297363404100852</v>
          </cell>
          <cell r="L72">
            <v>4.3978540459545273E-2</v>
          </cell>
          <cell r="M72">
            <v>1.5217866586822849E-2</v>
          </cell>
          <cell r="N72">
            <v>1.8014711792495067E-3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1.0000000000000007</v>
          </cell>
          <cell r="W72">
            <v>2.6279504915630084E-2</v>
          </cell>
          <cell r="X72">
            <v>0.33717881920133858</v>
          </cell>
          <cell r="Y72">
            <v>9.8317043060781983E-2</v>
          </cell>
          <cell r="Z72">
            <v>0</v>
          </cell>
          <cell r="AA72">
            <v>0.11425312055562391</v>
          </cell>
          <cell r="AB72">
            <v>0.36297363404100841</v>
          </cell>
          <cell r="AC72">
            <v>4.3978540459545266E-2</v>
          </cell>
          <cell r="AD72">
            <v>1.521786658682284E-2</v>
          </cell>
          <cell r="AE72">
            <v>1.8014711792495059E-3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1.0000000000000002</v>
          </cell>
          <cell r="F73">
            <v>2.6279504915630098E-2</v>
          </cell>
          <cell r="G73">
            <v>0.33717881920133835</v>
          </cell>
          <cell r="H73">
            <v>9.8317043060781983E-2</v>
          </cell>
          <cell r="I73">
            <v>0</v>
          </cell>
          <cell r="J73">
            <v>0.11425312055562384</v>
          </cell>
          <cell r="K73">
            <v>0.36297363404100819</v>
          </cell>
          <cell r="L73">
            <v>4.397854045954528E-2</v>
          </cell>
          <cell r="M73">
            <v>1.5217866586822837E-2</v>
          </cell>
          <cell r="N73">
            <v>1.8014711792495054E-3</v>
          </cell>
          <cell r="O73">
            <v>0</v>
          </cell>
          <cell r="P73">
            <v>0</v>
          </cell>
          <cell r="S73" t="str">
            <v>SNPPN</v>
          </cell>
          <cell r="V73">
            <v>1.0000000000000002</v>
          </cell>
          <cell r="W73">
            <v>2.6279504915630098E-2</v>
          </cell>
          <cell r="X73">
            <v>0.33717881920133835</v>
          </cell>
          <cell r="Y73">
            <v>9.8317043060781983E-2</v>
          </cell>
          <cell r="Z73">
            <v>0</v>
          </cell>
          <cell r="AA73">
            <v>0.11425312055562384</v>
          </cell>
          <cell r="AB73">
            <v>0.36297363404100819</v>
          </cell>
          <cell r="AC73">
            <v>4.397854045954528E-2</v>
          </cell>
          <cell r="AD73">
            <v>1.5217866586822837E-2</v>
          </cell>
          <cell r="AE73">
            <v>1.8014711792495054E-3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</v>
          </cell>
          <cell r="F74">
            <v>2.6279504915630095E-2</v>
          </cell>
          <cell r="G74">
            <v>0.33717881920133841</v>
          </cell>
          <cell r="H74">
            <v>9.8317043060781956E-2</v>
          </cell>
          <cell r="I74">
            <v>0</v>
          </cell>
          <cell r="J74">
            <v>0.11425312055562381</v>
          </cell>
          <cell r="K74">
            <v>0.36297363404100802</v>
          </cell>
          <cell r="L74">
            <v>4.3978540459545266E-2</v>
          </cell>
          <cell r="M74">
            <v>1.5217866586822837E-2</v>
          </cell>
          <cell r="N74">
            <v>1.8014711792495054E-3</v>
          </cell>
          <cell r="O74">
            <v>0</v>
          </cell>
          <cell r="P74">
            <v>0</v>
          </cell>
          <cell r="S74" t="str">
            <v>SNPPO</v>
          </cell>
          <cell r="V74">
            <v>1.0000000000000002</v>
          </cell>
          <cell r="W74">
            <v>2.6279504915630091E-2</v>
          </cell>
          <cell r="X74">
            <v>0.33717881920133841</v>
          </cell>
          <cell r="Y74">
            <v>9.831704306078197E-2</v>
          </cell>
          <cell r="Z74">
            <v>0</v>
          </cell>
          <cell r="AA74">
            <v>0.11425312055562384</v>
          </cell>
          <cell r="AB74">
            <v>0.36297363404100813</v>
          </cell>
          <cell r="AC74">
            <v>4.3978540459545266E-2</v>
          </cell>
          <cell r="AD74">
            <v>1.5217866586822839E-2</v>
          </cell>
          <cell r="AE74">
            <v>1.8014711792495054E-3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1</v>
          </cell>
          <cell r="F75">
            <v>2.541511643644084E-2</v>
          </cell>
          <cell r="G75">
            <v>0.33701552579600158</v>
          </cell>
          <cell r="H75">
            <v>9.8324697794491281E-2</v>
          </cell>
          <cell r="I75">
            <v>0</v>
          </cell>
          <cell r="J75">
            <v>0.11015486456876571</v>
          </cell>
          <cell r="K75">
            <v>0.34909461276105841</v>
          </cell>
          <cell r="L75">
            <v>5.6095307258209E-2</v>
          </cell>
          <cell r="M75">
            <v>2.3216210154588426E-2</v>
          </cell>
          <cell r="N75">
            <v>6.8366523044476155E-4</v>
          </cell>
          <cell r="O75">
            <v>0</v>
          </cell>
          <cell r="P75">
            <v>0</v>
          </cell>
          <cell r="S75" t="str">
            <v>SNPG</v>
          </cell>
          <cell r="V75">
            <v>1</v>
          </cell>
          <cell r="W75">
            <v>2.5591414213849951E-2</v>
          </cell>
          <cell r="X75">
            <v>0.33950384358312474</v>
          </cell>
          <cell r="Y75">
            <v>9.7057819772228354E-2</v>
          </cell>
          <cell r="Z75">
            <v>0</v>
          </cell>
          <cell r="AA75">
            <v>0.10799030740401125</v>
          </cell>
          <cell r="AB75">
            <v>0.34855418604834448</v>
          </cell>
          <cell r="AC75">
            <v>5.7056127560143187E-2</v>
          </cell>
          <cell r="AD75">
            <v>2.3590597957779565E-2</v>
          </cell>
          <cell r="AE75">
            <v>6.5570346051841842E-4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1.0000000000000002</v>
          </cell>
          <cell r="F76">
            <v>3.0202664527555257E-2</v>
          </cell>
          <cell r="G76">
            <v>0.33326217810864361</v>
          </cell>
          <cell r="H76">
            <v>8.8267834236083711E-2</v>
          </cell>
          <cell r="I76">
            <v>0</v>
          </cell>
          <cell r="J76">
            <v>0.10135353680095413</v>
          </cell>
          <cell r="K76">
            <v>0.38259749822578615</v>
          </cell>
          <cell r="L76">
            <v>4.7214591451376575E-2</v>
          </cell>
          <cell r="M76">
            <v>1.61690549147421E-2</v>
          </cell>
          <cell r="N76">
            <v>9.3264173485854902E-4</v>
          </cell>
          <cell r="O76">
            <v>0</v>
          </cell>
          <cell r="P76">
            <v>0</v>
          </cell>
          <cell r="S76" t="str">
            <v>SNPI</v>
          </cell>
          <cell r="V76">
            <v>0.99999999999999944</v>
          </cell>
          <cell r="W76">
            <v>3.0359763230679754E-2</v>
          </cell>
          <cell r="X76">
            <v>0.3337467229438984</v>
          </cell>
          <cell r="Y76">
            <v>8.8798045687810551E-2</v>
          </cell>
          <cell r="Z76">
            <v>0</v>
          </cell>
          <cell r="AA76">
            <v>0.10199803176976988</v>
          </cell>
          <cell r="AB76">
            <v>0.38072770239080106</v>
          </cell>
          <cell r="AC76">
            <v>4.7262426060203457E-2</v>
          </cell>
          <cell r="AD76">
            <v>1.6136408334236563E-2</v>
          </cell>
          <cell r="AE76">
            <v>9.7089958259978959E-4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1</v>
          </cell>
          <cell r="F77">
            <v>2.6197772013290922E-2</v>
          </cell>
          <cell r="G77">
            <v>0.33550852697712735</v>
          </cell>
          <cell r="H77">
            <v>9.744771303115328E-2</v>
          </cell>
          <cell r="I77">
            <v>0</v>
          </cell>
          <cell r="J77">
            <v>0.11642410341100055</v>
          </cell>
          <cell r="K77">
            <v>0.3629613179603226</v>
          </cell>
          <cell r="L77">
            <v>4.4141260817135729E-2</v>
          </cell>
          <cell r="M77">
            <v>1.5529801521771506E-2</v>
          </cell>
          <cell r="N77">
            <v>1.789504268198111E-3</v>
          </cell>
          <cell r="O77">
            <v>0</v>
          </cell>
          <cell r="P77">
            <v>0</v>
          </cell>
          <cell r="S77" t="str">
            <v>TROJP</v>
          </cell>
          <cell r="V77">
            <v>1</v>
          </cell>
          <cell r="W77">
            <v>2.6197772013290922E-2</v>
          </cell>
          <cell r="X77">
            <v>0.33550852697712735</v>
          </cell>
          <cell r="Y77">
            <v>9.744771303115328E-2</v>
          </cell>
          <cell r="Z77">
            <v>0</v>
          </cell>
          <cell r="AA77">
            <v>0.11642410341100055</v>
          </cell>
          <cell r="AB77">
            <v>0.3629613179603226</v>
          </cell>
          <cell r="AC77">
            <v>4.4141260817135729E-2</v>
          </cell>
          <cell r="AD77">
            <v>1.5529801521771506E-2</v>
          </cell>
          <cell r="AE77">
            <v>1.789504268198111E-3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1.0000000000000002</v>
          </cell>
          <cell r="F78">
            <v>2.6183336330911137E-2</v>
          </cell>
          <cell r="G78">
            <v>0.33521351961362911</v>
          </cell>
          <cell r="H78">
            <v>9.7294171778710636E-2</v>
          </cell>
          <cell r="I78">
            <v>0</v>
          </cell>
          <cell r="J78">
            <v>0.11680754285894929</v>
          </cell>
          <cell r="K78">
            <v>0.36295914269156487</v>
          </cell>
          <cell r="L78">
            <v>4.4170000520874039E-2</v>
          </cell>
          <cell r="M78">
            <v>1.5584895535506533E-2</v>
          </cell>
          <cell r="N78">
            <v>1.7873906698544699E-3</v>
          </cell>
          <cell r="O78">
            <v>0</v>
          </cell>
          <cell r="P78">
            <v>0</v>
          </cell>
          <cell r="S78" t="str">
            <v>TROJD</v>
          </cell>
          <cell r="V78">
            <v>1.0000000000000002</v>
          </cell>
          <cell r="W78">
            <v>2.6183336330911137E-2</v>
          </cell>
          <cell r="X78">
            <v>0.33521351961362911</v>
          </cell>
          <cell r="Y78">
            <v>9.7294171778710636E-2</v>
          </cell>
          <cell r="Z78">
            <v>0</v>
          </cell>
          <cell r="AA78">
            <v>0.11680754285894929</v>
          </cell>
          <cell r="AB78">
            <v>0.36295914269156487</v>
          </cell>
          <cell r="AC78">
            <v>4.4170000520874039E-2</v>
          </cell>
          <cell r="AD78">
            <v>1.5584895535506533E-2</v>
          </cell>
          <cell r="AE78">
            <v>1.7873906698544699E-3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0.99999999999999989</v>
          </cell>
          <cell r="F79">
            <v>1.3424184955006372E-3</v>
          </cell>
          <cell r="G79">
            <v>0.32243736593674871</v>
          </cell>
          <cell r="H79">
            <v>5.9595043538799096E-2</v>
          </cell>
          <cell r="I79">
            <v>0</v>
          </cell>
          <cell r="J79">
            <v>7.8801485292886789E-2</v>
          </cell>
          <cell r="K79">
            <v>0.44288227148756198</v>
          </cell>
          <cell r="L79">
            <v>7.2017033756398785E-2</v>
          </cell>
          <cell r="M79">
            <v>2.4832772551567597E-2</v>
          </cell>
          <cell r="N79">
            <v>5.666804449136963E-3</v>
          </cell>
          <cell r="O79">
            <v>-2.1761242651862698E-3</v>
          </cell>
          <cell r="P79">
            <v>-5.3990712434142741E-3</v>
          </cell>
          <cell r="S79" t="str">
            <v>IBT</v>
          </cell>
          <cell r="V79">
            <v>1.0000000000000013</v>
          </cell>
          <cell r="W79">
            <v>1.4373276535363541E-3</v>
          </cell>
          <cell r="X79">
            <v>0.32382365110732786</v>
          </cell>
          <cell r="Y79">
            <v>5.951122433611869E-2</v>
          </cell>
          <cell r="Z79">
            <v>0</v>
          </cell>
          <cell r="AA79">
            <v>7.9441542528562129E-2</v>
          </cell>
          <cell r="AB79">
            <v>0.44075029653336356</v>
          </cell>
          <cell r="AC79">
            <v>7.1918918720359618E-2</v>
          </cell>
          <cell r="AD79">
            <v>2.5021762650619343E-2</v>
          </cell>
          <cell r="AE79">
            <v>5.6704719787143325E-3</v>
          </cell>
          <cell r="AF79">
            <v>-2.1761242651862698E-3</v>
          </cell>
          <cell r="AG79">
            <v>-5.3990712434142741E-3</v>
          </cell>
        </row>
        <row r="80">
          <cell r="B80" t="str">
            <v>DITEXPRL</v>
          </cell>
          <cell r="E80">
            <v>1</v>
          </cell>
          <cell r="F80">
            <v>3.820734230764735E-2</v>
          </cell>
          <cell r="G80">
            <v>0.40257223089749877</v>
          </cell>
          <cell r="H80">
            <v>0.10602504897878147</v>
          </cell>
          <cell r="I80">
            <v>0</v>
          </cell>
          <cell r="J80">
            <v>0.13682062631159853</v>
          </cell>
          <cell r="K80">
            <v>0.27759105313017557</v>
          </cell>
          <cell r="L80">
            <v>3.3827407146276058E-2</v>
          </cell>
          <cell r="M80">
            <v>1.2594084744323233E-2</v>
          </cell>
          <cell r="N80">
            <v>4.5043958944305558E-4</v>
          </cell>
          <cell r="O80">
            <v>0</v>
          </cell>
          <cell r="P80">
            <v>-8.0882331057440908E-3</v>
          </cell>
          <cell r="S80" t="str">
            <v>DITEXPRL</v>
          </cell>
          <cell r="V80">
            <v>1</v>
          </cell>
          <cell r="W80">
            <v>3.820734230764735E-2</v>
          </cell>
          <cell r="X80">
            <v>0.40257223089749877</v>
          </cell>
          <cell r="Y80">
            <v>0.10602504897878147</v>
          </cell>
          <cell r="Z80">
            <v>0</v>
          </cell>
          <cell r="AA80">
            <v>0.13682062631159853</v>
          </cell>
          <cell r="AB80">
            <v>0.27759105313017557</v>
          </cell>
          <cell r="AC80">
            <v>3.3827407146276058E-2</v>
          </cell>
          <cell r="AD80">
            <v>1.2594084744323233E-2</v>
          </cell>
          <cell r="AE80">
            <v>4.5043958944305558E-4</v>
          </cell>
          <cell r="AF80">
            <v>0</v>
          </cell>
          <cell r="AG80">
            <v>-8.0882331057440908E-3</v>
          </cell>
        </row>
        <row r="81">
          <cell r="B81" t="str">
            <v>DITBALRL</v>
          </cell>
          <cell r="E81">
            <v>0.99999999999999989</v>
          </cell>
          <cell r="F81">
            <v>2.4206560574055073E-2</v>
          </cell>
          <cell r="G81">
            <v>0.28509007268076786</v>
          </cell>
          <cell r="H81">
            <v>7.1413137559927106E-2</v>
          </cell>
          <cell r="I81">
            <v>0</v>
          </cell>
          <cell r="J81">
            <v>8.8316299482360541E-2</v>
          </cell>
          <cell r="K81">
            <v>0.43153920169784471</v>
          </cell>
          <cell r="L81">
            <v>5.9587233152281351E-2</v>
          </cell>
          <cell r="M81">
            <v>2.1337848676977664E-2</v>
          </cell>
          <cell r="N81">
            <v>2.9507693473784669E-3</v>
          </cell>
          <cell r="O81">
            <v>4.8196326648974582E-3</v>
          </cell>
          <cell r="P81">
            <v>1.0739244163509706E-2</v>
          </cell>
          <cell r="S81" t="str">
            <v>DITBALRL</v>
          </cell>
          <cell r="V81">
            <v>0.99999999999999989</v>
          </cell>
          <cell r="W81">
            <v>2.4250772282932914E-2</v>
          </cell>
          <cell r="X81">
            <v>0.28012320363749954</v>
          </cell>
          <cell r="Y81">
            <v>7.1519913883084485E-2</v>
          </cell>
          <cell r="Z81">
            <v>0</v>
          </cell>
          <cell r="AA81">
            <v>8.6203317897314294E-2</v>
          </cell>
          <cell r="AB81">
            <v>0.44253609675338623</v>
          </cell>
          <cell r="AC81">
            <v>6.1288019233326059E-2</v>
          </cell>
          <cell r="AD81">
            <v>2.1827900848360681E-2</v>
          </cell>
          <cell r="AE81">
            <v>2.9375820905823964E-3</v>
          </cell>
          <cell r="AF81">
            <v>5.412448885004104E-5</v>
          </cell>
          <cell r="AG81">
            <v>9.2590688846633656E-3</v>
          </cell>
        </row>
        <row r="82">
          <cell r="B82" t="str">
            <v>TAXDEPRL</v>
          </cell>
          <cell r="E82">
            <v>1</v>
          </cell>
          <cell r="F82">
            <v>3.1582644516885382E-2</v>
          </cell>
          <cell r="G82">
            <v>0.3454849644768776</v>
          </cell>
          <cell r="H82">
            <v>9.2510725813840053E-2</v>
          </cell>
          <cell r="I82">
            <v>0</v>
          </cell>
          <cell r="J82">
            <v>0.10603233945654117</v>
          </cell>
          <cell r="K82">
            <v>0.35741978892824222</v>
          </cell>
          <cell r="L82">
            <v>4.5438361380919584E-2</v>
          </cell>
          <cell r="M82">
            <v>1.5355982395429173E-2</v>
          </cell>
          <cell r="N82">
            <v>9.8614317699577186E-4</v>
          </cell>
          <cell r="O82">
            <v>1.796106479658861E-4</v>
          </cell>
          <cell r="P82">
            <v>5.0094392063031621E-3</v>
          </cell>
          <cell r="S82" t="str">
            <v>TAXDEPRL</v>
          </cell>
          <cell r="V82">
            <v>1</v>
          </cell>
          <cell r="W82">
            <v>3.1582644516885382E-2</v>
          </cell>
          <cell r="X82">
            <v>0.3454849644768776</v>
          </cell>
          <cell r="Y82">
            <v>9.2510725813840053E-2</v>
          </cell>
          <cell r="Z82">
            <v>0</v>
          </cell>
          <cell r="AA82">
            <v>0.10603233945654117</v>
          </cell>
          <cell r="AB82">
            <v>0.35741978892824222</v>
          </cell>
          <cell r="AC82">
            <v>4.5438361380919584E-2</v>
          </cell>
          <cell r="AD82">
            <v>1.5355982395429173E-2</v>
          </cell>
          <cell r="AE82">
            <v>9.8614317699577186E-4</v>
          </cell>
          <cell r="AF82">
            <v>1.796106479658861E-4</v>
          </cell>
          <cell r="AG82">
            <v>5.0094392063031621E-3</v>
          </cell>
        </row>
        <row r="83">
          <cell r="B83" t="str">
            <v>DITEXPMA</v>
          </cell>
          <cell r="E83">
            <v>0.99999999999999989</v>
          </cell>
          <cell r="F83">
            <v>3.7351085777459152E-2</v>
          </cell>
          <cell r="G83">
            <v>0.40326901733054743</v>
          </cell>
          <cell r="H83">
            <v>0.10630906172626547</v>
          </cell>
          <cell r="I83">
            <v>0</v>
          </cell>
          <cell r="J83">
            <v>0.132708738210465</v>
          </cell>
          <cell r="K83">
            <v>0.28454230770785266</v>
          </cell>
          <cell r="L83">
            <v>3.521304570727983E-2</v>
          </cell>
          <cell r="M83">
            <v>1.400320882474726E-2</v>
          </cell>
          <cell r="N83">
            <v>7.7204060834672932E-4</v>
          </cell>
          <cell r="O83">
            <v>0</v>
          </cell>
          <cell r="P83">
            <v>-1.4168505892963559E-2</v>
          </cell>
          <cell r="S83" t="str">
            <v>DITEXPMA</v>
          </cell>
          <cell r="V83">
            <v>0.99999999999999989</v>
          </cell>
          <cell r="W83">
            <v>3.7278690357503592E-2</v>
          </cell>
          <cell r="X83">
            <v>0.40248738463481665</v>
          </cell>
          <cell r="Y83">
            <v>0.10610300910400412</v>
          </cell>
          <cell r="Z83">
            <v>0</v>
          </cell>
          <cell r="AA83">
            <v>0.13245151664288432</v>
          </cell>
          <cell r="AB83">
            <v>0.28399079603334959</v>
          </cell>
          <cell r="AC83">
            <v>3.5144794325055462E-2</v>
          </cell>
          <cell r="AD83">
            <v>1.3976067225982689E-2</v>
          </cell>
          <cell r="AE83">
            <v>7.7054420729437401E-4</v>
          </cell>
          <cell r="AF83">
            <v>0</v>
          </cell>
          <cell r="AG83">
            <v>-1.2202802530890781E-2</v>
          </cell>
        </row>
        <row r="84">
          <cell r="B84" t="str">
            <v>DITBALMA</v>
          </cell>
          <cell r="E84">
            <v>0.99999999999999989</v>
          </cell>
          <cell r="F84">
            <v>2.065497310429255E-2</v>
          </cell>
          <cell r="G84">
            <v>0.23057291116631942</v>
          </cell>
          <cell r="H84">
            <v>6.0192763730628915E-2</v>
          </cell>
          <cell r="I84">
            <v>0</v>
          </cell>
          <cell r="J84">
            <v>7.446491725706561E-2</v>
          </cell>
          <cell r="K84">
            <v>0.50544435379011543</v>
          </cell>
          <cell r="L84">
            <v>6.8119924296227125E-2</v>
          </cell>
          <cell r="M84">
            <v>2.44567418093357E-2</v>
          </cell>
          <cell r="N84">
            <v>1.9349456481331749E-3</v>
          </cell>
          <cell r="O84">
            <v>3.4770592774963326E-3</v>
          </cell>
          <cell r="P84">
            <v>1.0681409920385704E-2</v>
          </cell>
          <cell r="S84" t="str">
            <v>DITBALMA</v>
          </cell>
          <cell r="V84">
            <v>1</v>
          </cell>
          <cell r="W84">
            <v>2.1082242703550417E-2</v>
          </cell>
          <cell r="X84">
            <v>0.23181717898437315</v>
          </cell>
          <cell r="Y84">
            <v>5.9642459912231868E-2</v>
          </cell>
          <cell r="Z84">
            <v>0</v>
          </cell>
          <cell r="AA84">
            <v>7.2335197608361601E-2</v>
          </cell>
          <cell r="AB84">
            <v>0.50923903830556405</v>
          </cell>
          <cell r="AC84">
            <v>6.9843724527505271E-2</v>
          </cell>
          <cell r="AD84">
            <v>2.4807120833782982E-2</v>
          </cell>
          <cell r="AE84">
            <v>1.9186418981945103E-3</v>
          </cell>
          <cell r="AF84">
            <v>5.3947011318563515E-5</v>
          </cell>
          <cell r="AG84">
            <v>9.2604482151176313E-3</v>
          </cell>
        </row>
        <row r="85">
          <cell r="B85" t="str">
            <v>TAXDEPRMA</v>
          </cell>
          <cell r="E85">
            <v>1</v>
          </cell>
          <cell r="F85">
            <v>3.1725148177863073E-2</v>
          </cell>
          <cell r="G85">
            <v>0.34634246491982429</v>
          </cell>
          <cell r="H85">
            <v>9.2789951693303258E-2</v>
          </cell>
          <cell r="I85">
            <v>0</v>
          </cell>
          <cell r="J85">
            <v>0.10630235562592255</v>
          </cell>
          <cell r="K85">
            <v>0.35607132447943135</v>
          </cell>
          <cell r="L85">
            <v>4.5289261813292805E-2</v>
          </cell>
          <cell r="M85">
            <v>1.5311412410720249E-2</v>
          </cell>
          <cell r="N85">
            <v>9.7918640007409793E-4</v>
          </cell>
          <cell r="O85">
            <v>1.7945527326518587E-4</v>
          </cell>
          <cell r="P85">
            <v>5.0094392063031621E-3</v>
          </cell>
          <cell r="S85" t="str">
            <v>TAXDEPRMA</v>
          </cell>
          <cell r="V85">
            <v>1</v>
          </cell>
          <cell r="W85">
            <v>3.1725148177863073E-2</v>
          </cell>
          <cell r="X85">
            <v>0.34634246491982429</v>
          </cell>
          <cell r="Y85">
            <v>9.2789951693303258E-2</v>
          </cell>
          <cell r="Z85">
            <v>0</v>
          </cell>
          <cell r="AA85">
            <v>0.10630235562592255</v>
          </cell>
          <cell r="AB85">
            <v>0.35607132447943135</v>
          </cell>
          <cell r="AC85">
            <v>4.5289261813292805E-2</v>
          </cell>
          <cell r="AD85">
            <v>1.5311412410720249E-2</v>
          </cell>
          <cell r="AE85">
            <v>9.7918640007409793E-4</v>
          </cell>
          <cell r="AF85">
            <v>1.7945527326518587E-4</v>
          </cell>
          <cell r="AG85">
            <v>5.0094392063031621E-3</v>
          </cell>
        </row>
        <row r="86">
          <cell r="B86" t="str">
            <v>SCHMDEXP</v>
          </cell>
          <cell r="E86">
            <v>1.0000000000000002</v>
          </cell>
          <cell r="F86">
            <v>3.2885831014310848E-2</v>
          </cell>
          <cell r="G86">
            <v>0.34658587551126013</v>
          </cell>
          <cell r="H86">
            <v>9.0417916228603887E-2</v>
          </cell>
          <cell r="I86">
            <v>0</v>
          </cell>
          <cell r="J86">
            <v>0.10295898893694851</v>
          </cell>
          <cell r="K86">
            <v>0.36106819874578511</v>
          </cell>
          <cell r="L86">
            <v>4.8854589107847075E-2</v>
          </cell>
          <cell r="M86">
            <v>1.6187902659213493E-2</v>
          </cell>
          <cell r="N86">
            <v>1.0406977960310444E-3</v>
          </cell>
          <cell r="O86">
            <v>0</v>
          </cell>
          <cell r="P86">
            <v>0</v>
          </cell>
          <cell r="S86" t="str">
            <v>SCHMDEXP</v>
          </cell>
          <cell r="V86">
            <v>1.0000000000000002</v>
          </cell>
          <cell r="W86">
            <v>3.2879749614492505E-2</v>
          </cell>
          <cell r="X86">
            <v>0.3465655973610241</v>
          </cell>
          <cell r="Y86">
            <v>9.0418043400184139E-2</v>
          </cell>
          <cell r="Z86">
            <v>0</v>
          </cell>
          <cell r="AA86">
            <v>0.10294428453017571</v>
          </cell>
          <cell r="AB86">
            <v>0.36111494822515905</v>
          </cell>
          <cell r="AC86">
            <v>4.8852358810071994E-2</v>
          </cell>
          <cell r="AD86">
            <v>1.6184435496415881E-2</v>
          </cell>
          <cell r="AE86">
            <v>1.0405825624766806E-3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0.99999999999999989</v>
          </cell>
          <cell r="F87">
            <v>3.0597928127791864E-2</v>
          </cell>
          <cell r="G87">
            <v>0.34032871540937676</v>
          </cell>
          <cell r="H87">
            <v>8.9484026573696265E-2</v>
          </cell>
          <cell r="I87">
            <v>0</v>
          </cell>
          <cell r="J87">
            <v>0.11189333311881515</v>
          </cell>
          <cell r="K87">
            <v>0.36630453575295624</v>
          </cell>
          <cell r="L87">
            <v>4.4588583101575242E-2</v>
          </cell>
          <cell r="M87">
            <v>1.5758750400420355E-2</v>
          </cell>
          <cell r="N87">
            <v>1.0441275153680962E-3</v>
          </cell>
          <cell r="O87">
            <v>0</v>
          </cell>
          <cell r="P87">
            <v>0</v>
          </cell>
          <cell r="S87" t="str">
            <v>SCHMAEXP</v>
          </cell>
          <cell r="V87">
            <v>0.99999999999999956</v>
          </cell>
          <cell r="W87">
            <v>3.0524498508795184E-2</v>
          </cell>
          <cell r="X87">
            <v>0.34008386769499094</v>
          </cell>
          <cell r="Y87">
            <v>8.9485562101858068E-2</v>
          </cell>
          <cell r="Z87">
            <v>0</v>
          </cell>
          <cell r="AA87">
            <v>0.11171578534706018</v>
          </cell>
          <cell r="AB87">
            <v>0.36686901047280041</v>
          </cell>
          <cell r="AC87">
            <v>4.456165346024836E-2</v>
          </cell>
          <cell r="AD87">
            <v>1.5716886281823883E-2</v>
          </cell>
          <cell r="AE87">
            <v>1.0427361324225088E-3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1</v>
          </cell>
          <cell r="F88">
            <v>2.63269321250915E-2</v>
          </cell>
          <cell r="G88">
            <v>0.33778733334707867</v>
          </cell>
          <cell r="H88">
            <v>9.8494478024257884E-2</v>
          </cell>
          <cell r="I88">
            <v>0</v>
          </cell>
          <cell r="J88">
            <v>0.11445931571407936</v>
          </cell>
          <cell r="K88">
            <v>0.36362870066520436</v>
          </cell>
          <cell r="L88">
            <v>4.4057909513752283E-2</v>
          </cell>
          <cell r="M88">
            <v>1.5245330610535845E-2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2.63269321250915E-2</v>
          </cell>
          <cell r="X88">
            <v>0.33778733334707867</v>
          </cell>
          <cell r="Y88">
            <v>9.8494478024257884E-2</v>
          </cell>
          <cell r="Z88">
            <v>0</v>
          </cell>
          <cell r="AA88">
            <v>0.11445931571407936</v>
          </cell>
          <cell r="AB88">
            <v>0.36362870066520436</v>
          </cell>
          <cell r="AC88">
            <v>4.4057909513752283E-2</v>
          </cell>
          <cell r="AD88">
            <v>1.5245330610535845E-2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MT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MT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8"/>
  <sheetViews>
    <sheetView view="pageBreakPreview" topLeftCell="A22" zoomScale="60" zoomScaleNormal="70" workbookViewId="0">
      <selection activeCell="X19" sqref="X19"/>
    </sheetView>
  </sheetViews>
  <sheetFormatPr defaultRowHeight="15.75"/>
  <cols>
    <col min="1" max="1" width="4.625" style="174" customWidth="1"/>
    <col min="2" max="2" width="1.625" style="174" customWidth="1"/>
    <col min="3" max="3" width="35.625" style="174" customWidth="1"/>
    <col min="4" max="4" width="1.5" style="176" customWidth="1"/>
    <col min="5" max="5" width="7.5" style="174" bestFit="1" customWidth="1"/>
    <col min="6" max="6" width="2.125" style="176" customWidth="1"/>
    <col min="7" max="7" width="15.25" style="176" customWidth="1"/>
    <col min="8" max="8" width="1.75" style="176" customWidth="1"/>
    <col min="9" max="9" width="12.125" style="227" bestFit="1" customWidth="1"/>
    <col min="10" max="10" width="1.75" style="176" customWidth="1"/>
    <col min="11" max="11" width="9.5" style="176" bestFit="1" customWidth="1"/>
    <col min="12" max="12" width="6.5" style="176" bestFit="1" customWidth="1"/>
    <col min="13" max="13" width="1.875" style="174" customWidth="1"/>
    <col min="14" max="14" width="10.125" style="174" bestFit="1" customWidth="1"/>
    <col min="15" max="15" width="2.25" style="174" customWidth="1"/>
    <col min="16" max="16" width="9" style="174"/>
    <col min="17" max="17" width="2.25" style="174" customWidth="1"/>
    <col min="18" max="18" width="9" style="174"/>
    <col min="19" max="19" width="2.75" style="174" customWidth="1"/>
    <col min="20" max="20" width="12.625" style="174" customWidth="1"/>
    <col min="21" max="21" width="3" style="174" customWidth="1"/>
    <col min="22" max="16384" width="9" style="174"/>
  </cols>
  <sheetData>
    <row r="1" spans="1:23">
      <c r="A1" s="111" t="s">
        <v>374</v>
      </c>
      <c r="B1" s="111"/>
      <c r="C1" s="111"/>
      <c r="D1" s="172"/>
      <c r="E1" s="111"/>
      <c r="F1" s="172"/>
      <c r="G1" s="173"/>
      <c r="H1" s="172"/>
      <c r="I1" s="220"/>
      <c r="J1" s="172"/>
      <c r="K1" s="173"/>
      <c r="L1" s="172"/>
      <c r="M1" s="175"/>
      <c r="N1" s="175"/>
      <c r="O1" s="175"/>
      <c r="P1" s="175"/>
      <c r="Q1" s="175"/>
      <c r="R1" s="175"/>
      <c r="S1" s="175"/>
      <c r="T1" s="175"/>
    </row>
    <row r="2" spans="1:23" s="55" customFormat="1">
      <c r="A2" s="111" t="s">
        <v>260</v>
      </c>
      <c r="B2" s="111"/>
      <c r="C2" s="111"/>
      <c r="D2" s="172"/>
      <c r="E2" s="111"/>
      <c r="F2" s="172"/>
      <c r="G2" s="173"/>
      <c r="H2" s="172"/>
      <c r="I2" s="220"/>
      <c r="J2" s="172"/>
      <c r="K2" s="173"/>
      <c r="L2" s="172"/>
      <c r="M2" s="175"/>
      <c r="N2" s="175"/>
      <c r="O2" s="175"/>
      <c r="P2" s="175"/>
      <c r="Q2" s="175"/>
      <c r="R2" s="175"/>
      <c r="S2" s="175"/>
      <c r="T2" s="175"/>
    </row>
    <row r="3" spans="1:23" s="55" customFormat="1">
      <c r="A3" s="111" t="s">
        <v>343</v>
      </c>
      <c r="B3" s="111"/>
      <c r="C3" s="111"/>
      <c r="D3" s="172"/>
      <c r="E3" s="111"/>
      <c r="F3" s="172"/>
      <c r="G3" s="173"/>
      <c r="H3" s="172"/>
      <c r="I3" s="220"/>
      <c r="J3" s="172"/>
      <c r="K3" s="173"/>
      <c r="L3" s="172"/>
      <c r="M3" s="175"/>
      <c r="N3" s="175"/>
      <c r="O3" s="175"/>
      <c r="P3" s="175"/>
      <c r="Q3" s="175"/>
      <c r="R3" s="175"/>
      <c r="S3" s="175"/>
      <c r="T3" s="175"/>
    </row>
    <row r="4" spans="1:23" s="55" customFormat="1">
      <c r="A4" s="111" t="s">
        <v>261</v>
      </c>
      <c r="B4" s="111"/>
      <c r="C4" s="111"/>
      <c r="D4" s="172"/>
      <c r="E4" s="111"/>
      <c r="F4" s="172"/>
      <c r="G4" s="173"/>
      <c r="H4" s="172"/>
      <c r="I4" s="220"/>
      <c r="J4" s="172"/>
      <c r="K4" s="173"/>
      <c r="L4" s="172"/>
      <c r="M4" s="175"/>
      <c r="N4" s="175"/>
      <c r="O4" s="175"/>
      <c r="P4" s="175"/>
      <c r="Q4" s="175"/>
      <c r="R4" s="175"/>
      <c r="S4" s="175"/>
      <c r="T4" s="175"/>
    </row>
    <row r="5" spans="1:23" s="55" customFormat="1">
      <c r="A5" s="111" t="s">
        <v>363</v>
      </c>
      <c r="B5" s="111"/>
      <c r="C5" s="111"/>
      <c r="D5" s="172"/>
      <c r="E5" s="111"/>
      <c r="F5" s="172"/>
      <c r="G5" s="173"/>
      <c r="H5" s="172"/>
      <c r="I5" s="220"/>
      <c r="J5" s="172"/>
      <c r="K5" s="173"/>
      <c r="L5" s="172"/>
      <c r="M5" s="175"/>
      <c r="N5" s="175"/>
      <c r="O5" s="175"/>
      <c r="P5" s="175"/>
      <c r="Q5" s="175"/>
      <c r="R5" s="175"/>
      <c r="S5" s="175"/>
      <c r="T5" s="175"/>
    </row>
    <row r="6" spans="1:23">
      <c r="A6" s="111" t="s">
        <v>364</v>
      </c>
      <c r="B6" s="111"/>
      <c r="C6" s="111"/>
      <c r="D6" s="172"/>
      <c r="E6" s="111"/>
      <c r="F6" s="172"/>
      <c r="G6" s="173"/>
      <c r="H6" s="172"/>
      <c r="I6" s="220"/>
      <c r="J6" s="172"/>
      <c r="K6" s="173"/>
      <c r="L6" s="172"/>
      <c r="M6" s="175"/>
      <c r="N6" s="175"/>
      <c r="O6" s="175"/>
      <c r="P6" s="175"/>
      <c r="Q6" s="175"/>
      <c r="R6" s="175"/>
      <c r="S6" s="175"/>
      <c r="T6" s="175"/>
    </row>
    <row r="7" spans="1:23">
      <c r="A7" s="111"/>
      <c r="B7" s="111"/>
      <c r="C7" s="111"/>
      <c r="D7" s="172"/>
      <c r="E7" s="111"/>
      <c r="F7" s="172"/>
      <c r="G7" s="173"/>
      <c r="H7" s="172"/>
      <c r="I7" s="221"/>
      <c r="J7" s="172"/>
      <c r="K7" s="216"/>
      <c r="L7" s="108"/>
    </row>
    <row r="8" spans="1:23">
      <c r="A8" s="111"/>
      <c r="B8" s="111"/>
      <c r="C8" s="111"/>
      <c r="D8" s="172"/>
      <c r="E8" s="111"/>
      <c r="F8" s="172"/>
      <c r="G8" s="172" t="s">
        <v>366</v>
      </c>
      <c r="H8" s="215"/>
      <c r="I8" s="222" t="s">
        <v>2</v>
      </c>
      <c r="J8" s="215"/>
      <c r="K8" s="108"/>
      <c r="L8" s="108"/>
    </row>
    <row r="9" spans="1:23">
      <c r="D9" s="107"/>
      <c r="E9" s="177"/>
      <c r="F9" s="107"/>
      <c r="G9" s="106" t="s">
        <v>365</v>
      </c>
      <c r="H9" s="107"/>
      <c r="I9" s="223" t="s">
        <v>438</v>
      </c>
      <c r="J9" s="107"/>
      <c r="K9" s="108"/>
      <c r="L9" s="108"/>
      <c r="N9" s="218" t="s">
        <v>368</v>
      </c>
      <c r="O9" s="218"/>
      <c r="P9" s="218"/>
      <c r="Q9" s="218"/>
      <c r="R9" s="218"/>
    </row>
    <row r="10" spans="1:23" s="110" customFormat="1">
      <c r="A10" s="110" t="s">
        <v>262</v>
      </c>
      <c r="D10" s="107"/>
      <c r="E10" s="177" t="s">
        <v>263</v>
      </c>
      <c r="F10" s="107"/>
      <c r="G10" s="107" t="s">
        <v>345</v>
      </c>
      <c r="H10" s="106"/>
      <c r="I10" s="110" t="s">
        <v>439</v>
      </c>
      <c r="J10" s="106"/>
      <c r="K10" s="164" t="s">
        <v>508</v>
      </c>
      <c r="L10" s="164"/>
      <c r="N10" s="230" t="s">
        <v>369</v>
      </c>
      <c r="O10" s="231"/>
      <c r="P10" s="230" t="s">
        <v>370</v>
      </c>
      <c r="Q10" s="231"/>
      <c r="R10" s="230" t="s">
        <v>507</v>
      </c>
      <c r="T10" s="164" t="s">
        <v>371</v>
      </c>
      <c r="V10" s="110" t="s">
        <v>447</v>
      </c>
    </row>
    <row r="11" spans="1:23" s="110" customFormat="1">
      <c r="A11" s="110" t="s">
        <v>265</v>
      </c>
      <c r="C11" s="177" t="s">
        <v>266</v>
      </c>
      <c r="E11" s="178" t="s">
        <v>265</v>
      </c>
      <c r="G11" s="109" t="s">
        <v>268</v>
      </c>
      <c r="I11" s="224" t="s">
        <v>268</v>
      </c>
      <c r="K11" s="224" t="s">
        <v>268</v>
      </c>
      <c r="L11" s="72" t="s">
        <v>311</v>
      </c>
      <c r="N11" s="224" t="s">
        <v>268</v>
      </c>
      <c r="P11" s="224" t="s">
        <v>268</v>
      </c>
      <c r="R11" s="224" t="s">
        <v>268</v>
      </c>
      <c r="T11" s="224" t="s">
        <v>268</v>
      </c>
      <c r="V11" s="224" t="s">
        <v>268</v>
      </c>
      <c r="W11" s="72" t="s">
        <v>311</v>
      </c>
    </row>
    <row r="12" spans="1:23" s="110" customFormat="1">
      <c r="C12" s="56">
        <v>-1</v>
      </c>
      <c r="D12" s="57"/>
      <c r="E12" s="56">
        <f>MIN($A12:D12)-1</f>
        <v>-2</v>
      </c>
      <c r="F12" s="57"/>
      <c r="G12" s="56">
        <v>-3</v>
      </c>
      <c r="H12" s="57"/>
      <c r="I12" s="225">
        <v>-4</v>
      </c>
      <c r="J12" s="57"/>
      <c r="K12" s="56">
        <v>-5</v>
      </c>
      <c r="L12" s="57"/>
      <c r="N12" s="56">
        <v>-6</v>
      </c>
      <c r="P12" s="56">
        <v>-7</v>
      </c>
      <c r="R12" s="56">
        <v>-8</v>
      </c>
      <c r="T12" s="56">
        <v>-9</v>
      </c>
      <c r="V12" s="315" t="s">
        <v>448</v>
      </c>
    </row>
    <row r="13" spans="1:23" s="110" customFormat="1">
      <c r="D13" s="179"/>
      <c r="F13" s="179"/>
      <c r="G13" s="179"/>
      <c r="H13" s="179"/>
      <c r="I13" s="226"/>
      <c r="J13" s="179"/>
      <c r="K13" s="107"/>
      <c r="L13" s="179"/>
      <c r="N13" s="107"/>
      <c r="P13" s="107"/>
      <c r="R13" s="107"/>
      <c r="T13" s="107"/>
    </row>
    <row r="14" spans="1:23" ht="18.75" customHeight="1">
      <c r="C14" s="110" t="s">
        <v>269</v>
      </c>
      <c r="N14" s="176"/>
      <c r="P14" s="176"/>
      <c r="R14" s="176"/>
      <c r="T14" s="176"/>
    </row>
    <row r="15" spans="1:23">
      <c r="A15" s="174">
        <v>1</v>
      </c>
      <c r="C15" s="174" t="s">
        <v>269</v>
      </c>
      <c r="E15" s="180" t="s">
        <v>270</v>
      </c>
      <c r="G15" s="59">
        <v>710370.59199999995</v>
      </c>
      <c r="H15" s="60"/>
      <c r="I15" s="228"/>
      <c r="J15" s="60"/>
      <c r="K15" s="59">
        <f>K18*$G15/SUM($G15:$G16)</f>
        <v>8380.0156360085621</v>
      </c>
      <c r="L15" s="74">
        <f>K15/$G15</f>
        <v>1.1796681521422783E-2</v>
      </c>
      <c r="N15" s="59">
        <f>'EBASettlement-2013'!N15</f>
        <v>7822.8132083930159</v>
      </c>
      <c r="P15" s="59">
        <f>'EBASettlement-2013'!P15</f>
        <v>1525.4485756366382</v>
      </c>
      <c r="R15" s="59">
        <f>'EBASettlement-2013'!K15</f>
        <v>2248.116550068919</v>
      </c>
      <c r="T15" s="59">
        <f>K15+N15+P15+R15</f>
        <v>19976.393970107136</v>
      </c>
      <c r="V15" s="59">
        <f>T15-N15-P15-R15</f>
        <v>8380.0156360085639</v>
      </c>
      <c r="W15" s="74">
        <f>V15/(G15+N15+P15+R15)</f>
        <v>1.1607200855920895E-2</v>
      </c>
    </row>
    <row r="16" spans="1:23">
      <c r="A16" s="174">
        <f>MAX(A$14:A15)+1</f>
        <v>2</v>
      </c>
      <c r="C16" s="174" t="s">
        <v>271</v>
      </c>
      <c r="E16" s="181">
        <v>2</v>
      </c>
      <c r="G16" s="59">
        <v>340.04900000000004</v>
      </c>
      <c r="H16" s="60"/>
      <c r="I16" s="228"/>
      <c r="J16" s="60"/>
      <c r="K16" s="59">
        <f>K18-K15</f>
        <v>4.0114497546783241</v>
      </c>
      <c r="L16" s="232">
        <f>K16/$G16</f>
        <v>1.1796681521422865E-2</v>
      </c>
      <c r="N16" s="59">
        <f>'EBASettlement-2013'!N16</f>
        <v>3.7447211901207993</v>
      </c>
      <c r="P16" s="59">
        <f>'EBASettlement-2013'!P16</f>
        <v>0.73022063207349674</v>
      </c>
      <c r="R16" s="59">
        <f>'EBASettlement-2013'!K16</f>
        <v>1.0761562955217414</v>
      </c>
      <c r="T16" s="59">
        <f>K16+N16+P16+R16</f>
        <v>9.5625478723943615</v>
      </c>
      <c r="V16" s="59">
        <f>T16-N16-P16-R16</f>
        <v>4.0114497546783241</v>
      </c>
      <c r="W16" s="74">
        <f t="shared" ref="W16:W18" si="0">V16/(G16+N16+P16+R16)</f>
        <v>1.1607200855920968E-2</v>
      </c>
    </row>
    <row r="17" spans="1:23">
      <c r="A17" s="174">
        <f>MAX(A$14:A16)+1</f>
        <v>3</v>
      </c>
      <c r="C17" s="182" t="s">
        <v>272</v>
      </c>
      <c r="E17" s="183" t="s">
        <v>273</v>
      </c>
      <c r="G17" s="61">
        <v>36.561</v>
      </c>
      <c r="H17" s="60"/>
      <c r="I17" s="229"/>
      <c r="J17" s="60"/>
      <c r="K17" s="61"/>
      <c r="L17" s="233"/>
      <c r="N17" s="61"/>
      <c r="P17" s="61"/>
      <c r="R17" s="61"/>
      <c r="T17" s="61"/>
      <c r="V17" s="59"/>
      <c r="W17" s="74">
        <f t="shared" si="0"/>
        <v>0</v>
      </c>
    </row>
    <row r="18" spans="1:23">
      <c r="A18" s="174">
        <f>MAX(A$14:A17)+1</f>
        <v>4</v>
      </c>
      <c r="C18" s="110" t="s">
        <v>274</v>
      </c>
      <c r="G18" s="59">
        <v>710747.20199999993</v>
      </c>
      <c r="H18" s="60"/>
      <c r="I18" s="228">
        <f>NPCAllocator!F35/1000</f>
        <v>186766.54276300658</v>
      </c>
      <c r="J18" s="60"/>
      <c r="K18" s="59">
        <f>I18/($I$51-$I$34)*($K$53-$K$34)*$K$54</f>
        <v>8384.0270857632404</v>
      </c>
      <c r="L18" s="232">
        <f>K18/$G18</f>
        <v>1.1796074697404495E-2</v>
      </c>
      <c r="N18" s="59">
        <f>SUM(N15:N17)</f>
        <v>7826.5579295831367</v>
      </c>
      <c r="P18" s="59">
        <f>SUM(P15:P17)</f>
        <v>1526.1787962687117</v>
      </c>
      <c r="R18" s="59">
        <f>SUM(R15:R17)</f>
        <v>2249.1927063644407</v>
      </c>
      <c r="T18" s="59">
        <f>SUM(T15:T17)</f>
        <v>19985.956517979532</v>
      </c>
      <c r="V18" s="59">
        <f>T18-N18-P18-R18</f>
        <v>8384.0270857632422</v>
      </c>
      <c r="W18" s="74">
        <f t="shared" si="0"/>
        <v>1.1606613368718339E-2</v>
      </c>
    </row>
    <row r="19" spans="1:23" ht="24.75" customHeight="1">
      <c r="C19" s="110" t="s">
        <v>275</v>
      </c>
      <c r="G19" s="184"/>
      <c r="H19" s="60"/>
      <c r="I19" s="228"/>
      <c r="J19" s="60"/>
      <c r="K19" s="184"/>
      <c r="L19" s="232"/>
      <c r="N19" s="184"/>
      <c r="P19" s="184"/>
      <c r="R19" s="184"/>
      <c r="T19" s="184"/>
      <c r="V19" s="59"/>
      <c r="W19" s="74"/>
    </row>
    <row r="20" spans="1:23">
      <c r="A20" s="174">
        <f>MAX(A$14:A19)+1</f>
        <v>5</v>
      </c>
      <c r="C20" s="174" t="s">
        <v>276</v>
      </c>
      <c r="E20" s="185">
        <v>6</v>
      </c>
      <c r="G20" s="59">
        <v>477241.516</v>
      </c>
      <c r="H20" s="60"/>
      <c r="I20" s="228"/>
      <c r="J20" s="60"/>
      <c r="K20" s="59">
        <f>K$23*$G20/$G$23</f>
        <v>6978.2759974345909</v>
      </c>
      <c r="L20" s="232">
        <f t="shared" ref="L20:L36" si="1">K20/$G20</f>
        <v>1.4622105922223646E-2</v>
      </c>
      <c r="N20" s="59">
        <f>'EBASettlement-2013'!N20</f>
        <v>4641.3106676857678</v>
      </c>
      <c r="P20" s="59">
        <f>'EBASettlement-2013'!P20</f>
        <v>905.05558019872467</v>
      </c>
      <c r="R20" s="59">
        <f>'EBASettlement-2013'!K20</f>
        <v>1872.0702254266487</v>
      </c>
      <c r="T20" s="59">
        <f t="shared" ref="T20:T22" si="2">K20+N20+P20+R20</f>
        <v>14396.712470745731</v>
      </c>
      <c r="V20" s="59">
        <f t="shared" ref="V20:V39" si="3">T20-N20-P20-R20</f>
        <v>6978.27599743459</v>
      </c>
      <c r="W20" s="74">
        <f t="shared" ref="W20:W38" si="4">V20/(G20+N20+P20+R20)</f>
        <v>1.4398292992485004E-2</v>
      </c>
    </row>
    <row r="21" spans="1:23">
      <c r="A21" s="174">
        <f>MAX(A$14:A20)+1</f>
        <v>6</v>
      </c>
      <c r="C21" s="174" t="s">
        <v>277</v>
      </c>
      <c r="E21" s="181" t="s">
        <v>278</v>
      </c>
      <c r="G21" s="59">
        <v>32125.921000000002</v>
      </c>
      <c r="H21" s="60"/>
      <c r="I21" s="228"/>
      <c r="J21" s="60"/>
      <c r="K21" s="59">
        <f>K$23*$G21/$G$23</f>
        <v>469.74861971098898</v>
      </c>
      <c r="L21" s="232">
        <f t="shared" si="1"/>
        <v>1.4622105922223644E-2</v>
      </c>
      <c r="N21" s="59">
        <f>'EBASettlement-2013'!N21</f>
        <v>312.43379892065019</v>
      </c>
      <c r="P21" s="59">
        <f>'EBASettlement-2013'!P21</f>
        <v>60.924590789526782</v>
      </c>
      <c r="R21" s="59">
        <f>'EBASettlement-2013'!K21</f>
        <v>126.0200090566067</v>
      </c>
      <c r="T21" s="59">
        <f t="shared" si="2"/>
        <v>969.12701847777259</v>
      </c>
      <c r="V21" s="59">
        <f t="shared" si="3"/>
        <v>469.74861971098892</v>
      </c>
      <c r="W21" s="74">
        <f t="shared" si="4"/>
        <v>1.4398292992485E-2</v>
      </c>
    </row>
    <row r="22" spans="1:23">
      <c r="A22" s="174">
        <f>MAX(A$14:A21)+1</f>
        <v>7</v>
      </c>
      <c r="C22" s="174" t="s">
        <v>279</v>
      </c>
      <c r="E22" s="181" t="s">
        <v>280</v>
      </c>
      <c r="G22" s="61">
        <v>1783.15</v>
      </c>
      <c r="H22" s="60"/>
      <c r="I22" s="229"/>
      <c r="J22" s="60"/>
      <c r="K22" s="61">
        <f>K23-K20-K21</f>
        <v>26.073408175212819</v>
      </c>
      <c r="L22" s="233">
        <f t="shared" si="1"/>
        <v>1.462210592222349E-2</v>
      </c>
      <c r="N22" s="61">
        <f>'EBASettlement-2013'!N22</f>
        <v>17.341645350661054</v>
      </c>
      <c r="P22" s="61">
        <f>'EBASettlement-2013'!P22</f>
        <v>3.381620843378947</v>
      </c>
      <c r="R22" s="61">
        <f>'EBASettlement-2013'!K22</f>
        <v>6.9947435639056579</v>
      </c>
      <c r="T22" s="61">
        <f t="shared" si="2"/>
        <v>53.791417933158478</v>
      </c>
      <c r="V22" s="59">
        <f t="shared" si="3"/>
        <v>26.073408175212819</v>
      </c>
      <c r="W22" s="74">
        <f t="shared" si="4"/>
        <v>1.4398292992484851E-2</v>
      </c>
    </row>
    <row r="23" spans="1:23">
      <c r="A23" s="174">
        <f>MAX(A$14:A22)+1</f>
        <v>8</v>
      </c>
      <c r="C23" s="186" t="s">
        <v>281</v>
      </c>
      <c r="G23" s="59">
        <v>511150.587</v>
      </c>
      <c r="H23" s="60"/>
      <c r="I23" s="228">
        <f>NPCAllocator!G35/1000</f>
        <v>166496.53372796826</v>
      </c>
      <c r="J23" s="60"/>
      <c r="K23" s="59">
        <f>I23/($I$51-$I$34)*($K$53-$K$34)*$K$54</f>
        <v>7474.0980253207927</v>
      </c>
      <c r="L23" s="232">
        <f t="shared" si="1"/>
        <v>1.4622105922223644E-2</v>
      </c>
      <c r="N23" s="59">
        <f>SUM(N20:N22)</f>
        <v>4971.0861119570791</v>
      </c>
      <c r="P23" s="59">
        <f>SUM(P20:P22)</f>
        <v>969.3617918316304</v>
      </c>
      <c r="R23" s="59">
        <f>SUM(R20:R22)</f>
        <v>2005.084978047161</v>
      </c>
      <c r="T23" s="59">
        <f>SUM(T20:T22)</f>
        <v>15419.630907156663</v>
      </c>
      <c r="V23" s="59">
        <f t="shared" si="3"/>
        <v>7474.0980253207936</v>
      </c>
      <c r="W23" s="74">
        <f t="shared" si="4"/>
        <v>1.4398292992485004E-2</v>
      </c>
    </row>
    <row r="24" spans="1:23" ht="23.1" customHeight="1">
      <c r="A24" s="174">
        <f>MAX(A$14:A23)+1</f>
        <v>9</v>
      </c>
      <c r="C24" s="182" t="s">
        <v>282</v>
      </c>
      <c r="E24" s="174">
        <v>8</v>
      </c>
      <c r="F24" s="58"/>
      <c r="G24" s="59">
        <v>154784.87599999999</v>
      </c>
      <c r="H24" s="60"/>
      <c r="I24" s="228">
        <f>NPCAllocator!H35/1000</f>
        <v>55469.240109993545</v>
      </c>
      <c r="J24" s="60"/>
      <c r="K24" s="59">
        <f>I24/($I$51-$I$34)*($K$53-$K$34)*$K$54</f>
        <v>2490.0370517593883</v>
      </c>
      <c r="L24" s="232">
        <f t="shared" si="1"/>
        <v>1.6087082382385914E-2</v>
      </c>
      <c r="N24" s="59">
        <f>'EBASettlement-2013'!N24</f>
        <v>1733.2858494280617</v>
      </c>
      <c r="P24" s="59">
        <f>'EBASettlement-2013'!P24</f>
        <v>337.99074063847206</v>
      </c>
      <c r="R24" s="59">
        <f>'EBASettlement-2013'!K24</f>
        <v>668.00513859320165</v>
      </c>
      <c r="T24" s="59">
        <f t="shared" ref="T24:T26" si="5">K24+N24+P24+R24</f>
        <v>5229.3187804191239</v>
      </c>
      <c r="V24" s="59">
        <f t="shared" si="3"/>
        <v>2490.0370517593888</v>
      </c>
      <c r="W24" s="74">
        <f t="shared" si="4"/>
        <v>1.58073344918216E-2</v>
      </c>
    </row>
    <row r="25" spans="1:23" ht="23.1" customHeight="1">
      <c r="A25" s="174">
        <f>MAX(A$14:A24)+1</f>
        <v>10</v>
      </c>
      <c r="C25" s="174" t="s">
        <v>283</v>
      </c>
      <c r="E25" s="174">
        <v>9</v>
      </c>
      <c r="G25" s="59">
        <v>247563.47500000001</v>
      </c>
      <c r="H25" s="60"/>
      <c r="I25" s="228"/>
      <c r="J25" s="60"/>
      <c r="K25" s="59">
        <f>K27*$G25/$G$27</f>
        <v>5179.6131519490882</v>
      </c>
      <c r="L25" s="232">
        <f t="shared" si="1"/>
        <v>2.0922364060163109E-2</v>
      </c>
      <c r="N25" s="59">
        <f>'EBASettlement-2013'!N25</f>
        <v>3086.2260924295929</v>
      </c>
      <c r="P25" s="59">
        <f>'EBASettlement-2013'!P25</f>
        <v>601.81408802377064</v>
      </c>
      <c r="R25" s="59">
        <f>'EBASettlement-2013'!K25</f>
        <v>1389.5408499974642</v>
      </c>
      <c r="T25" s="59">
        <f t="shared" si="5"/>
        <v>10257.194182399917</v>
      </c>
      <c r="V25" s="59">
        <f t="shared" si="3"/>
        <v>5179.6131519490882</v>
      </c>
      <c r="W25" s="74">
        <f t="shared" si="4"/>
        <v>2.0501866297316259E-2</v>
      </c>
    </row>
    <row r="26" spans="1:23">
      <c r="A26" s="174">
        <f>MAX(A$14:A25)+1</f>
        <v>11</v>
      </c>
      <c r="C26" s="174" t="s">
        <v>284</v>
      </c>
      <c r="E26" s="181" t="s">
        <v>285</v>
      </c>
      <c r="G26" s="61">
        <v>3183.89</v>
      </c>
      <c r="H26" s="60"/>
      <c r="I26" s="229"/>
      <c r="J26" s="60"/>
      <c r="K26" s="61">
        <f>K27-K25</f>
        <v>66.614505707511853</v>
      </c>
      <c r="L26" s="233">
        <f t="shared" si="1"/>
        <v>2.0922364060162839E-2</v>
      </c>
      <c r="N26" s="61">
        <f>'EBASettlement-2013'!N26</f>
        <v>39.691656426399732</v>
      </c>
      <c r="P26" s="61">
        <f>'EBASettlement-2013'!P26</f>
        <v>7.7398730031478635</v>
      </c>
      <c r="R26" s="61">
        <f>'EBASettlement-2013'!K26</f>
        <v>17.870750993854926</v>
      </c>
      <c r="T26" s="61">
        <f t="shared" si="5"/>
        <v>131.91678613091437</v>
      </c>
      <c r="V26" s="59">
        <f t="shared" si="3"/>
        <v>66.614505707511853</v>
      </c>
      <c r="W26" s="74">
        <f t="shared" si="4"/>
        <v>2.0501866297315995E-2</v>
      </c>
    </row>
    <row r="27" spans="1:23">
      <c r="A27" s="174">
        <f>MAX(A$14:A26)+1</f>
        <v>12</v>
      </c>
      <c r="C27" s="186" t="s">
        <v>286</v>
      </c>
      <c r="G27" s="59">
        <v>250747.36499999999</v>
      </c>
      <c r="H27" s="60"/>
      <c r="I27" s="228">
        <f>NPCAllocator!J35/1000</f>
        <v>116867.44235738491</v>
      </c>
      <c r="J27" s="60"/>
      <c r="K27" s="59">
        <f>I27/($I$51-$I$34)*($K$53-$K$34)*$K$54</f>
        <v>5246.2276576566001</v>
      </c>
      <c r="L27" s="232">
        <f t="shared" si="1"/>
        <v>2.0922364060163106E-2</v>
      </c>
      <c r="N27" s="59">
        <f>SUM(N25:N26)</f>
        <v>3125.9177488559926</v>
      </c>
      <c r="P27" s="59">
        <f>SUM(P25:P26)</f>
        <v>609.5539610269185</v>
      </c>
      <c r="R27" s="59">
        <f>SUM(R25:R26)</f>
        <v>1407.4116009913191</v>
      </c>
      <c r="T27" s="59">
        <f>SUM(T25:T26)</f>
        <v>10389.110968530831</v>
      </c>
      <c r="V27" s="59">
        <f t="shared" si="3"/>
        <v>5246.2276576566001</v>
      </c>
      <c r="W27" s="74">
        <f t="shared" si="4"/>
        <v>2.0501866297316255E-2</v>
      </c>
    </row>
    <row r="28" spans="1:23" ht="23.1" customHeight="1">
      <c r="A28" s="174">
        <f>MAX(A$14:A27)+1</f>
        <v>13</v>
      </c>
      <c r="C28" s="174" t="s">
        <v>287</v>
      </c>
      <c r="E28" s="181">
        <v>10</v>
      </c>
      <c r="G28" s="59">
        <v>13111.456</v>
      </c>
      <c r="H28" s="60"/>
      <c r="I28" s="228"/>
      <c r="J28" s="60"/>
      <c r="K28" s="59">
        <f>K30*$G28/$G$30</f>
        <v>205.33844682795367</v>
      </c>
      <c r="L28" s="232">
        <f t="shared" si="1"/>
        <v>1.5660994997653478E-2</v>
      </c>
      <c r="N28" s="59">
        <f>'EBASettlement-2013'!N28</f>
        <v>134.70434349279628</v>
      </c>
      <c r="P28" s="59">
        <f>'EBASettlement-2013'!P28</f>
        <v>26.267346981095272</v>
      </c>
      <c r="R28" s="59">
        <f>'EBASettlement-2013'!K28</f>
        <v>55.086384170428971</v>
      </c>
      <c r="T28" s="59">
        <f t="shared" ref="T28:T29" si="6">K28+N28+P28+R28</f>
        <v>421.39652147227423</v>
      </c>
      <c r="V28" s="59">
        <f t="shared" si="3"/>
        <v>205.3384468279537</v>
      </c>
      <c r="W28" s="74">
        <f t="shared" si="4"/>
        <v>1.5407107858067199E-2</v>
      </c>
    </row>
    <row r="29" spans="1:23">
      <c r="A29" s="174">
        <f>MAX(A$14:A28)+1</f>
        <v>14</v>
      </c>
      <c r="C29" s="174" t="s">
        <v>288</v>
      </c>
      <c r="E29" s="181" t="s">
        <v>289</v>
      </c>
      <c r="G29" s="61">
        <v>1294.0040000000001</v>
      </c>
      <c r="H29" s="60"/>
      <c r="I29" s="229"/>
      <c r="J29" s="60"/>
      <c r="K29" s="61">
        <f>K30-K28</f>
        <v>20.265390170943562</v>
      </c>
      <c r="L29" s="233">
        <f t="shared" si="1"/>
        <v>1.5660994997653454E-2</v>
      </c>
      <c r="N29" s="61">
        <f>'EBASettlement-2013'!N29</f>
        <v>13.294325153289776</v>
      </c>
      <c r="P29" s="61">
        <f>'EBASettlement-2013'!P29</f>
        <v>2.59239340489151</v>
      </c>
      <c r="R29" s="61">
        <f>'EBASettlement-2013'!K29</f>
        <v>5.4366198126334453</v>
      </c>
      <c r="T29" s="61">
        <f t="shared" si="6"/>
        <v>41.588728541758293</v>
      </c>
      <c r="V29" s="59">
        <f t="shared" si="3"/>
        <v>20.265390170943562</v>
      </c>
      <c r="W29" s="74">
        <f t="shared" si="4"/>
        <v>1.5407107858067176E-2</v>
      </c>
    </row>
    <row r="30" spans="1:23">
      <c r="A30" s="174">
        <f>MAX(A$14:A29)+1</f>
        <v>15</v>
      </c>
      <c r="C30" s="186" t="s">
        <v>290</v>
      </c>
      <c r="G30" s="59">
        <v>14405.46</v>
      </c>
      <c r="H30" s="60"/>
      <c r="I30" s="228">
        <f>NPCAllocator!K35/1000</f>
        <v>5025.6575079417371</v>
      </c>
      <c r="J30" s="60"/>
      <c r="K30" s="59">
        <f>I30/($I$51-$I$34)*($K$53-$K$34)*$K$54</f>
        <v>225.60383699889724</v>
      </c>
      <c r="L30" s="232">
        <f t="shared" si="1"/>
        <v>1.5660994997653478E-2</v>
      </c>
      <c r="N30" s="59">
        <f>SUM(N28:N29)</f>
        <v>147.99866864608606</v>
      </c>
      <c r="P30" s="59">
        <f>SUM(P28:P29)</f>
        <v>28.859740385986782</v>
      </c>
      <c r="R30" s="59">
        <f>SUM(R28:R29)</f>
        <v>60.523003983062416</v>
      </c>
      <c r="T30" s="59">
        <f>SUM(T28:T29)</f>
        <v>462.98525001403254</v>
      </c>
      <c r="V30" s="59">
        <f t="shared" si="3"/>
        <v>225.60383699889732</v>
      </c>
      <c r="W30" s="74">
        <f t="shared" si="4"/>
        <v>1.5407107858067202E-2</v>
      </c>
    </row>
    <row r="31" spans="1:23" ht="23.1" customHeight="1">
      <c r="A31" s="174">
        <f>MAX(A$14:A30)+1</f>
        <v>16</v>
      </c>
      <c r="C31" s="174" t="s">
        <v>291</v>
      </c>
      <c r="E31" s="174">
        <v>21</v>
      </c>
      <c r="G31" s="59">
        <v>374.81999999999994</v>
      </c>
      <c r="H31" s="60"/>
      <c r="I31" s="228"/>
      <c r="J31" s="60"/>
      <c r="K31" s="59">
        <f>G31*$L$25</f>
        <v>7.8421204970303355</v>
      </c>
      <c r="L31" s="232">
        <f t="shared" si="1"/>
        <v>2.0922364060163109E-2</v>
      </c>
      <c r="N31" s="59">
        <f>'EBASettlement-2013'!N31</f>
        <v>4.072489976919023</v>
      </c>
      <c r="P31" s="59">
        <f>'EBASettlement-2013'!P31</f>
        <v>0.79413554549920939</v>
      </c>
      <c r="R31" s="59">
        <f>'EBASettlement-2013'!K31</f>
        <v>2.1038147949573314</v>
      </c>
      <c r="T31" s="59">
        <f t="shared" ref="T31:T36" si="7">K31+N31+P31+R31</f>
        <v>14.8125608144059</v>
      </c>
      <c r="V31" s="59">
        <f t="shared" si="3"/>
        <v>7.8421204970303364</v>
      </c>
      <c r="W31" s="74">
        <f t="shared" si="4"/>
        <v>2.0540379404238942E-2</v>
      </c>
    </row>
    <row r="32" spans="1:23">
      <c r="A32" s="174">
        <f>MAX(A$14:A31)+1</f>
        <v>17</v>
      </c>
      <c r="C32" s="174" t="s">
        <v>292</v>
      </c>
      <c r="E32" s="185">
        <v>23</v>
      </c>
      <c r="G32" s="59">
        <v>139759.62600000002</v>
      </c>
      <c r="H32" s="60"/>
      <c r="I32" s="228">
        <f>NPCAllocator!N35/1000</f>
        <v>39440.154378784922</v>
      </c>
      <c r="J32" s="60"/>
      <c r="K32" s="59">
        <f>I32/($I$51-$I$34)*($K$53-$K$34)*$K$54</f>
        <v>1770.4847864427716</v>
      </c>
      <c r="L32" s="232">
        <f t="shared" si="1"/>
        <v>1.2668070437185996E-2</v>
      </c>
      <c r="N32" s="59">
        <f>'EBASettlement-2013'!N32</f>
        <v>1314.0005379964775</v>
      </c>
      <c r="P32" s="59">
        <f>'EBASettlement-2013'!P32</f>
        <v>256.23010490931313</v>
      </c>
      <c r="R32" s="59">
        <f>'EBASettlement-2013'!K32</f>
        <v>474.97001472697036</v>
      </c>
      <c r="T32" s="59">
        <f t="shared" si="7"/>
        <v>3815.6854440755324</v>
      </c>
      <c r="V32" s="59">
        <f t="shared" si="3"/>
        <v>1770.4847864427711</v>
      </c>
      <c r="W32" s="74">
        <f t="shared" si="4"/>
        <v>1.2485363355912774E-2</v>
      </c>
    </row>
    <row r="33" spans="1:23">
      <c r="A33" s="174">
        <f>MAX(A$14:A32)+1</f>
        <v>18</v>
      </c>
      <c r="C33" s="174" t="s">
        <v>293</v>
      </c>
      <c r="E33" s="174">
        <v>31</v>
      </c>
      <c r="G33" s="59">
        <v>5325.0529999999999</v>
      </c>
      <c r="H33" s="60"/>
      <c r="I33" s="228"/>
      <c r="J33" s="60"/>
      <c r="K33" s="59">
        <f>G33*$L$25</f>
        <v>111.41269750566374</v>
      </c>
      <c r="L33" s="232">
        <f t="shared" si="1"/>
        <v>2.0922364060163109E-2</v>
      </c>
      <c r="N33" s="59">
        <f>'EBASettlement-2013'!N33</f>
        <v>9.8983714619298127</v>
      </c>
      <c r="P33" s="59">
        <f>'EBASettlement-2013'!P33</f>
        <v>1.9301824350763135</v>
      </c>
      <c r="R33" s="59">
        <f>'EBASettlement-2013'!K33</f>
        <v>29.888814058299779</v>
      </c>
      <c r="T33" s="59">
        <f t="shared" si="7"/>
        <v>153.13006546096966</v>
      </c>
      <c r="V33" s="59">
        <f t="shared" si="3"/>
        <v>111.41269750566377</v>
      </c>
      <c r="W33" s="74">
        <f t="shared" si="4"/>
        <v>2.0759728825161396E-2</v>
      </c>
    </row>
    <row r="34" spans="1:23">
      <c r="A34" s="174">
        <f>MAX(A$14:A33)+1</f>
        <v>19</v>
      </c>
      <c r="C34" s="182" t="s">
        <v>294</v>
      </c>
      <c r="E34" s="181" t="s">
        <v>273</v>
      </c>
      <c r="G34" s="59">
        <v>26081.792012471451</v>
      </c>
      <c r="H34" s="60"/>
      <c r="I34" s="228">
        <f>NPCAllocator!O35/1000</f>
        <v>13774.886444271626</v>
      </c>
      <c r="J34" s="60"/>
      <c r="K34" s="59">
        <f>G34*K56</f>
        <v>383.60395419567595</v>
      </c>
      <c r="L34" s="232">
        <f t="shared" si="1"/>
        <v>1.4707729975465229E-2</v>
      </c>
      <c r="N34" s="59">
        <f>'EBASettlement-2013'!N34</f>
        <v>0</v>
      </c>
      <c r="P34" s="59">
        <f>'EBASettlement-2013'!P34</f>
        <v>0</v>
      </c>
      <c r="R34" s="59">
        <f>'EBASettlement-2013'!K34</f>
        <v>0</v>
      </c>
      <c r="T34" s="59">
        <f t="shared" si="7"/>
        <v>383.60395419567595</v>
      </c>
      <c r="V34" s="59">
        <f t="shared" si="3"/>
        <v>383.60395419567595</v>
      </c>
      <c r="W34" s="74">
        <f t="shared" si="4"/>
        <v>1.4707729975465229E-2</v>
      </c>
    </row>
    <row r="35" spans="1:23">
      <c r="A35" s="174">
        <f>MAX(A$14:A34)+1</f>
        <v>20</v>
      </c>
      <c r="C35" s="182" t="s">
        <v>295</v>
      </c>
      <c r="E35" s="181" t="s">
        <v>273</v>
      </c>
      <c r="G35" s="59">
        <v>30487.146696695003</v>
      </c>
      <c r="H35" s="60"/>
      <c r="I35" s="228">
        <f>NPCAllocator!P35/1000</f>
        <v>17269.071073591076</v>
      </c>
      <c r="J35" s="60"/>
      <c r="K35" s="59">
        <f>I35/($I$51-$I$34)*($K$53-$K$34)*$K$54</f>
        <v>775.2157184313204</v>
      </c>
      <c r="L35" s="232">
        <f t="shared" si="1"/>
        <v>2.5427624504964205E-2</v>
      </c>
      <c r="N35" s="59">
        <f>'EBASettlement-2013'!N35</f>
        <v>0</v>
      </c>
      <c r="P35" s="59">
        <f>'EBASettlement-2013'!P35</f>
        <v>0</v>
      </c>
      <c r="R35" s="59">
        <f>'EBASettlement-2013'!K35</f>
        <v>207.96802323260454</v>
      </c>
      <c r="T35" s="59">
        <f t="shared" si="7"/>
        <v>983.18374166392493</v>
      </c>
      <c r="V35" s="59">
        <f t="shared" si="3"/>
        <v>775.2157184313204</v>
      </c>
      <c r="W35" s="74">
        <f t="shared" si="4"/>
        <v>2.5255345207361019E-2</v>
      </c>
    </row>
    <row r="36" spans="1:23">
      <c r="A36" s="174">
        <f>MAX(A$14:A35)+1</f>
        <v>21</v>
      </c>
      <c r="C36" s="182" t="s">
        <v>296</v>
      </c>
      <c r="E36" s="181" t="s">
        <v>273</v>
      </c>
      <c r="G36" s="59">
        <v>64573.654000000002</v>
      </c>
      <c r="H36" s="60"/>
      <c r="I36" s="228"/>
      <c r="J36" s="60"/>
      <c r="K36" s="59">
        <f>G36*$L$25</f>
        <v>1351.0334976830079</v>
      </c>
      <c r="L36" s="232">
        <f t="shared" si="1"/>
        <v>2.0922364060163109E-2</v>
      </c>
      <c r="N36" s="59">
        <f>'EBASettlement-2013'!N36</f>
        <v>860.67632480632267</v>
      </c>
      <c r="P36" s="59">
        <f>'EBASettlement-2013'!P36</f>
        <v>167.83188333723291</v>
      </c>
      <c r="R36" s="59">
        <f>'EBASettlement-2013'!K36</f>
        <v>362.44332919709643</v>
      </c>
      <c r="T36" s="59">
        <f t="shared" si="7"/>
        <v>2741.9850350236597</v>
      </c>
      <c r="V36" s="59">
        <f t="shared" si="3"/>
        <v>1351.0334976830077</v>
      </c>
      <c r="W36" s="74">
        <f t="shared" si="4"/>
        <v>2.0481188156552026E-2</v>
      </c>
    </row>
    <row r="37" spans="1:23">
      <c r="A37" s="174">
        <f>MAX(A$14:A36)+1</f>
        <v>22</v>
      </c>
      <c r="C37" s="182" t="s">
        <v>272</v>
      </c>
      <c r="E37" s="183" t="s">
        <v>273</v>
      </c>
      <c r="G37" s="61">
        <v>4490.4250999999995</v>
      </c>
      <c r="H37" s="60"/>
      <c r="I37" s="229"/>
      <c r="J37" s="60"/>
      <c r="K37" s="61"/>
      <c r="L37" s="233"/>
      <c r="N37" s="61"/>
      <c r="P37" s="61"/>
      <c r="R37" s="61"/>
      <c r="T37" s="61"/>
      <c r="V37" s="59">
        <f t="shared" si="3"/>
        <v>0</v>
      </c>
      <c r="W37" s="74">
        <f t="shared" si="4"/>
        <v>0</v>
      </c>
    </row>
    <row r="38" spans="1:23">
      <c r="A38" s="174">
        <f>MAX(A$14:A37)+1</f>
        <v>23</v>
      </c>
      <c r="C38" s="110" t="s">
        <v>297</v>
      </c>
      <c r="G38" s="59">
        <v>1202180.8048091668</v>
      </c>
      <c r="H38" s="60"/>
      <c r="I38" s="59">
        <f>SUM(I20:I37)</f>
        <v>414342.98559993604</v>
      </c>
      <c r="J38" s="60"/>
      <c r="K38" s="59">
        <f>SUM(K20:K22,K24:K26,K28:K29,K31:K37)</f>
        <v>19835.559346491147</v>
      </c>
      <c r="L38" s="232">
        <f>K38/$G38</f>
        <v>1.6499647363476103E-2</v>
      </c>
      <c r="N38" s="59">
        <f>SUM(N20:N22,N24:N26,N28:N29,N31:N37)</f>
        <v>12166.93610312887</v>
      </c>
      <c r="P38" s="59">
        <f>SUM(P20:P22,P24:P26,P28:P29,P31:P37)</f>
        <v>2372.552540110129</v>
      </c>
      <c r="R38" s="59">
        <f>SUM(R20:R22,R24:R26,R28:R29,R31:R37)</f>
        <v>5218.3987176246728</v>
      </c>
      <c r="T38" s="59">
        <f>SUM(T20:T22,T24:T26,T28:T29,T31:T37)</f>
        <v>39593.446707354829</v>
      </c>
      <c r="V38" s="59">
        <f t="shared" si="3"/>
        <v>19835.559346491154</v>
      </c>
      <c r="W38" s="74">
        <f t="shared" si="4"/>
        <v>1.6232859695493686E-2</v>
      </c>
    </row>
    <row r="39" spans="1:23" ht="31.5">
      <c r="A39" s="174">
        <f>MAX(A$14:A38)+1</f>
        <v>24</v>
      </c>
      <c r="C39" s="187" t="s">
        <v>442</v>
      </c>
      <c r="G39" s="59">
        <v>1171608.5876966952</v>
      </c>
      <c r="H39" s="60"/>
      <c r="I39" s="59">
        <f>I38-I34</f>
        <v>400568.09915566444</v>
      </c>
      <c r="J39" s="60"/>
      <c r="K39" s="59">
        <f>K38-K34-K37</f>
        <v>19451.955392295473</v>
      </c>
      <c r="L39" s="232">
        <f>K39/$G39</f>
        <v>1.660277638501842E-2</v>
      </c>
      <c r="N39" s="59">
        <f>N38-N34-N37</f>
        <v>12166.93610312887</v>
      </c>
      <c r="P39" s="59">
        <f>P38-P34-P37</f>
        <v>2372.552540110129</v>
      </c>
      <c r="R39" s="59">
        <f>R38-R34-R37</f>
        <v>5218.3987176246728</v>
      </c>
      <c r="T39" s="59">
        <f>T38-T34-T37</f>
        <v>39209.842753159151</v>
      </c>
      <c r="V39" s="59">
        <f t="shared" si="3"/>
        <v>19451.955392295476</v>
      </c>
      <c r="W39" s="74">
        <f>V39/(G39+N39+P39+R39)</f>
        <v>1.6327432238141239E-2</v>
      </c>
    </row>
    <row r="40" spans="1:23" ht="28.5" customHeight="1">
      <c r="C40" s="110" t="s">
        <v>298</v>
      </c>
      <c r="G40" s="59"/>
      <c r="H40" s="60"/>
      <c r="I40" s="228"/>
      <c r="J40" s="60"/>
      <c r="K40" s="59"/>
      <c r="L40" s="232"/>
      <c r="N40" s="59"/>
      <c r="P40" s="59"/>
      <c r="R40" s="59"/>
      <c r="T40" s="59"/>
      <c r="V40" s="59"/>
      <c r="W40" s="74"/>
    </row>
    <row r="41" spans="1:23">
      <c r="A41" s="174">
        <f>MAX(A$14:A40)+1</f>
        <v>25</v>
      </c>
      <c r="C41" s="174" t="s">
        <v>299</v>
      </c>
      <c r="E41" s="174">
        <v>7</v>
      </c>
      <c r="G41" s="59">
        <v>2964.7280000000001</v>
      </c>
      <c r="H41" s="60"/>
      <c r="I41" s="228">
        <f>G41/SUM($G$41:$G$43)*NPCAllocator!$I$35/1000</f>
        <v>521.29961877979133</v>
      </c>
      <c r="J41" s="60"/>
      <c r="K41" s="59">
        <f>I41/($I$51-$I$34)*($K$53-$K$34)*$K$54</f>
        <v>23.40135475545954</v>
      </c>
      <c r="L41" s="232">
        <f t="shared" ref="L41:L46" si="8">K41/$G41</f>
        <v>7.8932552178343305E-3</v>
      </c>
      <c r="N41" s="59">
        <f>'EBASettlement-2013'!N41</f>
        <v>0</v>
      </c>
      <c r="P41" s="59">
        <f>'EBASettlement-2013'!P41</f>
        <v>0</v>
      </c>
      <c r="R41" s="59">
        <f>'EBASettlement-2013'!K41</f>
        <v>6.2779086823805104</v>
      </c>
      <c r="T41" s="59">
        <f t="shared" ref="T41:T45" si="9">K41+N41+P41+R41</f>
        <v>29.679263437840049</v>
      </c>
      <c r="V41" s="59">
        <f t="shared" ref="V41:V51" si="10">T41-N41-P41-R41</f>
        <v>23.40135475545954</v>
      </c>
      <c r="W41" s="74">
        <f t="shared" ref="W41:W50" si="11">V41/(G41+N41+P41+R41)</f>
        <v>7.8765763094149708E-3</v>
      </c>
    </row>
    <row r="42" spans="1:23">
      <c r="A42" s="174">
        <f>MAX(A$14:A41)+1</f>
        <v>26</v>
      </c>
      <c r="C42" s="174" t="s">
        <v>300</v>
      </c>
      <c r="E42" s="174">
        <v>11</v>
      </c>
      <c r="G42" s="59">
        <v>5089.2430000000004</v>
      </c>
      <c r="H42" s="60"/>
      <c r="I42" s="228">
        <f>G42/SUM($G$41:$G$43)*NPCAllocator!$I$35/1000</f>
        <v>894.86132818178316</v>
      </c>
      <c r="J42" s="60"/>
      <c r="K42" s="59">
        <f>I42/($I$51-$I$34)*($K$53-$K$34)*$K$54</f>
        <v>40.170693864576847</v>
      </c>
      <c r="L42" s="232">
        <f t="shared" si="8"/>
        <v>7.8932552178343305E-3</v>
      </c>
      <c r="N42" s="59">
        <f>'EBASettlement-2013'!N42</f>
        <v>0</v>
      </c>
      <c r="P42" s="59">
        <f>'EBASettlement-2013'!P42</f>
        <v>0</v>
      </c>
      <c r="R42" s="59">
        <f>'EBASettlement-2013'!K42</f>
        <v>10.776638806812713</v>
      </c>
      <c r="T42" s="59">
        <f t="shared" si="9"/>
        <v>50.94733267138956</v>
      </c>
      <c r="V42" s="59">
        <f t="shared" si="10"/>
        <v>40.170693864576847</v>
      </c>
      <c r="W42" s="74">
        <f t="shared" si="11"/>
        <v>7.8765763094149725E-3</v>
      </c>
    </row>
    <row r="43" spans="1:23">
      <c r="A43" s="174">
        <f>MAX(A$14:A42)+1</f>
        <v>27</v>
      </c>
      <c r="C43" s="174" t="s">
        <v>301</v>
      </c>
      <c r="E43" s="174">
        <v>12</v>
      </c>
      <c r="G43" s="59">
        <v>4058.8130000000001</v>
      </c>
      <c r="H43" s="60"/>
      <c r="I43" s="228">
        <f>G43/SUM($G$41:$G$43)*NPCAllocator!$I$35/1000</f>
        <v>713.67682620411074</v>
      </c>
      <c r="J43" s="60"/>
      <c r="K43" s="59">
        <f>I43/($I$51-$I$34)*($K$53-$K$34)*$K$54</f>
        <v>32.037246890463813</v>
      </c>
      <c r="L43" s="232">
        <f t="shared" si="8"/>
        <v>7.8932552178343305E-3</v>
      </c>
      <c r="N43" s="59">
        <f>'EBASettlement-2013'!N43</f>
        <v>0</v>
      </c>
      <c r="P43" s="59">
        <f>'EBASettlement-2013'!P43</f>
        <v>0</v>
      </c>
      <c r="R43" s="59">
        <f>'EBASettlement-2013'!K43</f>
        <v>8.5946695187075779</v>
      </c>
      <c r="T43" s="59">
        <f t="shared" si="9"/>
        <v>40.631916409171389</v>
      </c>
      <c r="V43" s="59">
        <f t="shared" si="10"/>
        <v>32.037246890463813</v>
      </c>
      <c r="W43" s="74">
        <f t="shared" si="11"/>
        <v>7.8765763094149708E-3</v>
      </c>
    </row>
    <row r="44" spans="1:23">
      <c r="A44" s="188">
        <f>MAX(A$14:A43)+1</f>
        <v>28</v>
      </c>
      <c r="B44" s="188"/>
      <c r="C44" s="188" t="s">
        <v>302</v>
      </c>
      <c r="D44" s="189"/>
      <c r="E44" s="188">
        <v>15</v>
      </c>
      <c r="F44" s="189"/>
      <c r="G44" s="62">
        <v>1144.626</v>
      </c>
      <c r="H44" s="63"/>
      <c r="I44" s="228">
        <f>NPCAllocator!M35/1000</f>
        <v>394.17625589642319</v>
      </c>
      <c r="J44" s="63"/>
      <c r="K44" s="62">
        <f>I44/($I$51-$I$34)*($K$53-$K$34)*$K$54</f>
        <v>17.694734598122803</v>
      </c>
      <c r="L44" s="234">
        <f t="shared" si="8"/>
        <v>1.5458966158485656E-2</v>
      </c>
      <c r="N44" s="62">
        <f>'EBASettlement-2013'!N44</f>
        <v>0</v>
      </c>
      <c r="P44" s="62">
        <f>'EBASettlement-2013'!P44</f>
        <v>0</v>
      </c>
      <c r="R44" s="62">
        <f>'EBASettlement-2013'!K44</f>
        <v>4.7469870495449653</v>
      </c>
      <c r="T44" s="62">
        <f t="shared" si="9"/>
        <v>22.441721647667769</v>
      </c>
      <c r="V44" s="59">
        <f t="shared" si="10"/>
        <v>17.694734598122803</v>
      </c>
      <c r="W44" s="74">
        <f t="shared" si="11"/>
        <v>1.5395119597812553E-2</v>
      </c>
    </row>
    <row r="45" spans="1:23">
      <c r="A45" s="174">
        <f>MAX(A$14:A44)+1</f>
        <v>29</v>
      </c>
      <c r="C45" s="174" t="s">
        <v>303</v>
      </c>
      <c r="E45" s="174">
        <v>15</v>
      </c>
      <c r="G45" s="61">
        <v>639.54199999999992</v>
      </c>
      <c r="H45" s="60"/>
      <c r="I45" s="229">
        <f>NPCAllocator!L35/1000</f>
        <v>150.30424006263303</v>
      </c>
      <c r="J45" s="60"/>
      <c r="K45" s="61">
        <f>I45/($I$51-$I$34)*($K$53-$K$34)*$K$54</f>
        <v>6.7472192885704505</v>
      </c>
      <c r="L45" s="233">
        <f t="shared" si="8"/>
        <v>1.055008003941954E-2</v>
      </c>
      <c r="N45" s="61">
        <f>'EBASettlement-2013'!N45</f>
        <v>6.505967287990619</v>
      </c>
      <c r="P45" s="61">
        <f>'EBASettlement-2013'!P45</f>
        <v>1.2686636211581708</v>
      </c>
      <c r="R45" s="61">
        <f>'EBASettlement-2013'!K45</f>
        <v>1.8100843731604659</v>
      </c>
      <c r="T45" s="61">
        <f t="shared" si="9"/>
        <v>16.331934570879707</v>
      </c>
      <c r="V45" s="59">
        <f t="shared" si="10"/>
        <v>6.7472192885704523</v>
      </c>
      <c r="W45" s="74">
        <f t="shared" si="11"/>
        <v>1.0394302267525754E-2</v>
      </c>
    </row>
    <row r="46" spans="1:23">
      <c r="A46" s="174">
        <f>MAX(A$14:A45)+1</f>
        <v>30</v>
      </c>
      <c r="C46" s="186" t="s">
        <v>304</v>
      </c>
      <c r="D46" s="64"/>
      <c r="F46" s="64"/>
      <c r="G46" s="59">
        <v>13896.951999999999</v>
      </c>
      <c r="H46" s="59"/>
      <c r="I46" s="228">
        <f>SUM(I41:I45)</f>
        <v>2674.3182691247421</v>
      </c>
      <c r="J46" s="59"/>
      <c r="K46" s="59">
        <f>SUM(K41:K45)</f>
        <v>120.05124939719346</v>
      </c>
      <c r="L46" s="232">
        <f t="shared" si="8"/>
        <v>8.638674825759883E-3</v>
      </c>
      <c r="N46" s="59">
        <f>SUM(N41:N45)</f>
        <v>6.505967287990619</v>
      </c>
      <c r="P46" s="59">
        <f>SUM(P41:P45)</f>
        <v>1.2686636211581708</v>
      </c>
      <c r="R46" s="59">
        <f>SUM(R41:R45)</f>
        <v>32.206288430606236</v>
      </c>
      <c r="T46" s="59">
        <f>SUM(T41:T45)</f>
        <v>160.03216873694848</v>
      </c>
      <c r="V46" s="59">
        <f t="shared" si="10"/>
        <v>120.05124939719346</v>
      </c>
      <c r="W46" s="74">
        <f t="shared" si="11"/>
        <v>8.6138930345716798E-3</v>
      </c>
    </row>
    <row r="47" spans="1:23" ht="23.1" customHeight="1">
      <c r="A47" s="174">
        <f>MAX(A$14:A46)+1</f>
        <v>31</v>
      </c>
      <c r="C47" s="182" t="s">
        <v>305</v>
      </c>
      <c r="E47" s="181" t="s">
        <v>273</v>
      </c>
      <c r="G47" s="59">
        <v>0.60099999999999998</v>
      </c>
      <c r="H47" s="60"/>
      <c r="I47" s="228">
        <v>0</v>
      </c>
      <c r="J47" s="60"/>
      <c r="K47" s="59"/>
      <c r="L47" s="232"/>
      <c r="N47" s="59"/>
      <c r="P47" s="59"/>
      <c r="R47" s="59"/>
      <c r="T47" s="59"/>
      <c r="V47" s="59">
        <f t="shared" si="10"/>
        <v>0</v>
      </c>
      <c r="W47" s="74">
        <f t="shared" si="11"/>
        <v>0</v>
      </c>
    </row>
    <row r="48" spans="1:23">
      <c r="A48" s="174">
        <f>MAX(A$14:A47)+1</f>
        <v>32</v>
      </c>
      <c r="C48" s="190" t="s">
        <v>306</v>
      </c>
      <c r="E48" s="181" t="s">
        <v>273</v>
      </c>
      <c r="G48" s="59">
        <v>17.277000000000001</v>
      </c>
      <c r="H48" s="60"/>
      <c r="I48" s="228">
        <v>0</v>
      </c>
      <c r="J48" s="60"/>
      <c r="K48" s="59"/>
      <c r="L48" s="232"/>
      <c r="N48" s="59"/>
      <c r="P48" s="59"/>
      <c r="R48" s="59"/>
      <c r="T48" s="59"/>
      <c r="V48" s="59">
        <f t="shared" si="10"/>
        <v>0</v>
      </c>
      <c r="W48" s="74">
        <f t="shared" si="11"/>
        <v>0</v>
      </c>
    </row>
    <row r="49" spans="1:23">
      <c r="A49" s="174">
        <f>MAX(A$14:A48)+1</f>
        <v>33</v>
      </c>
      <c r="C49" s="182" t="s">
        <v>272</v>
      </c>
      <c r="D49" s="65"/>
      <c r="E49" s="183" t="s">
        <v>273</v>
      </c>
      <c r="F49" s="65"/>
      <c r="G49" s="61">
        <v>4.6616400000000002</v>
      </c>
      <c r="H49" s="60"/>
      <c r="I49" s="229">
        <v>0</v>
      </c>
      <c r="J49" s="60"/>
      <c r="K49" s="61"/>
      <c r="L49" s="233"/>
      <c r="N49" s="61"/>
      <c r="P49" s="61"/>
      <c r="R49" s="61"/>
      <c r="T49" s="61"/>
      <c r="V49" s="59">
        <f t="shared" si="10"/>
        <v>0</v>
      </c>
      <c r="W49" s="74">
        <f t="shared" si="11"/>
        <v>0</v>
      </c>
    </row>
    <row r="50" spans="1:23">
      <c r="A50" s="174">
        <f>MAX(A$14:A49)+1</f>
        <v>34</v>
      </c>
      <c r="C50" s="110" t="s">
        <v>307</v>
      </c>
      <c r="E50" s="188"/>
      <c r="G50" s="61">
        <v>13919.49164</v>
      </c>
      <c r="H50" s="60"/>
      <c r="I50" s="61">
        <f>SUM(I46:I49)</f>
        <v>2674.3182691247421</v>
      </c>
      <c r="J50" s="60"/>
      <c r="K50" s="61">
        <f>SUM(K46:K49)</f>
        <v>120.05124939719346</v>
      </c>
      <c r="L50" s="233">
        <f>K50/$G50</f>
        <v>8.6246863392773626E-3</v>
      </c>
      <c r="N50" s="61">
        <f>SUM(N46:N49)</f>
        <v>6.505967287990619</v>
      </c>
      <c r="P50" s="61">
        <f>SUM(P46:P49)</f>
        <v>1.2686636211581708</v>
      </c>
      <c r="R50" s="61">
        <f>SUM(R46:R49)</f>
        <v>32.206288430606236</v>
      </c>
      <c r="T50" s="61">
        <f>SUM(T46:T49)</f>
        <v>160.03216873694848</v>
      </c>
      <c r="V50" s="59">
        <f t="shared" si="10"/>
        <v>120.05124939719346</v>
      </c>
      <c r="W50" s="74">
        <f t="shared" si="11"/>
        <v>8.5999846259858653E-3</v>
      </c>
    </row>
    <row r="51" spans="1:23" ht="27.75" customHeight="1" thickBot="1">
      <c r="A51" s="174">
        <f>MAX(A$14:A50)+1</f>
        <v>35</v>
      </c>
      <c r="C51" s="110" t="s">
        <v>308</v>
      </c>
      <c r="E51" s="188"/>
      <c r="G51" s="66">
        <v>1926847.4984491668</v>
      </c>
      <c r="H51" s="60"/>
      <c r="I51" s="217">
        <f>I18+I38+I50</f>
        <v>603783.84663206735</v>
      </c>
      <c r="J51" s="60"/>
      <c r="K51" s="217">
        <f>K18+K38+K50</f>
        <v>28339.63768165158</v>
      </c>
      <c r="L51" s="235">
        <f>K51/$G51</f>
        <v>1.4707774073693369E-2</v>
      </c>
      <c r="N51" s="217">
        <f>N18+N38+N50</f>
        <v>19999.999999999996</v>
      </c>
      <c r="O51" s="219"/>
      <c r="P51" s="217">
        <f>P18+P38+P50</f>
        <v>3899.9999999999991</v>
      </c>
      <c r="Q51" s="219"/>
      <c r="R51" s="217">
        <f>R18+R38+R50</f>
        <v>7499.7977124197196</v>
      </c>
      <c r="S51" s="219"/>
      <c r="T51" s="217">
        <f>T18+T38+T50</f>
        <v>59739.435394071312</v>
      </c>
      <c r="V51" s="59">
        <f t="shared" si="10"/>
        <v>28339.637681651599</v>
      </c>
      <c r="W51" s="74">
        <f>V51/(G51+N51+P51+R51)</f>
        <v>1.4471940156486307E-2</v>
      </c>
    </row>
    <row r="52" spans="1:23" ht="16.5" thickTop="1">
      <c r="C52" s="110"/>
      <c r="E52" s="188"/>
    </row>
    <row r="53" spans="1:23" s="176" customFormat="1">
      <c r="A53" s="174"/>
      <c r="B53" s="174"/>
      <c r="C53" s="174"/>
      <c r="E53" s="174"/>
      <c r="G53" s="62"/>
      <c r="I53" s="308" t="s">
        <v>17</v>
      </c>
      <c r="J53" s="309"/>
      <c r="K53" s="310">
        <f>K55</f>
        <v>28339.552711091001</v>
      </c>
      <c r="N53" s="304" t="s">
        <v>446</v>
      </c>
      <c r="O53" s="304"/>
      <c r="P53" s="304"/>
      <c r="Q53" s="304"/>
      <c r="R53" s="304"/>
      <c r="S53" s="304"/>
      <c r="T53" s="304"/>
    </row>
    <row r="54" spans="1:23">
      <c r="I54" s="311" t="s">
        <v>27</v>
      </c>
      <c r="J54" s="303"/>
      <c r="K54" s="312">
        <v>0.94740999999999997</v>
      </c>
      <c r="N54" s="305" t="s">
        <v>443</v>
      </c>
      <c r="O54" s="306"/>
      <c r="P54" s="306" t="s">
        <v>444</v>
      </c>
      <c r="Q54" s="306"/>
      <c r="R54" s="306" t="s">
        <v>445</v>
      </c>
      <c r="S54" s="306"/>
      <c r="T54" s="306" t="s">
        <v>509</v>
      </c>
    </row>
    <row r="55" spans="1:23">
      <c r="I55" s="313" t="s">
        <v>440</v>
      </c>
      <c r="J55" s="314"/>
      <c r="K55" s="318">
        <f>28339552.711091/1000</f>
        <v>28339.552711091001</v>
      </c>
      <c r="N55" s="307">
        <f>ROUND(N51/(T51-T35),2)</f>
        <v>0.34</v>
      </c>
      <c r="O55" s="307"/>
      <c r="P55" s="307">
        <f>ROUND(P51/(T51-T35),2)</f>
        <v>7.0000000000000007E-2</v>
      </c>
      <c r="Q55" s="307"/>
      <c r="R55" s="307">
        <f>ROUND(R51/(T51-T35),2)</f>
        <v>0.13</v>
      </c>
      <c r="S55" s="307"/>
      <c r="T55" s="307">
        <f>1-N55-P55-R55</f>
        <v>0.45999999999999985</v>
      </c>
    </row>
    <row r="56" spans="1:23">
      <c r="K56" s="232">
        <f>K53/G51</f>
        <v>1.4707729975465229E-2</v>
      </c>
      <c r="N56" s="304" t="s">
        <v>553</v>
      </c>
      <c r="O56" s="304"/>
      <c r="P56" s="304"/>
      <c r="Q56" s="304"/>
      <c r="R56" s="304"/>
      <c r="S56" s="304"/>
      <c r="T56" s="304"/>
    </row>
    <row r="57" spans="1:23">
      <c r="N57" s="305" t="s">
        <v>443</v>
      </c>
      <c r="O57" s="306"/>
      <c r="P57" s="306" t="s">
        <v>444</v>
      </c>
      <c r="Q57" s="306"/>
      <c r="R57" s="306" t="s">
        <v>445</v>
      </c>
      <c r="S57" s="306"/>
      <c r="T57" s="306" t="s">
        <v>509</v>
      </c>
    </row>
    <row r="58" spans="1:23">
      <c r="N58" s="307">
        <v>0</v>
      </c>
      <c r="O58" s="307"/>
      <c r="P58" s="307">
        <v>0</v>
      </c>
      <c r="Q58" s="307"/>
      <c r="R58" s="307">
        <f>ROUND(R35/T35,2)</f>
        <v>0.21</v>
      </c>
      <c r="S58" s="307"/>
      <c r="T58" s="307">
        <f>1-R58</f>
        <v>0.79</v>
      </c>
    </row>
  </sheetData>
  <printOptions horizontalCentered="1"/>
  <pageMargins left="0.25" right="0.25" top="1" bottom="0.5" header="0.25" footer="0.25"/>
  <pageSetup scale="58" orientation="landscape" r:id="rId1"/>
  <headerFooter scaleWithDoc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U498"/>
  <sheetViews>
    <sheetView tabSelected="1" view="pageBreakPreview" zoomScale="60" zoomScaleNormal="70" workbookViewId="0">
      <pane ySplit="9" topLeftCell="A10" activePane="bottomLeft" state="frozen"/>
      <selection pane="bottomLeft" activeCell="R77" sqref="R77"/>
    </sheetView>
  </sheetViews>
  <sheetFormatPr defaultColWidth="9" defaultRowHeight="15.75"/>
  <cols>
    <col min="1" max="1" width="33.25" style="202" customWidth="1"/>
    <col min="2" max="2" width="4.125" style="202" bestFit="1" customWidth="1"/>
    <col min="3" max="3" width="18.5" style="202" bestFit="1" customWidth="1"/>
    <col min="4" max="4" width="1" style="201" customWidth="1"/>
    <col min="5" max="5" width="11" style="202" bestFit="1" customWidth="1"/>
    <col min="6" max="6" width="2.25" style="201" customWidth="1"/>
    <col min="7" max="7" width="17.625" style="202" bestFit="1" customWidth="1"/>
    <col min="8" max="8" width="1" style="5" customWidth="1"/>
    <col min="9" max="9" width="8.125" style="115" customWidth="1"/>
    <col min="10" max="10" width="2.125" style="5" customWidth="1"/>
    <col min="11" max="11" width="14.875" style="116" bestFit="1" customWidth="1"/>
    <col min="12" max="12" width="1" style="5" customWidth="1"/>
    <col min="13" max="13" width="8.125" style="115" customWidth="1"/>
    <col min="14" max="14" width="2.125" style="5" customWidth="1"/>
    <col min="15" max="15" width="15.375" style="116" bestFit="1" customWidth="1"/>
    <col min="16" max="16" width="2.25" style="192" customWidth="1"/>
    <col min="17" max="17" width="19.75" style="192" bestFit="1" customWidth="1"/>
    <col min="18" max="18" width="13.625" style="192" bestFit="1" customWidth="1"/>
    <col min="19" max="20" width="10.5" style="192" bestFit="1" customWidth="1"/>
    <col min="21" max="21" width="12.375" style="192" bestFit="1" customWidth="1"/>
    <col min="22" max="16384" width="9" style="192"/>
  </cols>
  <sheetData>
    <row r="1" spans="1:20" ht="18.75">
      <c r="A1" s="112" t="s">
        <v>0</v>
      </c>
      <c r="B1" s="199"/>
      <c r="C1" s="199"/>
      <c r="D1" s="200"/>
      <c r="E1" s="199"/>
      <c r="F1" s="200"/>
      <c r="G1" s="236"/>
      <c r="H1" s="1"/>
      <c r="I1" s="113"/>
      <c r="J1" s="1"/>
      <c r="K1" s="114"/>
      <c r="L1" s="1"/>
      <c r="M1" s="113"/>
      <c r="N1" s="1"/>
      <c r="O1" s="114"/>
    </row>
    <row r="2" spans="1:20" ht="18.75">
      <c r="A2" s="112" t="s">
        <v>375</v>
      </c>
      <c r="B2" s="199"/>
      <c r="C2" s="199"/>
      <c r="D2" s="200"/>
      <c r="E2" s="199"/>
      <c r="F2" s="200"/>
      <c r="G2" s="236"/>
      <c r="H2" s="1"/>
      <c r="I2" s="113"/>
      <c r="J2" s="1"/>
      <c r="K2" s="114"/>
      <c r="L2" s="1"/>
      <c r="M2" s="113"/>
      <c r="N2" s="1"/>
      <c r="O2" s="114"/>
    </row>
    <row r="3" spans="1:20" ht="18.75">
      <c r="A3" s="112" t="s">
        <v>363</v>
      </c>
      <c r="B3" s="199"/>
      <c r="C3" s="199"/>
      <c r="D3" s="200"/>
      <c r="E3" s="199"/>
      <c r="F3" s="200"/>
      <c r="G3" s="236"/>
      <c r="H3" s="1"/>
      <c r="I3" s="113"/>
      <c r="J3" s="1"/>
      <c r="K3" s="114"/>
      <c r="L3" s="1"/>
      <c r="M3" s="113"/>
      <c r="N3" s="1"/>
      <c r="O3" s="114"/>
    </row>
    <row r="4" spans="1:20" ht="18.75">
      <c r="A4" s="112" t="s">
        <v>364</v>
      </c>
      <c r="B4" s="199"/>
      <c r="C4" s="199"/>
      <c r="D4" s="200"/>
      <c r="E4" s="199"/>
      <c r="F4" s="200"/>
      <c r="G4" s="236"/>
      <c r="H4" s="1"/>
      <c r="I4" s="113"/>
      <c r="J4" s="1"/>
      <c r="K4" s="114"/>
      <c r="L4" s="1"/>
      <c r="M4" s="113"/>
      <c r="N4" s="1"/>
      <c r="O4" s="114"/>
    </row>
    <row r="5" spans="1:20">
      <c r="C5" s="4"/>
    </row>
    <row r="6" spans="1:20" ht="32.25" customHeight="1">
      <c r="C6" s="6"/>
      <c r="F6" s="237"/>
      <c r="G6" s="204"/>
      <c r="J6" s="117"/>
      <c r="K6" s="118"/>
      <c r="N6" s="117"/>
      <c r="O6" s="118"/>
    </row>
    <row r="7" spans="1:20">
      <c r="C7" s="7"/>
      <c r="E7" s="203" t="s">
        <v>344</v>
      </c>
      <c r="F7" s="203"/>
      <c r="G7" s="203"/>
      <c r="I7" s="120" t="s">
        <v>339</v>
      </c>
      <c r="J7" s="119"/>
      <c r="K7" s="121"/>
      <c r="M7" s="120" t="s">
        <v>335</v>
      </c>
      <c r="N7" s="119"/>
      <c r="O7" s="121"/>
    </row>
    <row r="8" spans="1:20">
      <c r="C8" s="9" t="s">
        <v>1</v>
      </c>
      <c r="E8" s="204"/>
      <c r="F8" s="237"/>
      <c r="G8" s="204" t="s">
        <v>3</v>
      </c>
      <c r="I8" s="122"/>
      <c r="J8" s="117"/>
      <c r="K8" s="204" t="s">
        <v>3</v>
      </c>
      <c r="M8" s="122"/>
      <c r="N8" s="117"/>
      <c r="O8" s="204" t="s">
        <v>3</v>
      </c>
    </row>
    <row r="9" spans="1:20">
      <c r="C9" s="10" t="s">
        <v>4</v>
      </c>
      <c r="E9" s="205" t="s">
        <v>5</v>
      </c>
      <c r="F9" s="237"/>
      <c r="G9" s="205" t="s">
        <v>6</v>
      </c>
      <c r="I9" s="123" t="s">
        <v>5</v>
      </c>
      <c r="J9" s="117"/>
      <c r="K9" s="205" t="s">
        <v>6</v>
      </c>
      <c r="M9" s="123" t="s">
        <v>5</v>
      </c>
      <c r="N9" s="117"/>
      <c r="O9" s="205" t="s">
        <v>6</v>
      </c>
    </row>
    <row r="10" spans="1:20">
      <c r="A10" s="238" t="s">
        <v>7</v>
      </c>
      <c r="C10" s="4"/>
      <c r="K10" s="202"/>
      <c r="O10" s="202"/>
    </row>
    <row r="11" spans="1:20">
      <c r="A11" s="239" t="s">
        <v>346</v>
      </c>
      <c r="C11" s="13">
        <v>8214896.8556569237</v>
      </c>
      <c r="E11" s="14"/>
      <c r="F11" s="124"/>
      <c r="G11" s="15"/>
      <c r="I11" s="31"/>
      <c r="J11" s="124"/>
      <c r="K11" s="15"/>
      <c r="M11" s="31"/>
      <c r="N11" s="124"/>
      <c r="O11" s="15"/>
      <c r="Q11" s="168" t="s">
        <v>329</v>
      </c>
      <c r="R11" s="169">
        <v>4</v>
      </c>
      <c r="S11" s="12"/>
      <c r="T11" s="12"/>
    </row>
    <row r="12" spans="1:20">
      <c r="A12" s="239" t="s">
        <v>9</v>
      </c>
      <c r="C12" s="16">
        <v>8074116</v>
      </c>
      <c r="E12" s="14">
        <v>5</v>
      </c>
      <c r="F12" s="124"/>
      <c r="G12" s="15">
        <f t="shared" ref="G12:G13" si="0">ROUND(E12*$C12,0)</f>
        <v>40370580</v>
      </c>
      <c r="I12" s="31"/>
      <c r="J12" s="124"/>
      <c r="K12" s="15"/>
      <c r="M12" s="31"/>
      <c r="N12" s="124"/>
      <c r="O12" s="15"/>
      <c r="Q12" s="8"/>
      <c r="R12" s="2"/>
      <c r="S12" s="12" t="s">
        <v>337</v>
      </c>
      <c r="T12" s="12" t="s">
        <v>337</v>
      </c>
    </row>
    <row r="13" spans="1:20">
      <c r="A13" s="239" t="s">
        <v>10</v>
      </c>
      <c r="C13" s="16">
        <v>7581</v>
      </c>
      <c r="E13" s="14">
        <v>10</v>
      </c>
      <c r="F13" s="124"/>
      <c r="G13" s="15">
        <f t="shared" si="0"/>
        <v>75810</v>
      </c>
      <c r="I13" s="31"/>
      <c r="J13" s="124"/>
      <c r="K13" s="15"/>
      <c r="M13" s="31"/>
      <c r="N13" s="124"/>
      <c r="O13" s="15"/>
      <c r="Q13" s="88" t="s">
        <v>13</v>
      </c>
      <c r="R13" s="97"/>
      <c r="S13" s="167"/>
      <c r="T13" s="167"/>
    </row>
    <row r="14" spans="1:20">
      <c r="A14" s="239" t="s">
        <v>11</v>
      </c>
      <c r="C14" s="13">
        <v>1248801465</v>
      </c>
      <c r="E14" s="125">
        <v>8.8498000000000001</v>
      </c>
      <c r="F14" s="126" t="s">
        <v>12</v>
      </c>
      <c r="G14" s="15">
        <f>ROUND(E14*$C14/100,0)</f>
        <v>110516432</v>
      </c>
      <c r="I14" s="127">
        <v>1.7399999999999999E-2</v>
      </c>
      <c r="J14" s="126"/>
      <c r="K14" s="15">
        <f>$G14*I14</f>
        <v>1922985.9167999998</v>
      </c>
      <c r="M14" s="127">
        <f>$R$18</f>
        <v>0.03</v>
      </c>
      <c r="N14" s="126"/>
      <c r="O14" s="15">
        <f>$G14*M14</f>
        <v>3315492.96</v>
      </c>
      <c r="Q14" s="90" t="s">
        <v>15</v>
      </c>
      <c r="R14" s="18">
        <f>O27+O46+O67</f>
        <v>20016258.450000003</v>
      </c>
      <c r="S14" s="166">
        <f>G14*I14-K14</f>
        <v>0</v>
      </c>
      <c r="T14" s="167">
        <f>G14*M14-O14</f>
        <v>0</v>
      </c>
    </row>
    <row r="15" spans="1:20">
      <c r="A15" s="239" t="s">
        <v>14</v>
      </c>
      <c r="C15" s="13">
        <v>1034266177</v>
      </c>
      <c r="E15" s="125">
        <v>11.542899999999999</v>
      </c>
      <c r="F15" s="126" t="s">
        <v>12</v>
      </c>
      <c r="G15" s="15">
        <f>ROUND(E15*$C15/100,0)</f>
        <v>119384311</v>
      </c>
      <c r="I15" s="127">
        <v>1.7399999999999999E-2</v>
      </c>
      <c r="J15" s="126"/>
      <c r="K15" s="15">
        <f t="shared" ref="K15:K16" si="1">$G15*I15</f>
        <v>2077287.0114</v>
      </c>
      <c r="M15" s="127">
        <f t="shared" ref="M15:M16" si="2">$R$18</f>
        <v>0.03</v>
      </c>
      <c r="N15" s="126"/>
      <c r="O15" s="15">
        <f t="shared" ref="O15:O16" si="3">$G15*M15</f>
        <v>3581529.33</v>
      </c>
      <c r="Q15" s="90" t="s">
        <v>17</v>
      </c>
      <c r="R15" s="18">
        <f>'Exhibit-RMP(JRS-1)'!T18*1000</f>
        <v>19985956.517979532</v>
      </c>
      <c r="S15" s="166">
        <f t="shared" ref="S15:S18" si="4">G15*I15-K15</f>
        <v>0</v>
      </c>
      <c r="T15" s="167">
        <f t="shared" ref="T15:T18" si="5">G15*M15-O15</f>
        <v>0</v>
      </c>
    </row>
    <row r="16" spans="1:20">
      <c r="A16" s="239" t="s">
        <v>16</v>
      </c>
      <c r="C16" s="13">
        <v>584936494</v>
      </c>
      <c r="E16" s="125">
        <v>14.450799999999999</v>
      </c>
      <c r="F16" s="126" t="s">
        <v>12</v>
      </c>
      <c r="G16" s="15">
        <f>ROUND(E16*$C16/100,0)</f>
        <v>84528003</v>
      </c>
      <c r="I16" s="127">
        <v>1.7399999999999999E-2</v>
      </c>
      <c r="J16" s="126"/>
      <c r="K16" s="15">
        <f t="shared" si="1"/>
        <v>1470787.2522</v>
      </c>
      <c r="M16" s="127">
        <f t="shared" si="2"/>
        <v>0.03</v>
      </c>
      <c r="N16" s="126"/>
      <c r="O16" s="15">
        <f t="shared" si="3"/>
        <v>2535840.09</v>
      </c>
      <c r="Q16" s="91" t="s">
        <v>19</v>
      </c>
      <c r="R16" s="19">
        <f>R15-R14</f>
        <v>-30301.9320204705</v>
      </c>
      <c r="S16" s="166">
        <f t="shared" si="4"/>
        <v>0</v>
      </c>
      <c r="T16" s="167">
        <f t="shared" si="5"/>
        <v>0</v>
      </c>
    </row>
    <row r="17" spans="1:20">
      <c r="A17" s="239" t="s">
        <v>18</v>
      </c>
      <c r="C17" s="13">
        <v>3463390447</v>
      </c>
      <c r="E17" s="125"/>
      <c r="F17" s="126"/>
      <c r="G17" s="15"/>
      <c r="J17" s="126"/>
      <c r="K17" s="15"/>
      <c r="N17" s="126"/>
      <c r="O17" s="15"/>
      <c r="Q17" s="92"/>
      <c r="R17" s="94"/>
      <c r="S17" s="166"/>
      <c r="T17" s="167"/>
    </row>
    <row r="18" spans="1:20">
      <c r="A18" s="240" t="s">
        <v>347</v>
      </c>
      <c r="B18" s="241"/>
      <c r="C18" s="195">
        <v>1745473822</v>
      </c>
      <c r="D18" s="206"/>
      <c r="E18" s="207">
        <v>8.8498000000000001</v>
      </c>
      <c r="F18" s="242" t="s">
        <v>12</v>
      </c>
      <c r="G18" s="243">
        <f t="shared" ref="G18:G19" si="6">ROUND(E18*$C18/100,0)</f>
        <v>154470942</v>
      </c>
      <c r="I18" s="127">
        <v>1.7399999999999999E-2</v>
      </c>
      <c r="J18" s="126"/>
      <c r="K18" s="243">
        <f t="shared" ref="K18:K19" si="7">$G18*I18</f>
        <v>2687794.3907999997</v>
      </c>
      <c r="M18" s="127">
        <f t="shared" ref="M18:M19" si="8">$R$18</f>
        <v>0.03</v>
      </c>
      <c r="N18" s="126"/>
      <c r="O18" s="243">
        <f t="shared" ref="O18:O19" si="9">$G18*M18</f>
        <v>4634128.26</v>
      </c>
      <c r="Q18" s="95" t="s">
        <v>22</v>
      </c>
      <c r="R18" s="96">
        <f>ROUND(R15/SUM(G14:G19,G33:G38,G54:G59),$R$11)</f>
        <v>0.03</v>
      </c>
      <c r="S18" s="166">
        <f t="shared" si="4"/>
        <v>0</v>
      </c>
      <c r="T18" s="167">
        <f t="shared" si="5"/>
        <v>0</v>
      </c>
    </row>
    <row r="19" spans="1:20">
      <c r="A19" s="240" t="s">
        <v>348</v>
      </c>
      <c r="B19" s="241"/>
      <c r="C19" s="195">
        <v>1717916625</v>
      </c>
      <c r="D19" s="206"/>
      <c r="E19" s="207">
        <v>9.8912999999999993</v>
      </c>
      <c r="F19" s="242" t="s">
        <v>12</v>
      </c>
      <c r="G19" s="243">
        <f t="shared" si="6"/>
        <v>169924287</v>
      </c>
      <c r="I19" s="127">
        <v>1.7399999999999999E-2</v>
      </c>
      <c r="J19" s="126"/>
      <c r="K19" s="243">
        <f t="shared" si="7"/>
        <v>2956682.5937999999</v>
      </c>
      <c r="M19" s="127">
        <f t="shared" si="8"/>
        <v>0.03</v>
      </c>
      <c r="N19" s="126"/>
      <c r="O19" s="243">
        <f t="shared" si="9"/>
        <v>5097728.6099999994</v>
      </c>
    </row>
    <row r="20" spans="1:20">
      <c r="A20" s="239" t="s">
        <v>20</v>
      </c>
      <c r="C20" s="16">
        <v>133006</v>
      </c>
      <c r="E20" s="14">
        <v>7</v>
      </c>
      <c r="F20" s="124"/>
      <c r="G20" s="15">
        <f>ROUND(E20*$C20,0)</f>
        <v>931042</v>
      </c>
      <c r="I20" s="130"/>
      <c r="J20" s="20"/>
      <c r="K20" s="15"/>
      <c r="M20" s="130"/>
      <c r="N20" s="20"/>
      <c r="O20" s="15"/>
    </row>
    <row r="21" spans="1:20">
      <c r="A21" s="239" t="s">
        <v>21</v>
      </c>
      <c r="C21" s="13">
        <v>193.8556569237262</v>
      </c>
      <c r="E21" s="14">
        <v>14</v>
      </c>
      <c r="F21" s="20"/>
      <c r="G21" s="15">
        <f>ROUND(E21*$C21,0)</f>
        <v>2714</v>
      </c>
      <c r="I21" s="31"/>
      <c r="J21" s="126"/>
      <c r="K21" s="15"/>
      <c r="M21" s="31"/>
      <c r="N21" s="126"/>
      <c r="O21" s="15"/>
    </row>
    <row r="22" spans="1:20">
      <c r="A22" s="239" t="s">
        <v>23</v>
      </c>
      <c r="C22" s="13">
        <v>0</v>
      </c>
      <c r="E22" s="129">
        <v>84</v>
      </c>
      <c r="F22" s="20"/>
      <c r="G22" s="21">
        <f>ROUND(E22*$C22,0)</f>
        <v>0</v>
      </c>
      <c r="I22" s="31"/>
      <c r="J22" s="126"/>
      <c r="K22" s="21"/>
      <c r="M22" s="31"/>
      <c r="N22" s="126"/>
      <c r="O22" s="21"/>
    </row>
    <row r="23" spans="1:20">
      <c r="A23" s="244" t="s">
        <v>24</v>
      </c>
      <c r="C23" s="16">
        <v>1397931.7133073807</v>
      </c>
      <c r="E23" s="128"/>
      <c r="F23" s="126"/>
      <c r="G23" s="21"/>
      <c r="I23" s="31"/>
      <c r="J23" s="126"/>
      <c r="K23" s="21"/>
      <c r="M23" s="31"/>
      <c r="N23" s="126"/>
      <c r="O23" s="21"/>
    </row>
    <row r="24" spans="1:20">
      <c r="A24" s="244" t="s">
        <v>349</v>
      </c>
      <c r="B24" s="201"/>
      <c r="C24" s="13">
        <v>619354</v>
      </c>
      <c r="E24" s="128"/>
      <c r="F24" s="126"/>
      <c r="G24" s="15"/>
      <c r="I24" s="31"/>
      <c r="J24" s="126"/>
      <c r="K24" s="15"/>
      <c r="M24" s="31"/>
      <c r="N24" s="126"/>
      <c r="O24" s="15"/>
    </row>
    <row r="25" spans="1:20">
      <c r="A25" s="244" t="s">
        <v>350</v>
      </c>
      <c r="B25" s="201"/>
      <c r="C25" s="16">
        <v>778577.71330738068</v>
      </c>
      <c r="E25" s="128"/>
      <c r="F25" s="126"/>
      <c r="G25" s="15"/>
      <c r="I25" s="31"/>
      <c r="J25" s="126"/>
      <c r="K25" s="15"/>
      <c r="M25" s="31"/>
      <c r="N25" s="126"/>
      <c r="O25" s="15"/>
    </row>
    <row r="26" spans="1:20">
      <c r="A26" s="239" t="s">
        <v>25</v>
      </c>
      <c r="C26" s="23">
        <v>0</v>
      </c>
      <c r="G26" s="24">
        <v>0</v>
      </c>
      <c r="K26" s="24"/>
      <c r="O26" s="24"/>
    </row>
    <row r="27" spans="1:20" s="194" customFormat="1" ht="16.5" thickBot="1">
      <c r="A27" s="239" t="s">
        <v>26</v>
      </c>
      <c r="B27" s="202"/>
      <c r="C27" s="25">
        <v>6332792514.7133074</v>
      </c>
      <c r="D27" s="201"/>
      <c r="E27" s="208"/>
      <c r="F27" s="201"/>
      <c r="G27" s="26">
        <f>SUM(G12:G26)</f>
        <v>680204121</v>
      </c>
      <c r="H27" s="5"/>
      <c r="I27" s="131"/>
      <c r="J27" s="5"/>
      <c r="K27" s="26">
        <f>SUM(K12:K26)</f>
        <v>11115537.164999999</v>
      </c>
      <c r="L27" s="5"/>
      <c r="M27" s="131"/>
      <c r="N27" s="5"/>
      <c r="O27" s="26">
        <f>SUM(O12:O26)</f>
        <v>19164719.25</v>
      </c>
    </row>
    <row r="28" spans="1:20" ht="16.5" thickTop="1">
      <c r="C28" s="27"/>
      <c r="I28" s="132"/>
      <c r="J28" s="133"/>
      <c r="K28" s="202"/>
      <c r="M28" s="132"/>
      <c r="N28" s="133"/>
      <c r="O28" s="202"/>
    </row>
    <row r="29" spans="1:20">
      <c r="A29" s="238" t="s">
        <v>28</v>
      </c>
      <c r="C29" s="4"/>
      <c r="K29" s="202"/>
      <c r="O29" s="202"/>
    </row>
    <row r="30" spans="1:20">
      <c r="A30" s="239" t="s">
        <v>346</v>
      </c>
      <c r="C30" s="16">
        <v>420053.73642604146</v>
      </c>
      <c r="E30" s="14"/>
      <c r="F30" s="124"/>
      <c r="G30" s="15"/>
      <c r="K30" s="15"/>
      <c r="O30" s="15"/>
    </row>
    <row r="31" spans="1:20">
      <c r="A31" s="239" t="s">
        <v>9</v>
      </c>
      <c r="C31" s="16">
        <v>418089</v>
      </c>
      <c r="E31" s="14">
        <v>5</v>
      </c>
      <c r="F31" s="124"/>
      <c r="G31" s="15">
        <f t="shared" ref="G31:G32" si="10">ROUND(E31*$C31,0)</f>
        <v>2090445</v>
      </c>
      <c r="I31" s="31"/>
      <c r="J31" s="124"/>
      <c r="K31" s="15"/>
      <c r="M31" s="31"/>
      <c r="N31" s="124"/>
      <c r="O31" s="15"/>
    </row>
    <row r="32" spans="1:20">
      <c r="A32" s="239" t="s">
        <v>10</v>
      </c>
      <c r="C32" s="16">
        <v>240</v>
      </c>
      <c r="E32" s="14">
        <v>10</v>
      </c>
      <c r="F32" s="124"/>
      <c r="G32" s="15">
        <f t="shared" si="10"/>
        <v>2400</v>
      </c>
      <c r="I32" s="31"/>
      <c r="J32" s="124"/>
      <c r="K32" s="15"/>
      <c r="M32" s="31"/>
      <c r="N32" s="124"/>
      <c r="O32" s="15"/>
    </row>
    <row r="33" spans="1:20">
      <c r="A33" s="239" t="s">
        <v>11</v>
      </c>
      <c r="C33" s="13">
        <v>69051504.375377804</v>
      </c>
      <c r="E33" s="128">
        <v>8.8498000000000001</v>
      </c>
      <c r="F33" s="126" t="s">
        <v>12</v>
      </c>
      <c r="G33" s="15">
        <f>ROUND(E33*$C33/100,0)</f>
        <v>6110920</v>
      </c>
      <c r="I33" s="127">
        <v>1.7399999999999999E-2</v>
      </c>
      <c r="J33" s="126"/>
      <c r="K33" s="15">
        <f t="shared" ref="K33:K35" si="11">$G33*I33</f>
        <v>106330.00799999999</v>
      </c>
      <c r="M33" s="127">
        <f t="shared" ref="M33:M35" si="12">$R$18</f>
        <v>0.03</v>
      </c>
      <c r="N33" s="126"/>
      <c r="O33" s="15">
        <f t="shared" ref="O33:O35" si="13">$G33*M33</f>
        <v>183327.6</v>
      </c>
      <c r="S33" s="166">
        <f t="shared" ref="S33:S38" si="14">G33*I33-K33</f>
        <v>0</v>
      </c>
      <c r="T33" s="167">
        <f t="shared" ref="T33:T38" si="15">G33*M33-O33</f>
        <v>0</v>
      </c>
    </row>
    <row r="34" spans="1:20">
      <c r="A34" s="239" t="s">
        <v>14</v>
      </c>
      <c r="C34" s="13">
        <v>45544091.540712476</v>
      </c>
      <c r="E34" s="128">
        <v>11.542899999999999</v>
      </c>
      <c r="F34" s="126" t="s">
        <v>12</v>
      </c>
      <c r="G34" s="15">
        <f>ROUND(E34*$C34/100,0)</f>
        <v>5257109</v>
      </c>
      <c r="I34" s="127">
        <v>1.7399999999999999E-2</v>
      </c>
      <c r="J34" s="126"/>
      <c r="K34" s="15">
        <f t="shared" si="11"/>
        <v>91473.696599999996</v>
      </c>
      <c r="M34" s="127">
        <f t="shared" si="12"/>
        <v>0.03</v>
      </c>
      <c r="N34" s="126"/>
      <c r="O34" s="15">
        <f t="shared" si="13"/>
        <v>157713.26999999999</v>
      </c>
      <c r="S34" s="166">
        <f t="shared" si="14"/>
        <v>0</v>
      </c>
      <c r="T34" s="167">
        <f t="shared" si="15"/>
        <v>0</v>
      </c>
    </row>
    <row r="35" spans="1:20">
      <c r="A35" s="239" t="s">
        <v>16</v>
      </c>
      <c r="C35" s="13">
        <v>14206866.868778445</v>
      </c>
      <c r="E35" s="128">
        <v>14.450799999999999</v>
      </c>
      <c r="F35" s="126" t="s">
        <v>12</v>
      </c>
      <c r="G35" s="15">
        <f>ROUND(E35*$C35/100,0)</f>
        <v>2053006</v>
      </c>
      <c r="I35" s="127">
        <v>1.7399999999999999E-2</v>
      </c>
      <c r="J35" s="126"/>
      <c r="K35" s="15">
        <f t="shared" si="11"/>
        <v>35722.304400000001</v>
      </c>
      <c r="M35" s="127">
        <f t="shared" si="12"/>
        <v>0.03</v>
      </c>
      <c r="N35" s="126"/>
      <c r="O35" s="15">
        <f t="shared" si="13"/>
        <v>61590.18</v>
      </c>
      <c r="S35" s="166">
        <f t="shared" si="14"/>
        <v>0</v>
      </c>
      <c r="T35" s="167">
        <f t="shared" si="15"/>
        <v>0</v>
      </c>
    </row>
    <row r="36" spans="1:20">
      <c r="A36" s="239" t="s">
        <v>18</v>
      </c>
      <c r="C36" s="13">
        <v>157368786.33151239</v>
      </c>
      <c r="E36" s="128"/>
      <c r="F36" s="126"/>
      <c r="G36" s="15"/>
      <c r="J36" s="126"/>
      <c r="K36" s="15"/>
      <c r="N36" s="126"/>
      <c r="O36" s="15"/>
      <c r="S36" s="166"/>
      <c r="T36" s="167"/>
    </row>
    <row r="37" spans="1:20" s="196" customFormat="1">
      <c r="A37" s="240" t="s">
        <v>347</v>
      </c>
      <c r="B37" s="241"/>
      <c r="C37" s="195">
        <v>88771226</v>
      </c>
      <c r="D37" s="206"/>
      <c r="E37" s="207">
        <v>8.8498000000000001</v>
      </c>
      <c r="F37" s="242" t="s">
        <v>12</v>
      </c>
      <c r="G37" s="243">
        <f t="shared" ref="G37:G38" si="16">ROUND(E37*$C37/100,0)</f>
        <v>7856076</v>
      </c>
      <c r="H37" s="5"/>
      <c r="I37" s="127">
        <v>1.7399999999999999E-2</v>
      </c>
      <c r="J37" s="126"/>
      <c r="K37" s="243">
        <f t="shared" ref="K37:K38" si="17">$G37*I37</f>
        <v>136695.7224</v>
      </c>
      <c r="L37" s="5"/>
      <c r="M37" s="127">
        <f t="shared" ref="M37:M38" si="18">$R$18</f>
        <v>0.03</v>
      </c>
      <c r="N37" s="126"/>
      <c r="O37" s="243">
        <f t="shared" ref="O37:O38" si="19">$G37*M37</f>
        <v>235682.28</v>
      </c>
      <c r="S37" s="166">
        <f t="shared" si="14"/>
        <v>0</v>
      </c>
      <c r="T37" s="167">
        <f t="shared" si="15"/>
        <v>0</v>
      </c>
    </row>
    <row r="38" spans="1:20" s="196" customFormat="1">
      <c r="A38" s="240" t="s">
        <v>348</v>
      </c>
      <c r="B38" s="241"/>
      <c r="C38" s="195">
        <v>68597560.331512392</v>
      </c>
      <c r="D38" s="206"/>
      <c r="E38" s="207">
        <v>9.8912999999999993</v>
      </c>
      <c r="F38" s="242" t="s">
        <v>12</v>
      </c>
      <c r="G38" s="243">
        <f t="shared" si="16"/>
        <v>6785190</v>
      </c>
      <c r="H38" s="5"/>
      <c r="I38" s="127">
        <v>1.7399999999999999E-2</v>
      </c>
      <c r="J38" s="126"/>
      <c r="K38" s="243">
        <f t="shared" si="17"/>
        <v>118062.306</v>
      </c>
      <c r="L38" s="5"/>
      <c r="M38" s="127">
        <f t="shared" si="18"/>
        <v>0.03</v>
      </c>
      <c r="N38" s="126"/>
      <c r="O38" s="243">
        <f t="shared" si="19"/>
        <v>203555.69999999998</v>
      </c>
      <c r="S38" s="166">
        <f t="shared" si="14"/>
        <v>0</v>
      </c>
      <c r="T38" s="167">
        <f t="shared" si="15"/>
        <v>0</v>
      </c>
    </row>
    <row r="39" spans="1:20">
      <c r="A39" s="239" t="s">
        <v>20</v>
      </c>
      <c r="C39" s="16">
        <v>1724.7364260414615</v>
      </c>
      <c r="E39" s="14">
        <v>7</v>
      </c>
      <c r="F39" s="124"/>
      <c r="G39" s="15">
        <f>ROUND(E39*$C39,0)</f>
        <v>12073</v>
      </c>
      <c r="I39" s="31"/>
      <c r="J39" s="124"/>
      <c r="K39" s="15"/>
      <c r="M39" s="31"/>
      <c r="N39" s="124"/>
      <c r="O39" s="15"/>
    </row>
    <row r="40" spans="1:20">
      <c r="A40" s="239" t="s">
        <v>21</v>
      </c>
      <c r="C40" s="16">
        <v>0</v>
      </c>
      <c r="E40" s="14">
        <v>14</v>
      </c>
      <c r="F40" s="20"/>
      <c r="G40" s="15">
        <f>ROUND(E40*$C40,0)</f>
        <v>0</v>
      </c>
      <c r="I40" s="31"/>
      <c r="J40" s="124"/>
      <c r="K40" s="15"/>
      <c r="M40" s="31"/>
      <c r="N40" s="124"/>
      <c r="O40" s="15"/>
    </row>
    <row r="41" spans="1:20">
      <c r="A41" s="239" t="s">
        <v>23</v>
      </c>
      <c r="C41" s="16">
        <v>0</v>
      </c>
      <c r="E41" s="14">
        <v>84</v>
      </c>
      <c r="F41" s="20"/>
      <c r="G41" s="21">
        <f>ROUND(E41*$C41,0)</f>
        <v>0</v>
      </c>
      <c r="I41" s="135"/>
      <c r="J41" s="126"/>
      <c r="K41" s="21"/>
      <c r="M41" s="135"/>
      <c r="N41" s="126"/>
      <c r="O41" s="21"/>
    </row>
    <row r="42" spans="1:20">
      <c r="A42" s="244" t="s">
        <v>24</v>
      </c>
      <c r="B42" s="201"/>
      <c r="C42" s="16">
        <v>20530.885811121731</v>
      </c>
      <c r="E42" s="128"/>
      <c r="F42" s="126"/>
      <c r="G42" s="21"/>
      <c r="I42" s="135"/>
      <c r="J42" s="126"/>
      <c r="K42" s="21"/>
      <c r="M42" s="135"/>
      <c r="N42" s="126"/>
      <c r="O42" s="21"/>
    </row>
    <row r="43" spans="1:20" s="194" customFormat="1">
      <c r="A43" s="244" t="s">
        <v>349</v>
      </c>
      <c r="B43" s="201"/>
      <c r="C43" s="13">
        <v>8862.3543562009618</v>
      </c>
      <c r="D43" s="201"/>
      <c r="E43" s="128"/>
      <c r="F43" s="126"/>
      <c r="G43" s="15"/>
      <c r="H43" s="5"/>
      <c r="I43" s="135"/>
      <c r="J43" s="126"/>
      <c r="K43" s="15"/>
      <c r="L43" s="5"/>
      <c r="M43" s="135"/>
      <c r="N43" s="126"/>
      <c r="O43" s="15"/>
    </row>
    <row r="44" spans="1:20" s="194" customFormat="1">
      <c r="A44" s="244" t="s">
        <v>350</v>
      </c>
      <c r="B44" s="202"/>
      <c r="C44" s="16">
        <v>11668.531454920769</v>
      </c>
      <c r="D44" s="201"/>
      <c r="E44" s="128"/>
      <c r="F44" s="126"/>
      <c r="G44" s="15"/>
      <c r="H44" s="5"/>
      <c r="I44" s="135"/>
      <c r="J44" s="126"/>
      <c r="K44" s="15"/>
      <c r="L44" s="5"/>
      <c r="M44" s="135"/>
      <c r="N44" s="126"/>
      <c r="O44" s="15"/>
    </row>
    <row r="45" spans="1:20">
      <c r="A45" s="239" t="s">
        <v>25</v>
      </c>
      <c r="C45" s="23">
        <v>0</v>
      </c>
      <c r="G45" s="24">
        <v>0</v>
      </c>
      <c r="I45" s="135"/>
      <c r="J45" s="126"/>
      <c r="K45" s="24"/>
      <c r="M45" s="135"/>
      <c r="N45" s="126"/>
      <c r="O45" s="24"/>
    </row>
    <row r="46" spans="1:20" ht="16.5" thickBot="1">
      <c r="A46" s="239" t="s">
        <v>26</v>
      </c>
      <c r="C46" s="25">
        <v>286191780.00219226</v>
      </c>
      <c r="E46" s="208"/>
      <c r="G46" s="26">
        <f>SUM(G31:G45)</f>
        <v>30167219</v>
      </c>
      <c r="I46" s="131"/>
      <c r="K46" s="26">
        <f>SUM(K31:K45)</f>
        <v>488284.03739999997</v>
      </c>
      <c r="M46" s="131"/>
      <c r="O46" s="26">
        <f>SUM(O31:O45)</f>
        <v>841869.02999999991</v>
      </c>
    </row>
    <row r="47" spans="1:20" ht="16.5" thickTop="1">
      <c r="C47" s="4"/>
      <c r="I47" s="132"/>
      <c r="J47" s="133"/>
      <c r="K47" s="202"/>
      <c r="M47" s="132"/>
      <c r="N47" s="133"/>
      <c r="O47" s="202"/>
    </row>
    <row r="48" spans="1:20">
      <c r="A48" s="238" t="s">
        <v>29</v>
      </c>
      <c r="C48" s="4"/>
      <c r="K48" s="202"/>
      <c r="O48" s="202"/>
    </row>
    <row r="49" spans="1:20">
      <c r="A49" s="239" t="s">
        <v>346</v>
      </c>
      <c r="C49" s="16">
        <v>4325.407917034714</v>
      </c>
      <c r="E49" s="14"/>
      <c r="F49" s="124"/>
      <c r="G49" s="15"/>
      <c r="K49" s="15"/>
      <c r="O49" s="15"/>
    </row>
    <row r="50" spans="1:20">
      <c r="A50" s="239" t="s">
        <v>9</v>
      </c>
      <c r="C50" s="16">
        <v>4240</v>
      </c>
      <c r="E50" s="14">
        <v>5</v>
      </c>
      <c r="F50" s="124"/>
      <c r="G50" s="15">
        <f t="shared" ref="G50:G51" si="20">ROUND(E50*$C50,0)</f>
        <v>21200</v>
      </c>
      <c r="K50" s="15"/>
      <c r="O50" s="15"/>
    </row>
    <row r="51" spans="1:20">
      <c r="A51" s="239" t="s">
        <v>10</v>
      </c>
      <c r="C51" s="16">
        <v>0</v>
      </c>
      <c r="E51" s="14">
        <v>10</v>
      </c>
      <c r="F51" s="124"/>
      <c r="G51" s="15">
        <f t="shared" si="20"/>
        <v>0</v>
      </c>
      <c r="I51" s="31"/>
      <c r="J51" s="124"/>
      <c r="K51" s="15"/>
      <c r="M51" s="31"/>
      <c r="N51" s="124"/>
      <c r="O51" s="15"/>
    </row>
    <row r="52" spans="1:20">
      <c r="A52" s="239" t="s">
        <v>30</v>
      </c>
      <c r="C52" s="16">
        <v>285070.90634845069</v>
      </c>
      <c r="E52" s="136">
        <v>4.3559999999999999</v>
      </c>
      <c r="F52" s="126" t="s">
        <v>12</v>
      </c>
      <c r="G52" s="15">
        <f t="shared" ref="G52:G56" si="21">ROUND(E52*$C52/100,0)</f>
        <v>12418</v>
      </c>
      <c r="I52" s="31"/>
      <c r="J52" s="124"/>
      <c r="K52" s="15"/>
      <c r="M52" s="31"/>
      <c r="N52" s="124"/>
      <c r="O52" s="15"/>
    </row>
    <row r="53" spans="1:20">
      <c r="A53" s="239" t="s">
        <v>31</v>
      </c>
      <c r="C53" s="16">
        <v>1033061.6356108035</v>
      </c>
      <c r="E53" s="136">
        <v>-1.6334</v>
      </c>
      <c r="F53" s="126" t="s">
        <v>12</v>
      </c>
      <c r="G53" s="15">
        <f t="shared" si="21"/>
        <v>-16874</v>
      </c>
      <c r="I53" s="31"/>
      <c r="J53" s="124"/>
      <c r="K53" s="15"/>
      <c r="M53" s="31"/>
      <c r="N53" s="124"/>
      <c r="O53" s="15"/>
    </row>
    <row r="54" spans="1:20">
      <c r="A54" s="239" t="s">
        <v>11</v>
      </c>
      <c r="C54" s="16">
        <v>682832.18997281697</v>
      </c>
      <c r="E54" s="128">
        <v>8.8498000000000001</v>
      </c>
      <c r="F54" s="126" t="s">
        <v>12</v>
      </c>
      <c r="G54" s="15">
        <f t="shared" si="21"/>
        <v>60429</v>
      </c>
      <c r="I54" s="127">
        <v>1.7399999999999999E-2</v>
      </c>
      <c r="J54" s="126"/>
      <c r="K54" s="15">
        <f t="shared" ref="K54:K56" si="22">$G54*I54</f>
        <v>1051.4646</v>
      </c>
      <c r="M54" s="127">
        <f t="shared" ref="M54:M56" si="23">$R$18</f>
        <v>0.03</v>
      </c>
      <c r="N54" s="126"/>
      <c r="O54" s="15">
        <f t="shared" ref="O54:O56" si="24">$G54*M54</f>
        <v>1812.87</v>
      </c>
      <c r="S54" s="166">
        <f t="shared" ref="S54:S59" si="25">G54*I54-K54</f>
        <v>0</v>
      </c>
      <c r="T54" s="167">
        <f t="shared" ref="T54:T59" si="26">G54*M54-O54</f>
        <v>0</v>
      </c>
    </row>
    <row r="55" spans="1:20">
      <c r="A55" s="239" t="s">
        <v>14</v>
      </c>
      <c r="C55" s="16">
        <v>470837.33681360341</v>
      </c>
      <c r="E55" s="128">
        <v>11.542899999999999</v>
      </c>
      <c r="F55" s="126" t="s">
        <v>12</v>
      </c>
      <c r="G55" s="15">
        <f t="shared" si="21"/>
        <v>54348</v>
      </c>
      <c r="I55" s="127">
        <v>1.7399999999999999E-2</v>
      </c>
      <c r="J55" s="126"/>
      <c r="K55" s="15">
        <f t="shared" si="22"/>
        <v>945.65519999999992</v>
      </c>
      <c r="M55" s="127">
        <f t="shared" si="23"/>
        <v>0.03</v>
      </c>
      <c r="N55" s="126"/>
      <c r="O55" s="15">
        <f t="shared" si="24"/>
        <v>1630.4399999999998</v>
      </c>
      <c r="S55" s="166">
        <f t="shared" si="25"/>
        <v>0</v>
      </c>
      <c r="T55" s="167">
        <f t="shared" si="26"/>
        <v>0</v>
      </c>
    </row>
    <row r="56" spans="1:20">
      <c r="A56" s="239" t="s">
        <v>16</v>
      </c>
      <c r="C56" s="16">
        <v>199279.66606117907</v>
      </c>
      <c r="E56" s="128">
        <v>14.450799999999999</v>
      </c>
      <c r="F56" s="126" t="s">
        <v>12</v>
      </c>
      <c r="G56" s="15">
        <f t="shared" si="21"/>
        <v>28798</v>
      </c>
      <c r="I56" s="127">
        <v>1.7399999999999999E-2</v>
      </c>
      <c r="J56" s="126"/>
      <c r="K56" s="15">
        <f t="shared" si="22"/>
        <v>501.08519999999999</v>
      </c>
      <c r="M56" s="127">
        <f t="shared" si="23"/>
        <v>0.03</v>
      </c>
      <c r="N56" s="126"/>
      <c r="O56" s="15">
        <f t="shared" si="24"/>
        <v>863.93999999999994</v>
      </c>
      <c r="S56" s="166">
        <f t="shared" si="25"/>
        <v>0</v>
      </c>
      <c r="T56" s="167">
        <f t="shared" si="26"/>
        <v>0</v>
      </c>
    </row>
    <row r="57" spans="1:20">
      <c r="A57" s="239" t="s">
        <v>18</v>
      </c>
      <c r="C57" s="16">
        <v>1906444.3027605512</v>
      </c>
      <c r="E57" s="128"/>
      <c r="F57" s="126"/>
      <c r="G57" s="15"/>
      <c r="J57" s="126"/>
      <c r="K57" s="15"/>
      <c r="N57" s="126"/>
      <c r="O57" s="15"/>
      <c r="S57" s="166"/>
      <c r="T57" s="167"/>
    </row>
    <row r="58" spans="1:20">
      <c r="A58" s="240" t="s">
        <v>347</v>
      </c>
      <c r="B58" s="241"/>
      <c r="C58" s="195">
        <v>941736</v>
      </c>
      <c r="D58" s="206"/>
      <c r="E58" s="207">
        <v>8.8498000000000001</v>
      </c>
      <c r="F58" s="242" t="s">
        <v>12</v>
      </c>
      <c r="G58" s="243">
        <f t="shared" ref="G58:G59" si="27">ROUND(E58*$C58/100,0)</f>
        <v>83342</v>
      </c>
      <c r="I58" s="127">
        <v>1.7399999999999999E-2</v>
      </c>
      <c r="J58" s="126"/>
      <c r="K58" s="243">
        <f t="shared" ref="K58:K59" si="28">$G58*I58</f>
        <v>1450.1507999999999</v>
      </c>
      <c r="M58" s="127">
        <f t="shared" ref="M58:M59" si="29">$R$18</f>
        <v>0.03</v>
      </c>
      <c r="N58" s="126"/>
      <c r="O58" s="243">
        <f t="shared" ref="O58:O59" si="30">$G58*M58</f>
        <v>2500.2599999999998</v>
      </c>
      <c r="S58" s="166">
        <f t="shared" si="25"/>
        <v>0</v>
      </c>
      <c r="T58" s="167">
        <f t="shared" si="26"/>
        <v>0</v>
      </c>
    </row>
    <row r="59" spans="1:20">
      <c r="A59" s="240" t="s">
        <v>348</v>
      </c>
      <c r="B59" s="241"/>
      <c r="C59" s="195">
        <v>964708.30276055122</v>
      </c>
      <c r="D59" s="206"/>
      <c r="E59" s="207">
        <v>9.8912999999999993</v>
      </c>
      <c r="F59" s="242" t="s">
        <v>12</v>
      </c>
      <c r="G59" s="243">
        <f t="shared" si="27"/>
        <v>95422</v>
      </c>
      <c r="I59" s="127">
        <v>1.7399999999999999E-2</v>
      </c>
      <c r="J59" s="126"/>
      <c r="K59" s="243">
        <f t="shared" si="28"/>
        <v>1660.3427999999999</v>
      </c>
      <c r="M59" s="127">
        <f t="shared" si="29"/>
        <v>0.03</v>
      </c>
      <c r="N59" s="126"/>
      <c r="O59" s="243">
        <f t="shared" si="30"/>
        <v>2862.66</v>
      </c>
      <c r="S59" s="166">
        <f t="shared" si="25"/>
        <v>0</v>
      </c>
      <c r="T59" s="167">
        <f t="shared" si="26"/>
        <v>0</v>
      </c>
    </row>
    <row r="60" spans="1:20">
      <c r="A60" s="239" t="s">
        <v>20</v>
      </c>
      <c r="C60" s="16">
        <v>85.407917034714046</v>
      </c>
      <c r="E60" s="14">
        <v>7</v>
      </c>
      <c r="F60" s="124"/>
      <c r="G60" s="15">
        <f>ROUND(E60*$C60,0)</f>
        <v>598</v>
      </c>
      <c r="I60" s="31"/>
      <c r="J60" s="124"/>
      <c r="K60" s="15"/>
      <c r="M60" s="31"/>
      <c r="N60" s="124"/>
      <c r="O60" s="15"/>
    </row>
    <row r="61" spans="1:20" s="194" customFormat="1">
      <c r="A61" s="239" t="s">
        <v>21</v>
      </c>
      <c r="B61" s="202"/>
      <c r="C61" s="16">
        <v>0</v>
      </c>
      <c r="D61" s="201"/>
      <c r="E61" s="14">
        <v>14</v>
      </c>
      <c r="F61" s="124"/>
      <c r="G61" s="15">
        <f>ROUND(E61*$C61,0)</f>
        <v>0</v>
      </c>
      <c r="H61" s="5"/>
      <c r="I61" s="31"/>
      <c r="J61" s="124"/>
      <c r="K61" s="15"/>
      <c r="L61" s="5"/>
      <c r="M61" s="31"/>
      <c r="N61" s="124"/>
      <c r="O61" s="15"/>
    </row>
    <row r="62" spans="1:20" s="194" customFormat="1">
      <c r="A62" s="239" t="s">
        <v>23</v>
      </c>
      <c r="B62" s="202"/>
      <c r="C62" s="16">
        <v>0</v>
      </c>
      <c r="D62" s="201"/>
      <c r="E62" s="14">
        <v>84</v>
      </c>
      <c r="F62" s="124"/>
      <c r="G62" s="15">
        <f>ROUND(E62*$C62,0)</f>
        <v>0</v>
      </c>
      <c r="H62" s="5"/>
      <c r="I62" s="31"/>
      <c r="J62" s="124"/>
      <c r="K62" s="15"/>
      <c r="L62" s="5"/>
      <c r="M62" s="31"/>
      <c r="N62" s="124"/>
      <c r="O62" s="15"/>
    </row>
    <row r="63" spans="1:20" s="194" customFormat="1">
      <c r="A63" s="244" t="s">
        <v>24</v>
      </c>
      <c r="B63" s="201"/>
      <c r="C63" s="16">
        <v>581.68889166537042</v>
      </c>
      <c r="D63" s="201"/>
      <c r="E63" s="134"/>
      <c r="F63" s="126"/>
      <c r="G63" s="21"/>
      <c r="H63" s="5"/>
      <c r="I63" s="135"/>
      <c r="J63" s="126"/>
      <c r="K63" s="21"/>
      <c r="L63" s="5"/>
      <c r="M63" s="135"/>
      <c r="N63" s="126"/>
      <c r="O63" s="21"/>
    </row>
    <row r="64" spans="1:20">
      <c r="A64" s="244" t="s">
        <v>349</v>
      </c>
      <c r="B64" s="201"/>
      <c r="C64" s="16">
        <v>235.90156091825406</v>
      </c>
      <c r="E64" s="134"/>
      <c r="F64" s="126"/>
      <c r="G64" s="15"/>
      <c r="I64" s="135"/>
      <c r="J64" s="126"/>
      <c r="K64" s="15"/>
      <c r="M64" s="135"/>
      <c r="N64" s="126"/>
      <c r="O64" s="15"/>
    </row>
    <row r="65" spans="1:20">
      <c r="A65" s="244" t="s">
        <v>350</v>
      </c>
      <c r="C65" s="16">
        <v>345.78733074711636</v>
      </c>
      <c r="E65" s="134"/>
      <c r="F65" s="126"/>
      <c r="G65" s="15"/>
      <c r="I65" s="135"/>
      <c r="J65" s="126"/>
      <c r="K65" s="15"/>
      <c r="M65" s="135"/>
      <c r="N65" s="126"/>
      <c r="O65" s="15"/>
    </row>
    <row r="66" spans="1:20">
      <c r="A66" s="239" t="s">
        <v>25</v>
      </c>
      <c r="C66" s="23">
        <v>0</v>
      </c>
      <c r="G66" s="24">
        <v>0</v>
      </c>
      <c r="I66" s="135"/>
      <c r="J66" s="126"/>
      <c r="K66" s="24"/>
      <c r="M66" s="135"/>
      <c r="N66" s="126"/>
      <c r="O66" s="24"/>
    </row>
    <row r="67" spans="1:20" ht="16.5" thickBot="1">
      <c r="A67" s="239" t="s">
        <v>26</v>
      </c>
      <c r="C67" s="25">
        <v>3259975.1844998165</v>
      </c>
      <c r="E67" s="209"/>
      <c r="G67" s="28">
        <f>SUM(G50:G66)</f>
        <v>339681</v>
      </c>
      <c r="I67" s="209"/>
      <c r="J67" s="126"/>
      <c r="K67" s="28">
        <f>SUM(K50:K66)</f>
        <v>5608.6985999999997</v>
      </c>
      <c r="M67" s="209"/>
      <c r="N67" s="126"/>
      <c r="O67" s="28">
        <f>SUM(O50:O66)</f>
        <v>9670.1699999999983</v>
      </c>
    </row>
    <row r="68" spans="1:20" ht="16.5" thickTop="1">
      <c r="C68" s="4"/>
      <c r="I68" s="127"/>
      <c r="K68" s="202"/>
      <c r="M68" s="127"/>
      <c r="O68" s="202"/>
    </row>
    <row r="69" spans="1:20">
      <c r="A69" s="238" t="s">
        <v>45</v>
      </c>
      <c r="C69" s="4"/>
      <c r="I69" s="127"/>
      <c r="K69" s="202"/>
      <c r="M69" s="127"/>
      <c r="O69" s="202"/>
    </row>
    <row r="70" spans="1:20">
      <c r="A70" s="239" t="s">
        <v>8</v>
      </c>
      <c r="C70" s="4">
        <v>161759</v>
      </c>
      <c r="E70" s="14">
        <v>54</v>
      </c>
      <c r="F70" s="124"/>
      <c r="G70" s="15">
        <f>ROUND(E70*$C70,0)</f>
        <v>8734986</v>
      </c>
      <c r="I70" s="31"/>
      <c r="J70" s="133"/>
      <c r="K70" s="15"/>
      <c r="M70" s="31"/>
      <c r="N70" s="133"/>
      <c r="O70" s="15"/>
      <c r="Q70" s="99" t="s">
        <v>372</v>
      </c>
      <c r="R70" s="100"/>
      <c r="S70" s="166"/>
      <c r="T70" s="167"/>
    </row>
    <row r="71" spans="1:20">
      <c r="A71" s="239" t="s">
        <v>41</v>
      </c>
      <c r="C71" s="4">
        <v>7236066</v>
      </c>
      <c r="E71" s="14">
        <v>18.12</v>
      </c>
      <c r="F71" s="124"/>
      <c r="G71" s="15">
        <f>ROUND(E71*$C71,0)</f>
        <v>131117516</v>
      </c>
      <c r="I71" s="31">
        <v>1.5800000000000002E-2</v>
      </c>
      <c r="J71" s="124"/>
      <c r="K71" s="15">
        <f t="shared" ref="K71" si="31">$G71*I71</f>
        <v>2071656.7528000001</v>
      </c>
      <c r="M71" s="31">
        <f>$R$74</f>
        <v>3.0700000000000002E-2</v>
      </c>
      <c r="N71" s="124"/>
      <c r="O71" s="15">
        <f t="shared" ref="O71:O72" si="32">$G71*M71</f>
        <v>4025307.7412</v>
      </c>
      <c r="Q71" s="89" t="s">
        <v>15</v>
      </c>
      <c r="R71" s="17">
        <f>O79+O91</f>
        <v>14454720.951200001</v>
      </c>
      <c r="S71" s="166">
        <f t="shared" ref="S71" si="33">G71*I71-K71</f>
        <v>0</v>
      </c>
      <c r="T71" s="167">
        <f t="shared" ref="T71" si="34">G71*M71-O71</f>
        <v>0</v>
      </c>
    </row>
    <row r="72" spans="1:20">
      <c r="A72" s="239" t="s">
        <v>42</v>
      </c>
      <c r="C72" s="4">
        <v>8823903</v>
      </c>
      <c r="E72" s="14">
        <v>14.54</v>
      </c>
      <c r="F72" s="124"/>
      <c r="G72" s="15">
        <f>ROUND(E72*$C72,0)</f>
        <v>128299550</v>
      </c>
      <c r="I72" s="31">
        <v>1.5800000000000002E-2</v>
      </c>
      <c r="J72" s="124"/>
      <c r="K72" s="15">
        <f t="shared" ref="K72" si="35">$G72*I72</f>
        <v>2027132.8900000001</v>
      </c>
      <c r="M72" s="31">
        <f>$R$74</f>
        <v>3.0700000000000002E-2</v>
      </c>
      <c r="N72" s="124"/>
      <c r="O72" s="15">
        <f t="shared" si="32"/>
        <v>3938796.1850000001</v>
      </c>
      <c r="Q72" s="90" t="s">
        <v>17</v>
      </c>
      <c r="R72" s="18">
        <f>('Exhibit-RMP(JRS-1)'!T20+'Exhibit-RMP(JRS-1)'!T22)*1000</f>
        <v>14450503.88867889</v>
      </c>
      <c r="S72" s="166">
        <f t="shared" ref="S72:S76" si="36">G72*I72-K72</f>
        <v>0</v>
      </c>
      <c r="T72" s="167">
        <f t="shared" ref="T72:T76" si="37">G72*M72-O72</f>
        <v>0</v>
      </c>
    </row>
    <row r="73" spans="1:20">
      <c r="A73" s="239" t="s">
        <v>35</v>
      </c>
      <c r="C73" s="4">
        <v>612787</v>
      </c>
      <c r="E73" s="14">
        <v>-0.93</v>
      </c>
      <c r="F73" s="124"/>
      <c r="G73" s="15">
        <f>ROUND(E73*$C73,0)</f>
        <v>-569892</v>
      </c>
      <c r="I73" s="31"/>
      <c r="J73" s="124"/>
      <c r="K73" s="15"/>
      <c r="M73" s="31"/>
      <c r="N73" s="124"/>
      <c r="O73" s="15"/>
      <c r="Q73" s="91" t="s">
        <v>19</v>
      </c>
      <c r="R73" s="19">
        <f>R72-R71</f>
        <v>-4217.0625211112201</v>
      </c>
      <c r="S73" s="166"/>
      <c r="T73" s="167"/>
    </row>
    <row r="74" spans="1:20">
      <c r="A74" s="239" t="s">
        <v>32</v>
      </c>
      <c r="C74" s="4">
        <v>5746434278.8172226</v>
      </c>
      <c r="E74" s="136"/>
      <c r="F74" s="126"/>
      <c r="G74" s="15"/>
      <c r="I74" s="31"/>
      <c r="J74" s="126"/>
      <c r="K74" s="15"/>
      <c r="M74" s="31"/>
      <c r="N74" s="126"/>
      <c r="O74" s="15"/>
      <c r="Q74" s="95" t="s">
        <v>22</v>
      </c>
      <c r="R74" s="96">
        <f>ROUND(R72/SUM(G71:G72,G75:G76,G83:G84,G87:G88),$R$11)+R77</f>
        <v>3.0700000000000002E-2</v>
      </c>
      <c r="S74" s="166"/>
      <c r="T74" s="167"/>
    </row>
    <row r="75" spans="1:20">
      <c r="A75" s="239" t="s">
        <v>46</v>
      </c>
      <c r="C75" s="4">
        <v>2584270137</v>
      </c>
      <c r="E75" s="30">
        <v>3.8127</v>
      </c>
      <c r="F75" s="126" t="s">
        <v>12</v>
      </c>
      <c r="G75" s="15">
        <f>ROUND(E75*$C75/100,0)</f>
        <v>98530468</v>
      </c>
      <c r="I75" s="31">
        <v>1.5800000000000002E-2</v>
      </c>
      <c r="J75" s="124"/>
      <c r="K75" s="15">
        <f t="shared" ref="K75:K76" si="38">$G75*I75</f>
        <v>1556781.3944000001</v>
      </c>
      <c r="M75" s="31">
        <f t="shared" ref="M75:M76" si="39">$R$74</f>
        <v>3.0700000000000002E-2</v>
      </c>
      <c r="N75" s="124"/>
      <c r="O75" s="15">
        <f t="shared" ref="O75:O76" si="40">$G75*M75</f>
        <v>3024885.3676</v>
      </c>
      <c r="Q75" s="32" t="s">
        <v>48</v>
      </c>
      <c r="R75" s="33">
        <f>'Table A'!S51</f>
        <v>60203.284102618039</v>
      </c>
      <c r="S75" s="166">
        <f t="shared" si="36"/>
        <v>0</v>
      </c>
      <c r="T75" s="167">
        <f t="shared" si="37"/>
        <v>0</v>
      </c>
    </row>
    <row r="76" spans="1:20">
      <c r="A76" s="239" t="s">
        <v>47</v>
      </c>
      <c r="C76" s="4">
        <v>3162164141.8172226</v>
      </c>
      <c r="E76" s="30">
        <v>3.5143</v>
      </c>
      <c r="F76" s="126" t="s">
        <v>12</v>
      </c>
      <c r="G76" s="15">
        <f>ROUND(E76*$C76/100,0)</f>
        <v>111127934</v>
      </c>
      <c r="I76" s="31">
        <v>1.5800000000000002E-2</v>
      </c>
      <c r="J76" s="124"/>
      <c r="K76" s="15">
        <f t="shared" si="38"/>
        <v>1755821.3572000002</v>
      </c>
      <c r="M76" s="31">
        <f t="shared" si="39"/>
        <v>3.0700000000000002E-2</v>
      </c>
      <c r="N76" s="124"/>
      <c r="O76" s="15">
        <f t="shared" si="40"/>
        <v>3411627.5738000004</v>
      </c>
      <c r="Q76" s="32" t="s">
        <v>49</v>
      </c>
      <c r="R76" s="33">
        <f>'Exhibit-RMP(JRS-1)'!T51</f>
        <v>59739.435394071312</v>
      </c>
      <c r="S76" s="166">
        <f t="shared" si="36"/>
        <v>0</v>
      </c>
      <c r="T76" s="167">
        <f t="shared" si="37"/>
        <v>0</v>
      </c>
    </row>
    <row r="77" spans="1:20">
      <c r="A77" s="239" t="s">
        <v>40</v>
      </c>
      <c r="C77" s="4">
        <v>0</v>
      </c>
      <c r="E77" s="14">
        <v>648</v>
      </c>
      <c r="F77" s="124"/>
      <c r="G77" s="15">
        <f>ROUND(E77*$C77,0)</f>
        <v>0</v>
      </c>
      <c r="I77" s="31"/>
      <c r="J77" s="124"/>
      <c r="K77" s="15"/>
      <c r="M77" s="31"/>
      <c r="N77" s="124"/>
      <c r="O77" s="15"/>
      <c r="Q77" s="34" t="s">
        <v>27</v>
      </c>
      <c r="R77" s="35">
        <v>0</v>
      </c>
      <c r="S77" s="166"/>
      <c r="T77" s="167"/>
    </row>
    <row r="78" spans="1:20">
      <c r="A78" s="239" t="s">
        <v>25</v>
      </c>
      <c r="C78" s="23">
        <v>0</v>
      </c>
      <c r="G78" s="24">
        <v>0</v>
      </c>
      <c r="K78" s="24"/>
      <c r="O78" s="24"/>
    </row>
    <row r="79" spans="1:20" ht="16.5" thickBot="1">
      <c r="A79" s="239" t="s">
        <v>26</v>
      </c>
      <c r="C79" s="29">
        <v>5746434278.8172226</v>
      </c>
      <c r="E79" s="209"/>
      <c r="G79" s="28">
        <f>SUM(G70:G78)</f>
        <v>477240562</v>
      </c>
      <c r="I79" s="137"/>
      <c r="K79" s="28">
        <f>SUM(K70:K78)</f>
        <v>7411392.3944000006</v>
      </c>
      <c r="M79" s="137"/>
      <c r="O79" s="28">
        <f>SUM(O70:O78)</f>
        <v>14400616.867600001</v>
      </c>
    </row>
    <row r="80" spans="1:20" ht="16.5" thickTop="1">
      <c r="C80" s="4"/>
      <c r="I80" s="132"/>
      <c r="J80" s="133"/>
      <c r="K80" s="202"/>
      <c r="M80" s="132"/>
      <c r="N80" s="133"/>
      <c r="O80" s="202"/>
    </row>
    <row r="81" spans="1:20">
      <c r="A81" s="238" t="s">
        <v>351</v>
      </c>
      <c r="C81" s="4"/>
      <c r="D81" s="20"/>
      <c r="I81" s="130"/>
      <c r="J81" s="139"/>
      <c r="K81" s="202"/>
      <c r="M81" s="130"/>
      <c r="N81" s="139"/>
      <c r="O81" s="202"/>
    </row>
    <row r="82" spans="1:20">
      <c r="A82" s="239" t="s">
        <v>8</v>
      </c>
      <c r="C82" s="4">
        <v>384</v>
      </c>
      <c r="E82" s="14">
        <v>54</v>
      </c>
      <c r="F82" s="124"/>
      <c r="G82" s="15">
        <f>ROUND(E82*$C82,0)</f>
        <v>20736</v>
      </c>
      <c r="K82" s="15"/>
      <c r="O82" s="15"/>
    </row>
    <row r="83" spans="1:20">
      <c r="A83" s="239" t="s">
        <v>50</v>
      </c>
      <c r="C83" s="4">
        <v>28701</v>
      </c>
      <c r="E83" s="14">
        <v>18.12</v>
      </c>
      <c r="F83" s="124"/>
      <c r="G83" s="15">
        <f>ROUND(E83*$C83,0)</f>
        <v>520062</v>
      </c>
      <c r="I83" s="31">
        <v>1.5800000000000002E-2</v>
      </c>
      <c r="J83" s="124"/>
      <c r="K83" s="15">
        <f t="shared" ref="K83:K84" si="41">$G83*I83</f>
        <v>8216.9796000000006</v>
      </c>
      <c r="M83" s="31">
        <f t="shared" ref="M83:M84" si="42">$R$74</f>
        <v>3.0700000000000002E-2</v>
      </c>
      <c r="N83" s="124"/>
      <c r="O83" s="15">
        <f t="shared" ref="O83:O84" si="43">$G83*M83</f>
        <v>15965.903400000001</v>
      </c>
    </row>
    <row r="84" spans="1:20">
      <c r="A84" s="239" t="s">
        <v>51</v>
      </c>
      <c r="C84" s="4">
        <v>32100</v>
      </c>
      <c r="E84" s="14">
        <v>14.54</v>
      </c>
      <c r="F84" s="124"/>
      <c r="G84" s="15">
        <f>ROUND(E84*$C84,0)</f>
        <v>466734</v>
      </c>
      <c r="I84" s="31">
        <v>1.5800000000000002E-2</v>
      </c>
      <c r="J84" s="124"/>
      <c r="K84" s="15">
        <f t="shared" si="41"/>
        <v>7374.3972000000003</v>
      </c>
      <c r="M84" s="31">
        <f t="shared" si="42"/>
        <v>3.0700000000000002E-2</v>
      </c>
      <c r="N84" s="124"/>
      <c r="O84" s="15">
        <f t="shared" si="43"/>
        <v>14328.7338</v>
      </c>
    </row>
    <row r="85" spans="1:20">
      <c r="A85" s="239" t="s">
        <v>35</v>
      </c>
      <c r="C85" s="4">
        <v>0</v>
      </c>
      <c r="E85" s="14">
        <v>-0.93</v>
      </c>
      <c r="F85" s="124"/>
      <c r="G85" s="15">
        <f>ROUND(E85*$C85,0)</f>
        <v>0</v>
      </c>
      <c r="I85" s="31"/>
      <c r="J85" s="124"/>
      <c r="K85" s="15"/>
      <c r="M85" s="31"/>
      <c r="N85" s="124"/>
      <c r="O85" s="15"/>
    </row>
    <row r="86" spans="1:20">
      <c r="A86" s="239" t="s">
        <v>32</v>
      </c>
      <c r="C86" s="4">
        <v>21133170</v>
      </c>
      <c r="E86" s="30"/>
      <c r="F86" s="126"/>
      <c r="G86" s="15"/>
      <c r="I86" s="31"/>
      <c r="J86" s="126"/>
      <c r="K86" s="15"/>
      <c r="M86" s="31"/>
      <c r="N86" s="126"/>
      <c r="O86" s="15"/>
    </row>
    <row r="87" spans="1:20">
      <c r="A87" s="239" t="s">
        <v>43</v>
      </c>
      <c r="C87" s="4">
        <v>11014981</v>
      </c>
      <c r="E87" s="30">
        <v>3.8127</v>
      </c>
      <c r="F87" s="126" t="s">
        <v>12</v>
      </c>
      <c r="G87" s="15">
        <f>ROUND(E87*$C87/100,0)</f>
        <v>419968</v>
      </c>
      <c r="I87" s="31">
        <v>1.5800000000000002E-2</v>
      </c>
      <c r="J87" s="124"/>
      <c r="K87" s="15">
        <f t="shared" ref="K87:K88" si="44">$G87*I87</f>
        <v>6635.4944000000005</v>
      </c>
      <c r="M87" s="31">
        <f t="shared" ref="M87:M88" si="45">$R$74</f>
        <v>3.0700000000000002E-2</v>
      </c>
      <c r="N87" s="124"/>
      <c r="O87" s="15">
        <f t="shared" ref="O87:O88" si="46">$G87*M87</f>
        <v>12893.017600000001</v>
      </c>
    </row>
    <row r="88" spans="1:20">
      <c r="A88" s="239" t="s">
        <v>44</v>
      </c>
      <c r="C88" s="4">
        <v>10118189</v>
      </c>
      <c r="E88" s="30">
        <v>3.5143</v>
      </c>
      <c r="F88" s="126" t="s">
        <v>12</v>
      </c>
      <c r="G88" s="15">
        <f>ROUND(E88*$C88/100,0)</f>
        <v>355584</v>
      </c>
      <c r="I88" s="31">
        <v>1.5800000000000002E-2</v>
      </c>
      <c r="J88" s="124"/>
      <c r="K88" s="15">
        <f t="shared" si="44"/>
        <v>5618.2272000000003</v>
      </c>
      <c r="M88" s="31">
        <f t="shared" si="45"/>
        <v>3.0700000000000002E-2</v>
      </c>
      <c r="N88" s="124"/>
      <c r="O88" s="15">
        <f t="shared" si="46"/>
        <v>10916.4288</v>
      </c>
    </row>
    <row r="89" spans="1:20">
      <c r="A89" s="239" t="s">
        <v>40</v>
      </c>
      <c r="C89" s="4">
        <v>0</v>
      </c>
      <c r="D89" s="20"/>
      <c r="E89" s="14">
        <v>648</v>
      </c>
      <c r="F89" s="124"/>
      <c r="G89" s="15">
        <f>ROUND(E89*$C89,0)</f>
        <v>0</v>
      </c>
      <c r="I89" s="31"/>
      <c r="J89" s="124"/>
      <c r="K89" s="15"/>
      <c r="M89" s="31"/>
      <c r="N89" s="124"/>
      <c r="O89" s="15"/>
    </row>
    <row r="90" spans="1:20">
      <c r="A90" s="239" t="s">
        <v>25</v>
      </c>
      <c r="C90" s="23">
        <v>0</v>
      </c>
      <c r="G90" s="24">
        <v>0</v>
      </c>
      <c r="K90" s="24"/>
      <c r="O90" s="24"/>
    </row>
    <row r="91" spans="1:20" ht="16.5" thickBot="1">
      <c r="A91" s="239" t="s">
        <v>26</v>
      </c>
      <c r="C91" s="29">
        <v>21133170</v>
      </c>
      <c r="E91" s="209"/>
      <c r="G91" s="28">
        <f>SUM(G82:G90)</f>
        <v>1783084</v>
      </c>
      <c r="I91" s="137"/>
      <c r="K91" s="28">
        <f>SUM(K82:K90)</f>
        <v>27845.098400000003</v>
      </c>
      <c r="M91" s="137"/>
      <c r="O91" s="28">
        <f>SUM(O82:O90)</f>
        <v>54104.083600000005</v>
      </c>
    </row>
    <row r="92" spans="1:20" ht="16.5" thickTop="1">
      <c r="C92" s="4"/>
      <c r="K92" s="202"/>
      <c r="O92" s="202"/>
    </row>
    <row r="93" spans="1:20">
      <c r="A93" s="238" t="s">
        <v>52</v>
      </c>
      <c r="C93" s="4"/>
      <c r="E93" s="30"/>
      <c r="F93" s="139"/>
      <c r="I93" s="31"/>
      <c r="K93" s="202"/>
      <c r="M93" s="31"/>
      <c r="O93" s="202"/>
    </row>
    <row r="94" spans="1:20">
      <c r="A94" s="239" t="s">
        <v>8</v>
      </c>
      <c r="C94" s="4">
        <v>28731</v>
      </c>
      <c r="E94" s="14">
        <v>54</v>
      </c>
      <c r="F94" s="124"/>
      <c r="G94" s="15">
        <f>ROUND(E94*$C94,0)</f>
        <v>1551474</v>
      </c>
      <c r="I94" s="31"/>
      <c r="J94" s="124"/>
      <c r="K94" s="15"/>
      <c r="M94" s="31"/>
      <c r="N94" s="124"/>
      <c r="O94" s="15"/>
      <c r="Q94" s="89" t="s">
        <v>15</v>
      </c>
      <c r="R94" s="17">
        <f>O103</f>
        <v>970066.40099999995</v>
      </c>
      <c r="S94" s="166"/>
      <c r="T94" s="167"/>
    </row>
    <row r="95" spans="1:20">
      <c r="A95" s="239" t="s">
        <v>53</v>
      </c>
      <c r="C95" s="4">
        <v>861704</v>
      </c>
      <c r="D95" s="20"/>
      <c r="E95" s="14">
        <v>6.41</v>
      </c>
      <c r="F95" s="124"/>
      <c r="G95" s="15">
        <f>ROUND(E95*$C95,0)</f>
        <v>5523523</v>
      </c>
      <c r="I95" s="31"/>
      <c r="J95" s="124"/>
      <c r="K95" s="15"/>
      <c r="M95" s="31"/>
      <c r="N95" s="124"/>
      <c r="O95" s="15"/>
      <c r="Q95" s="90" t="s">
        <v>17</v>
      </c>
      <c r="R95" s="18">
        <f>'Exhibit-RMP(JRS-1)'!T21*1000</f>
        <v>969127.0184777726</v>
      </c>
      <c r="S95" s="166"/>
      <c r="T95" s="167"/>
    </row>
    <row r="96" spans="1:20">
      <c r="A96" s="239" t="s">
        <v>54</v>
      </c>
      <c r="C96" s="4">
        <v>1039237</v>
      </c>
      <c r="D96" s="20"/>
      <c r="E96" s="14">
        <v>5.38</v>
      </c>
      <c r="F96" s="124"/>
      <c r="G96" s="15">
        <f>ROUND(E96*$C96,0)</f>
        <v>5591095</v>
      </c>
      <c r="I96" s="31"/>
      <c r="J96" s="124"/>
      <c r="K96" s="15"/>
      <c r="M96" s="31"/>
      <c r="N96" s="124"/>
      <c r="O96" s="15"/>
      <c r="Q96" s="91" t="s">
        <v>19</v>
      </c>
      <c r="R96" s="19">
        <f>R95-R94</f>
        <v>-939.382522227359</v>
      </c>
      <c r="S96" s="166"/>
      <c r="T96" s="167"/>
    </row>
    <row r="97" spans="1:20">
      <c r="A97" s="239" t="s">
        <v>35</v>
      </c>
      <c r="C97" s="4">
        <v>32411</v>
      </c>
      <c r="D97" s="20"/>
      <c r="E97" s="14">
        <v>-0.6</v>
      </c>
      <c r="F97" s="124"/>
      <c r="G97" s="15">
        <f>ROUND(E97*$C97,0)</f>
        <v>-19447</v>
      </c>
      <c r="I97" s="31"/>
      <c r="J97" s="124"/>
      <c r="K97" s="15"/>
      <c r="M97" s="31"/>
      <c r="N97" s="124"/>
      <c r="O97" s="15"/>
      <c r="Q97" s="93"/>
      <c r="R97" s="94"/>
      <c r="S97" s="166"/>
      <c r="T97" s="167"/>
    </row>
    <row r="98" spans="1:20">
      <c r="A98" s="239" t="s">
        <v>30</v>
      </c>
      <c r="C98" s="4">
        <v>57731948</v>
      </c>
      <c r="D98" s="20"/>
      <c r="E98" s="136">
        <v>11.730700000000001</v>
      </c>
      <c r="F98" s="126" t="s">
        <v>12</v>
      </c>
      <c r="G98" s="15">
        <f>ROUND(E98*$C98/100,0)</f>
        <v>6772362</v>
      </c>
      <c r="I98" s="31">
        <v>2.5600000000000001E-2</v>
      </c>
      <c r="J98" s="126"/>
      <c r="K98" s="15">
        <f t="shared" ref="K98" si="47">$G98*I98</f>
        <v>173372.46720000001</v>
      </c>
      <c r="M98" s="31">
        <f>$R$98</f>
        <v>4.9799999999999997E-2</v>
      </c>
      <c r="N98" s="126"/>
      <c r="O98" s="15">
        <f t="shared" ref="O98:O101" si="48">$G98*M98</f>
        <v>337263.62760000001</v>
      </c>
      <c r="Q98" s="95" t="s">
        <v>22</v>
      </c>
      <c r="R98" s="96">
        <f>ROUND(R95/SUM(G98:G101),$R$11)</f>
        <v>4.9799999999999997E-2</v>
      </c>
      <c r="S98" s="166">
        <f t="shared" ref="S98:S101" si="49">G98*I98-K98</f>
        <v>0</v>
      </c>
      <c r="T98" s="167">
        <f t="shared" ref="T98:T101" si="50">G98*M98-O98</f>
        <v>0</v>
      </c>
    </row>
    <row r="99" spans="1:20">
      <c r="A99" s="239" t="s">
        <v>31</v>
      </c>
      <c r="C99" s="4">
        <v>58399436</v>
      </c>
      <c r="D99" s="20"/>
      <c r="E99" s="136">
        <v>3.5318000000000001</v>
      </c>
      <c r="F99" s="126" t="s">
        <v>12</v>
      </c>
      <c r="G99" s="15">
        <f>ROUND(E99*$C99/100,0)</f>
        <v>2062551</v>
      </c>
      <c r="I99" s="31">
        <v>2.5600000000000001E-2</v>
      </c>
      <c r="J99" s="126"/>
      <c r="K99" s="15">
        <f t="shared" ref="K99:K101" si="51">$G99*I99</f>
        <v>52801.3056</v>
      </c>
      <c r="M99" s="31">
        <f t="shared" ref="M99:M101" si="52">$R$98</f>
        <v>4.9799999999999997E-2</v>
      </c>
      <c r="N99" s="126"/>
      <c r="O99" s="15">
        <f t="shared" si="48"/>
        <v>102715.0398</v>
      </c>
      <c r="S99" s="166">
        <f t="shared" si="49"/>
        <v>0</v>
      </c>
      <c r="T99" s="167">
        <f t="shared" si="50"/>
        <v>0</v>
      </c>
    </row>
    <row r="100" spans="1:20">
      <c r="A100" s="239" t="s">
        <v>55</v>
      </c>
      <c r="C100" s="4">
        <v>85611702</v>
      </c>
      <c r="D100" s="20"/>
      <c r="E100" s="136">
        <v>9.8056000000000001</v>
      </c>
      <c r="F100" s="126" t="s">
        <v>12</v>
      </c>
      <c r="G100" s="15">
        <f>ROUND(E100*$C100/100,0)</f>
        <v>8394741</v>
      </c>
      <c r="I100" s="31">
        <v>2.5600000000000001E-2</v>
      </c>
      <c r="J100" s="126"/>
      <c r="K100" s="15">
        <f t="shared" si="51"/>
        <v>214905.36960000001</v>
      </c>
      <c r="M100" s="31">
        <f t="shared" si="52"/>
        <v>4.9799999999999997E-2</v>
      </c>
      <c r="N100" s="126"/>
      <c r="O100" s="15">
        <f t="shared" si="48"/>
        <v>418058.1018</v>
      </c>
      <c r="S100" s="166">
        <f t="shared" si="49"/>
        <v>0</v>
      </c>
      <c r="T100" s="167">
        <f t="shared" si="50"/>
        <v>0</v>
      </c>
    </row>
    <row r="101" spans="1:20">
      <c r="A101" s="239" t="s">
        <v>56</v>
      </c>
      <c r="C101" s="4">
        <v>75991996</v>
      </c>
      <c r="D101" s="20"/>
      <c r="E101" s="136">
        <v>2.9603000000000002</v>
      </c>
      <c r="F101" s="126" t="s">
        <v>12</v>
      </c>
      <c r="G101" s="15">
        <f>ROUND(E101*$C101/100,0)</f>
        <v>2249591</v>
      </c>
      <c r="I101" s="31">
        <v>2.5600000000000001E-2</v>
      </c>
      <c r="J101" s="126"/>
      <c r="K101" s="15">
        <f t="shared" si="51"/>
        <v>57589.529600000002</v>
      </c>
      <c r="M101" s="31">
        <f t="shared" si="52"/>
        <v>4.9799999999999997E-2</v>
      </c>
      <c r="N101" s="126"/>
      <c r="O101" s="15">
        <f t="shared" si="48"/>
        <v>112029.63179999999</v>
      </c>
      <c r="S101" s="166">
        <f t="shared" si="49"/>
        <v>0</v>
      </c>
      <c r="T101" s="167">
        <f t="shared" si="50"/>
        <v>0</v>
      </c>
    </row>
    <row r="102" spans="1:20">
      <c r="A102" s="239" t="s">
        <v>25</v>
      </c>
      <c r="C102" s="23">
        <v>0</v>
      </c>
      <c r="G102" s="24">
        <v>0</v>
      </c>
      <c r="K102" s="24"/>
      <c r="O102" s="24"/>
    </row>
    <row r="103" spans="1:20" ht="16.5" thickBot="1">
      <c r="A103" s="239" t="s">
        <v>26</v>
      </c>
      <c r="C103" s="29">
        <v>277735082</v>
      </c>
      <c r="E103" s="209"/>
      <c r="G103" s="28">
        <f>SUM(G94:G102)</f>
        <v>32125890</v>
      </c>
      <c r="I103" s="137"/>
      <c r="K103" s="28">
        <f>SUM(K94:K102)</f>
        <v>498668.67200000002</v>
      </c>
      <c r="M103" s="137"/>
      <c r="O103" s="28">
        <f>SUM(O94:O102)</f>
        <v>970066.40099999995</v>
      </c>
    </row>
    <row r="104" spans="1:20" ht="16.5" thickTop="1">
      <c r="C104" s="4"/>
      <c r="I104" s="132"/>
      <c r="J104" s="133"/>
      <c r="K104" s="202"/>
      <c r="M104" s="132"/>
      <c r="N104" s="133"/>
      <c r="O104" s="202"/>
    </row>
    <row r="105" spans="1:20">
      <c r="A105" s="238" t="s">
        <v>57</v>
      </c>
      <c r="C105" s="4"/>
      <c r="K105" s="202"/>
      <c r="O105" s="202"/>
    </row>
    <row r="106" spans="1:20">
      <c r="A106" s="240" t="s">
        <v>58</v>
      </c>
      <c r="C106" s="4"/>
      <c r="G106" s="15"/>
      <c r="K106" s="15"/>
      <c r="O106" s="15"/>
    </row>
    <row r="107" spans="1:20">
      <c r="A107" s="239" t="s">
        <v>59</v>
      </c>
      <c r="C107" s="4">
        <v>23</v>
      </c>
      <c r="E107" s="14">
        <v>5.68</v>
      </c>
      <c r="F107" s="124"/>
      <c r="G107" s="129">
        <f>ROUND(E107*$C107,0)</f>
        <v>131</v>
      </c>
      <c r="I107" s="31">
        <v>2.0999999999999999E-3</v>
      </c>
      <c r="J107" s="124"/>
      <c r="K107" s="15">
        <f t="shared" ref="K107" si="53">$G107*I107</f>
        <v>0.27509999999999996</v>
      </c>
      <c r="M107" s="31">
        <f>$R$112</f>
        <v>0.01</v>
      </c>
      <c r="N107" s="124"/>
      <c r="O107" s="15">
        <f t="shared" ref="O107:O110" si="54">$G107*M107</f>
        <v>1.31</v>
      </c>
      <c r="Q107" s="101" t="s">
        <v>330</v>
      </c>
      <c r="R107" s="97"/>
      <c r="S107" s="166">
        <f t="shared" ref="S107:S138" si="55">G107*I107-K107</f>
        <v>0</v>
      </c>
      <c r="T107" s="167">
        <f t="shared" ref="T107:T138" si="56">G107*M107-O107</f>
        <v>0</v>
      </c>
    </row>
    <row r="108" spans="1:20">
      <c r="A108" s="239" t="s">
        <v>60</v>
      </c>
      <c r="C108" s="4">
        <v>44936</v>
      </c>
      <c r="E108" s="14">
        <v>16.38</v>
      </c>
      <c r="F108" s="124"/>
      <c r="G108" s="15">
        <f>ROUND(E108*$C108,0)</f>
        <v>736052</v>
      </c>
      <c r="I108" s="31">
        <v>2.0999999999999999E-3</v>
      </c>
      <c r="J108" s="124"/>
      <c r="K108" s="15">
        <f t="shared" ref="K108:K110" si="57">$G108*I108</f>
        <v>1545.7092</v>
      </c>
      <c r="M108" s="31">
        <f t="shared" ref="M108:M110" si="58">$R$112</f>
        <v>0.01</v>
      </c>
      <c r="N108" s="124"/>
      <c r="O108" s="15">
        <f t="shared" si="54"/>
        <v>7360.52</v>
      </c>
      <c r="Q108" s="90" t="s">
        <v>15</v>
      </c>
      <c r="R108" s="18">
        <f>O143+O258+O352</f>
        <v>121127.84000000001</v>
      </c>
      <c r="S108" s="166">
        <f t="shared" si="55"/>
        <v>0</v>
      </c>
      <c r="T108" s="167">
        <f t="shared" si="56"/>
        <v>0</v>
      </c>
    </row>
    <row r="109" spans="1:20">
      <c r="A109" s="239" t="s">
        <v>61</v>
      </c>
      <c r="C109" s="4">
        <v>265</v>
      </c>
      <c r="E109" s="14">
        <v>8.0500000000000007</v>
      </c>
      <c r="F109" s="124"/>
      <c r="G109" s="15">
        <f>ROUND(E109*$C109,0)</f>
        <v>2133</v>
      </c>
      <c r="I109" s="31">
        <v>2.0999999999999999E-3</v>
      </c>
      <c r="J109" s="124"/>
      <c r="K109" s="15">
        <f t="shared" si="57"/>
        <v>4.4792999999999994</v>
      </c>
      <c r="M109" s="31">
        <f t="shared" si="58"/>
        <v>0.01</v>
      </c>
      <c r="N109" s="124"/>
      <c r="O109" s="15">
        <f t="shared" si="54"/>
        <v>21.330000000000002</v>
      </c>
      <c r="Q109" s="90" t="s">
        <v>17</v>
      </c>
      <c r="R109" s="18">
        <f>('Exhibit-RMP(JRS-1)'!T41+'Exhibit-RMP(JRS-1)'!T42+'Exhibit-RMP(JRS-1)'!T43)*1000</f>
        <v>121258.51251840101</v>
      </c>
      <c r="S109" s="166">
        <f t="shared" si="55"/>
        <v>0</v>
      </c>
      <c r="T109" s="167">
        <f t="shared" si="56"/>
        <v>0</v>
      </c>
    </row>
    <row r="110" spans="1:20">
      <c r="A110" s="239" t="s">
        <v>62</v>
      </c>
      <c r="C110" s="4">
        <v>11546</v>
      </c>
      <c r="E110" s="14">
        <v>26.78</v>
      </c>
      <c r="F110" s="124"/>
      <c r="G110" s="15">
        <f>ROUND(E110*$C110,0)</f>
        <v>309202</v>
      </c>
      <c r="I110" s="31">
        <v>2.0999999999999999E-3</v>
      </c>
      <c r="J110" s="124"/>
      <c r="K110" s="15">
        <f t="shared" si="57"/>
        <v>649.32419999999991</v>
      </c>
      <c r="M110" s="31">
        <f t="shared" si="58"/>
        <v>0.01</v>
      </c>
      <c r="N110" s="124"/>
      <c r="O110" s="15">
        <f t="shared" si="54"/>
        <v>3092.02</v>
      </c>
      <c r="Q110" s="91" t="s">
        <v>19</v>
      </c>
      <c r="R110" s="19">
        <f>R109-R108</f>
        <v>130.67251840099925</v>
      </c>
      <c r="S110" s="166">
        <f t="shared" si="55"/>
        <v>0</v>
      </c>
      <c r="T110" s="167">
        <f t="shared" si="56"/>
        <v>0</v>
      </c>
    </row>
    <row r="111" spans="1:20">
      <c r="A111" s="240" t="s">
        <v>63</v>
      </c>
      <c r="C111" s="4"/>
      <c r="G111" s="15"/>
      <c r="I111" s="31"/>
      <c r="J111" s="124"/>
      <c r="K111" s="15"/>
      <c r="M111" s="31"/>
      <c r="N111" s="124"/>
      <c r="O111" s="15"/>
      <c r="Q111" s="92"/>
      <c r="R111" s="102"/>
      <c r="S111" s="166"/>
      <c r="T111" s="167"/>
    </row>
    <row r="112" spans="1:20">
      <c r="A112" s="239" t="s">
        <v>64</v>
      </c>
      <c r="C112" s="4">
        <v>3488</v>
      </c>
      <c r="E112" s="14">
        <v>14.6</v>
      </c>
      <c r="F112" s="124"/>
      <c r="G112" s="15">
        <f t="shared" ref="G112:G122" si="59">ROUND(E112*$C112,0)</f>
        <v>50925</v>
      </c>
      <c r="I112" s="31">
        <v>2.0999999999999999E-3</v>
      </c>
      <c r="J112" s="124"/>
      <c r="K112" s="15">
        <f t="shared" ref="K112:K122" si="60">$G112*I112</f>
        <v>106.9425</v>
      </c>
      <c r="M112" s="31">
        <f t="shared" ref="M112:M122" si="61">$R$112</f>
        <v>0.01</v>
      </c>
      <c r="N112" s="124"/>
      <c r="O112" s="15">
        <f t="shared" ref="O112:O122" si="62">$G112*M112</f>
        <v>509.25</v>
      </c>
      <c r="Q112" s="95" t="s">
        <v>22</v>
      </c>
      <c r="R112" s="96">
        <f>ROUND(R109/SUM(G139,G254,G349),$R$11)</f>
        <v>0.01</v>
      </c>
      <c r="S112" s="166">
        <f t="shared" si="55"/>
        <v>0</v>
      </c>
      <c r="T112" s="167">
        <f t="shared" si="56"/>
        <v>0</v>
      </c>
    </row>
    <row r="113" spans="1:20">
      <c r="A113" s="239" t="s">
        <v>65</v>
      </c>
      <c r="C113" s="4">
        <v>1747</v>
      </c>
      <c r="E113" s="14">
        <v>12.23</v>
      </c>
      <c r="F113" s="124"/>
      <c r="G113" s="15">
        <f t="shared" si="59"/>
        <v>21366</v>
      </c>
      <c r="I113" s="31">
        <v>2.0999999999999999E-3</v>
      </c>
      <c r="J113" s="124"/>
      <c r="K113" s="15">
        <f t="shared" si="60"/>
        <v>44.868600000000001</v>
      </c>
      <c r="M113" s="31">
        <f t="shared" si="61"/>
        <v>0.01</v>
      </c>
      <c r="N113" s="124"/>
      <c r="O113" s="15">
        <f t="shared" si="62"/>
        <v>213.66</v>
      </c>
      <c r="S113" s="166">
        <f t="shared" si="55"/>
        <v>0</v>
      </c>
      <c r="T113" s="167">
        <f t="shared" si="56"/>
        <v>0</v>
      </c>
    </row>
    <row r="114" spans="1:20">
      <c r="A114" s="239" t="s">
        <v>66</v>
      </c>
      <c r="C114" s="4">
        <v>23053</v>
      </c>
      <c r="E114" s="14">
        <v>15.47</v>
      </c>
      <c r="F114" s="124"/>
      <c r="G114" s="15">
        <f t="shared" si="59"/>
        <v>356630</v>
      </c>
      <c r="I114" s="31">
        <v>2.0999999999999999E-3</v>
      </c>
      <c r="J114" s="124"/>
      <c r="K114" s="15">
        <f t="shared" si="60"/>
        <v>748.923</v>
      </c>
      <c r="M114" s="31">
        <f t="shared" si="61"/>
        <v>0.01</v>
      </c>
      <c r="N114" s="124"/>
      <c r="O114" s="15">
        <f t="shared" si="62"/>
        <v>3566.3</v>
      </c>
      <c r="S114" s="166">
        <f t="shared" si="55"/>
        <v>0</v>
      </c>
      <c r="T114" s="167">
        <f t="shared" si="56"/>
        <v>0</v>
      </c>
    </row>
    <row r="115" spans="1:20">
      <c r="A115" s="239" t="s">
        <v>67</v>
      </c>
      <c r="C115" s="4">
        <v>22349</v>
      </c>
      <c r="E115" s="14">
        <v>13.31</v>
      </c>
      <c r="F115" s="124"/>
      <c r="G115" s="15">
        <f t="shared" si="59"/>
        <v>297465</v>
      </c>
      <c r="I115" s="31">
        <v>2.0999999999999999E-3</v>
      </c>
      <c r="J115" s="124"/>
      <c r="K115" s="15">
        <f t="shared" si="60"/>
        <v>624.67649999999992</v>
      </c>
      <c r="M115" s="31">
        <f t="shared" si="61"/>
        <v>0.01</v>
      </c>
      <c r="N115" s="124"/>
      <c r="O115" s="15">
        <f t="shared" si="62"/>
        <v>2974.65</v>
      </c>
      <c r="S115" s="166">
        <f t="shared" si="55"/>
        <v>0</v>
      </c>
      <c r="T115" s="167">
        <f t="shared" si="56"/>
        <v>0</v>
      </c>
    </row>
    <row r="116" spans="1:20">
      <c r="A116" s="239" t="s">
        <v>68</v>
      </c>
      <c r="C116" s="4">
        <v>2610</v>
      </c>
      <c r="E116" s="14">
        <v>19.46</v>
      </c>
      <c r="F116" s="124"/>
      <c r="G116" s="15">
        <f t="shared" si="59"/>
        <v>50791</v>
      </c>
      <c r="I116" s="31">
        <v>2.0999999999999999E-3</v>
      </c>
      <c r="J116" s="124"/>
      <c r="K116" s="15">
        <f t="shared" si="60"/>
        <v>106.66109999999999</v>
      </c>
      <c r="M116" s="31">
        <f t="shared" si="61"/>
        <v>0.01</v>
      </c>
      <c r="N116" s="124"/>
      <c r="O116" s="15">
        <f t="shared" si="62"/>
        <v>507.91</v>
      </c>
      <c r="S116" s="166">
        <f t="shared" si="55"/>
        <v>0</v>
      </c>
      <c r="T116" s="167">
        <f t="shared" si="56"/>
        <v>0</v>
      </c>
    </row>
    <row r="117" spans="1:20">
      <c r="A117" s="239" t="s">
        <v>69</v>
      </c>
      <c r="C117" s="4">
        <v>2641</v>
      </c>
      <c r="E117" s="14">
        <v>17.13</v>
      </c>
      <c r="F117" s="124"/>
      <c r="G117" s="15">
        <f t="shared" si="59"/>
        <v>45240</v>
      </c>
      <c r="I117" s="31">
        <v>2.0999999999999999E-3</v>
      </c>
      <c r="J117" s="124"/>
      <c r="K117" s="15">
        <f t="shared" si="60"/>
        <v>95.003999999999991</v>
      </c>
      <c r="M117" s="31">
        <f t="shared" si="61"/>
        <v>0.01</v>
      </c>
      <c r="N117" s="124"/>
      <c r="O117" s="15">
        <f t="shared" si="62"/>
        <v>452.40000000000003</v>
      </c>
      <c r="S117" s="166">
        <f t="shared" si="55"/>
        <v>0</v>
      </c>
      <c r="T117" s="167">
        <f t="shared" si="56"/>
        <v>0</v>
      </c>
    </row>
    <row r="118" spans="1:20">
      <c r="A118" s="239" t="s">
        <v>70</v>
      </c>
      <c r="C118" s="4">
        <v>118</v>
      </c>
      <c r="E118" s="14">
        <v>21.07</v>
      </c>
      <c r="F118" s="124"/>
      <c r="G118" s="15">
        <f t="shared" si="59"/>
        <v>2486</v>
      </c>
      <c r="I118" s="31">
        <v>2.0999999999999999E-3</v>
      </c>
      <c r="J118" s="124"/>
      <c r="K118" s="15">
        <f t="shared" si="60"/>
        <v>5.2205999999999992</v>
      </c>
      <c r="M118" s="31">
        <f t="shared" si="61"/>
        <v>0.01</v>
      </c>
      <c r="N118" s="124"/>
      <c r="O118" s="15">
        <f t="shared" si="62"/>
        <v>24.86</v>
      </c>
      <c r="S118" s="166">
        <f t="shared" si="55"/>
        <v>0</v>
      </c>
      <c r="T118" s="167">
        <f t="shared" si="56"/>
        <v>0</v>
      </c>
    </row>
    <row r="119" spans="1:20">
      <c r="A119" s="239" t="s">
        <v>71</v>
      </c>
      <c r="C119" s="4">
        <v>3232</v>
      </c>
      <c r="E119" s="14">
        <v>23.51</v>
      </c>
      <c r="F119" s="124"/>
      <c r="G119" s="15">
        <f t="shared" si="59"/>
        <v>75984</v>
      </c>
      <c r="I119" s="31">
        <v>2.0999999999999999E-3</v>
      </c>
      <c r="J119" s="124"/>
      <c r="K119" s="15">
        <f t="shared" si="60"/>
        <v>159.56639999999999</v>
      </c>
      <c r="M119" s="31">
        <f t="shared" si="61"/>
        <v>0.01</v>
      </c>
      <c r="N119" s="124"/>
      <c r="O119" s="15">
        <f t="shared" si="62"/>
        <v>759.84</v>
      </c>
      <c r="S119" s="166">
        <f t="shared" si="55"/>
        <v>0</v>
      </c>
      <c r="T119" s="167">
        <f t="shared" si="56"/>
        <v>0</v>
      </c>
    </row>
    <row r="120" spans="1:20">
      <c r="A120" s="239" t="s">
        <v>72</v>
      </c>
      <c r="C120" s="4">
        <v>3175</v>
      </c>
      <c r="E120" s="14">
        <v>21.23</v>
      </c>
      <c r="F120" s="124"/>
      <c r="G120" s="15">
        <f t="shared" si="59"/>
        <v>67405</v>
      </c>
      <c r="I120" s="31">
        <v>2.0999999999999999E-3</v>
      </c>
      <c r="J120" s="124"/>
      <c r="K120" s="15">
        <f t="shared" si="60"/>
        <v>141.5505</v>
      </c>
      <c r="M120" s="31">
        <f t="shared" si="61"/>
        <v>0.01</v>
      </c>
      <c r="N120" s="124"/>
      <c r="O120" s="15">
        <f t="shared" si="62"/>
        <v>674.05000000000007</v>
      </c>
      <c r="S120" s="166">
        <f t="shared" si="55"/>
        <v>0</v>
      </c>
      <c r="T120" s="167">
        <f t="shared" si="56"/>
        <v>0</v>
      </c>
    </row>
    <row r="121" spans="1:20">
      <c r="A121" s="239" t="s">
        <v>73</v>
      </c>
      <c r="C121" s="4">
        <v>1165</v>
      </c>
      <c r="E121" s="14">
        <v>28.3</v>
      </c>
      <c r="F121" s="124"/>
      <c r="G121" s="15">
        <f t="shared" si="59"/>
        <v>32970</v>
      </c>
      <c r="I121" s="31">
        <v>2.0999999999999999E-3</v>
      </c>
      <c r="J121" s="124"/>
      <c r="K121" s="15">
        <f t="shared" si="60"/>
        <v>69.236999999999995</v>
      </c>
      <c r="M121" s="31">
        <f t="shared" si="61"/>
        <v>0.01</v>
      </c>
      <c r="N121" s="124"/>
      <c r="O121" s="15">
        <f t="shared" si="62"/>
        <v>329.7</v>
      </c>
      <c r="S121" s="166">
        <f t="shared" si="55"/>
        <v>0</v>
      </c>
      <c r="T121" s="167">
        <f t="shared" si="56"/>
        <v>0</v>
      </c>
    </row>
    <row r="122" spans="1:20">
      <c r="A122" s="239" t="s">
        <v>74</v>
      </c>
      <c r="C122" s="4">
        <v>1834</v>
      </c>
      <c r="E122" s="14">
        <v>25.99</v>
      </c>
      <c r="F122" s="124"/>
      <c r="G122" s="15">
        <f t="shared" si="59"/>
        <v>47666</v>
      </c>
      <c r="H122" s="20"/>
      <c r="I122" s="31">
        <v>2.0999999999999999E-3</v>
      </c>
      <c r="J122" s="124"/>
      <c r="K122" s="15">
        <f t="shared" si="60"/>
        <v>100.09859999999999</v>
      </c>
      <c r="L122" s="20"/>
      <c r="M122" s="31">
        <f t="shared" si="61"/>
        <v>0.01</v>
      </c>
      <c r="N122" s="124"/>
      <c r="O122" s="15">
        <f t="shared" si="62"/>
        <v>476.66</v>
      </c>
      <c r="S122" s="166">
        <f t="shared" si="55"/>
        <v>0</v>
      </c>
      <c r="T122" s="167">
        <f t="shared" si="56"/>
        <v>0</v>
      </c>
    </row>
    <row r="123" spans="1:20">
      <c r="A123" s="240" t="s">
        <v>75</v>
      </c>
      <c r="C123" s="4"/>
      <c r="G123" s="15"/>
      <c r="K123" s="15"/>
      <c r="O123" s="15"/>
      <c r="S123" s="166"/>
      <c r="T123" s="167"/>
    </row>
    <row r="124" spans="1:20">
      <c r="A124" s="239" t="s">
        <v>68</v>
      </c>
      <c r="C124" s="4">
        <v>4676</v>
      </c>
      <c r="E124" s="14">
        <v>19.46</v>
      </c>
      <c r="F124" s="124"/>
      <c r="G124" s="15">
        <f t="shared" ref="G124:G129" si="63">ROUND(E124*$C124,0)</f>
        <v>90995</v>
      </c>
      <c r="I124" s="31">
        <v>2.0999999999999999E-3</v>
      </c>
      <c r="J124" s="124"/>
      <c r="K124" s="15">
        <f t="shared" ref="K124:K129" si="64">$G124*I124</f>
        <v>191.08949999999999</v>
      </c>
      <c r="M124" s="31">
        <f t="shared" ref="M124:M129" si="65">$R$112</f>
        <v>0.01</v>
      </c>
      <c r="N124" s="124"/>
      <c r="O124" s="15">
        <f t="shared" ref="O124:O129" si="66">$G124*M124</f>
        <v>909.95</v>
      </c>
      <c r="S124" s="166">
        <f t="shared" si="55"/>
        <v>0</v>
      </c>
      <c r="T124" s="167">
        <f t="shared" si="56"/>
        <v>0</v>
      </c>
    </row>
    <row r="125" spans="1:20">
      <c r="A125" s="239" t="s">
        <v>69</v>
      </c>
      <c r="C125" s="4">
        <v>5069</v>
      </c>
      <c r="E125" s="14">
        <v>17.13</v>
      </c>
      <c r="F125" s="124"/>
      <c r="G125" s="15">
        <f t="shared" si="63"/>
        <v>86832</v>
      </c>
      <c r="I125" s="31">
        <v>2.0999999999999999E-3</v>
      </c>
      <c r="J125" s="124"/>
      <c r="K125" s="15">
        <f t="shared" si="64"/>
        <v>182.34719999999999</v>
      </c>
      <c r="M125" s="31">
        <f t="shared" si="65"/>
        <v>0.01</v>
      </c>
      <c r="N125" s="124"/>
      <c r="O125" s="15">
        <f t="shared" si="66"/>
        <v>868.32</v>
      </c>
      <c r="S125" s="166">
        <f t="shared" si="55"/>
        <v>0</v>
      </c>
      <c r="T125" s="167">
        <f t="shared" si="56"/>
        <v>0</v>
      </c>
    </row>
    <row r="126" spans="1:20">
      <c r="A126" s="239" t="s">
        <v>71</v>
      </c>
      <c r="C126" s="4">
        <v>1127</v>
      </c>
      <c r="E126" s="14">
        <v>23.51</v>
      </c>
      <c r="F126" s="124"/>
      <c r="G126" s="15">
        <f t="shared" si="63"/>
        <v>26496</v>
      </c>
      <c r="I126" s="31">
        <v>2.0999999999999999E-3</v>
      </c>
      <c r="J126" s="124"/>
      <c r="K126" s="15">
        <f t="shared" si="64"/>
        <v>55.641599999999997</v>
      </c>
      <c r="M126" s="31">
        <f t="shared" si="65"/>
        <v>0.01</v>
      </c>
      <c r="N126" s="124"/>
      <c r="O126" s="15">
        <f t="shared" si="66"/>
        <v>264.95999999999998</v>
      </c>
      <c r="S126" s="166">
        <f t="shared" si="55"/>
        <v>0</v>
      </c>
      <c r="T126" s="167">
        <f t="shared" si="56"/>
        <v>0</v>
      </c>
    </row>
    <row r="127" spans="1:20">
      <c r="A127" s="239" t="s">
        <v>72</v>
      </c>
      <c r="C127" s="4">
        <v>1609</v>
      </c>
      <c r="E127" s="14">
        <v>21.23</v>
      </c>
      <c r="F127" s="124"/>
      <c r="G127" s="15">
        <f t="shared" si="63"/>
        <v>34159</v>
      </c>
      <c r="I127" s="31">
        <v>2.0999999999999999E-3</v>
      </c>
      <c r="J127" s="124"/>
      <c r="K127" s="15">
        <f t="shared" si="64"/>
        <v>71.733899999999991</v>
      </c>
      <c r="M127" s="31">
        <f t="shared" si="65"/>
        <v>0.01</v>
      </c>
      <c r="N127" s="124"/>
      <c r="O127" s="15">
        <f t="shared" si="66"/>
        <v>341.59000000000003</v>
      </c>
      <c r="S127" s="166">
        <f t="shared" si="55"/>
        <v>0</v>
      </c>
      <c r="T127" s="167">
        <f t="shared" si="56"/>
        <v>0</v>
      </c>
    </row>
    <row r="128" spans="1:20">
      <c r="A128" s="239" t="s">
        <v>73</v>
      </c>
      <c r="C128" s="4">
        <v>9901</v>
      </c>
      <c r="E128" s="14">
        <v>28.3</v>
      </c>
      <c r="F128" s="124"/>
      <c r="G128" s="15">
        <f t="shared" si="63"/>
        <v>280198</v>
      </c>
      <c r="I128" s="31">
        <v>2.0999999999999999E-3</v>
      </c>
      <c r="J128" s="124"/>
      <c r="K128" s="15">
        <f t="shared" si="64"/>
        <v>588.41579999999999</v>
      </c>
      <c r="M128" s="31">
        <f t="shared" si="65"/>
        <v>0.01</v>
      </c>
      <c r="N128" s="124"/>
      <c r="O128" s="15">
        <f t="shared" si="66"/>
        <v>2801.98</v>
      </c>
      <c r="S128" s="166">
        <f t="shared" si="55"/>
        <v>0</v>
      </c>
      <c r="T128" s="167">
        <f t="shared" si="56"/>
        <v>0</v>
      </c>
    </row>
    <row r="129" spans="1:20">
      <c r="A129" s="239" t="s">
        <v>74</v>
      </c>
      <c r="C129" s="4">
        <v>11569</v>
      </c>
      <c r="E129" s="14">
        <v>25.99</v>
      </c>
      <c r="F129" s="124"/>
      <c r="G129" s="15">
        <f t="shared" si="63"/>
        <v>300678</v>
      </c>
      <c r="I129" s="31">
        <v>2.0999999999999999E-3</v>
      </c>
      <c r="J129" s="124"/>
      <c r="K129" s="15">
        <f t="shared" si="64"/>
        <v>631.42379999999991</v>
      </c>
      <c r="M129" s="31">
        <f t="shared" si="65"/>
        <v>0.01</v>
      </c>
      <c r="N129" s="124"/>
      <c r="O129" s="15">
        <f t="shared" si="66"/>
        <v>3006.78</v>
      </c>
      <c r="S129" s="166">
        <f t="shared" si="55"/>
        <v>0</v>
      </c>
      <c r="T129" s="167">
        <f t="shared" si="56"/>
        <v>0</v>
      </c>
    </row>
    <row r="130" spans="1:20">
      <c r="A130" s="240" t="s">
        <v>76</v>
      </c>
      <c r="C130" s="4"/>
      <c r="H130" s="20"/>
      <c r="K130" s="202"/>
      <c r="L130" s="20"/>
      <c r="O130" s="202"/>
      <c r="S130" s="166"/>
      <c r="T130" s="167"/>
    </row>
    <row r="131" spans="1:20">
      <c r="A131" s="239" t="s">
        <v>77</v>
      </c>
      <c r="C131" s="4">
        <v>0</v>
      </c>
      <c r="E131" s="14">
        <v>29.4</v>
      </c>
      <c r="F131" s="124"/>
      <c r="G131" s="15">
        <f t="shared" ref="G131:G138" si="67">ROUND(E131*$C131,0)</f>
        <v>0</v>
      </c>
      <c r="I131" s="31">
        <v>2.0999999999999999E-3</v>
      </c>
      <c r="J131" s="124"/>
      <c r="K131" s="15">
        <f t="shared" ref="K131:K138" si="68">$G131*I131</f>
        <v>0</v>
      </c>
      <c r="M131" s="31">
        <f t="shared" ref="M131:M138" si="69">$R$112</f>
        <v>0.01</v>
      </c>
      <c r="N131" s="124"/>
      <c r="O131" s="15">
        <f t="shared" ref="O131:O138" si="70">$G131*M131</f>
        <v>0</v>
      </c>
      <c r="S131" s="166">
        <f t="shared" si="55"/>
        <v>0</v>
      </c>
      <c r="T131" s="167">
        <f t="shared" si="56"/>
        <v>0</v>
      </c>
    </row>
    <row r="132" spans="1:20">
      <c r="A132" s="239" t="s">
        <v>78</v>
      </c>
      <c r="C132" s="4">
        <v>242</v>
      </c>
      <c r="E132" s="14">
        <v>21.79</v>
      </c>
      <c r="F132" s="124"/>
      <c r="G132" s="15">
        <f t="shared" si="67"/>
        <v>5273</v>
      </c>
      <c r="I132" s="31">
        <v>2.0999999999999999E-3</v>
      </c>
      <c r="J132" s="124"/>
      <c r="K132" s="15">
        <f t="shared" si="68"/>
        <v>11.0733</v>
      </c>
      <c r="M132" s="31">
        <f t="shared" si="69"/>
        <v>0.01</v>
      </c>
      <c r="N132" s="124"/>
      <c r="O132" s="15">
        <f t="shared" si="70"/>
        <v>52.730000000000004</v>
      </c>
      <c r="S132" s="166">
        <f t="shared" si="55"/>
        <v>0</v>
      </c>
      <c r="T132" s="167">
        <f t="shared" si="56"/>
        <v>0</v>
      </c>
    </row>
    <row r="133" spans="1:20">
      <c r="A133" s="239" t="s">
        <v>79</v>
      </c>
      <c r="C133" s="4">
        <v>104</v>
      </c>
      <c r="E133" s="14">
        <v>34.340000000000003</v>
      </c>
      <c r="F133" s="124"/>
      <c r="G133" s="15">
        <f t="shared" si="67"/>
        <v>3571</v>
      </c>
      <c r="I133" s="31">
        <v>2.0999999999999999E-3</v>
      </c>
      <c r="J133" s="124"/>
      <c r="K133" s="15">
        <f t="shared" si="68"/>
        <v>7.4990999999999994</v>
      </c>
      <c r="M133" s="31">
        <f t="shared" si="69"/>
        <v>0.01</v>
      </c>
      <c r="N133" s="124"/>
      <c r="O133" s="15">
        <f t="shared" si="70"/>
        <v>35.71</v>
      </c>
      <c r="S133" s="166">
        <f t="shared" si="55"/>
        <v>0</v>
      </c>
      <c r="T133" s="167">
        <f t="shared" si="56"/>
        <v>0</v>
      </c>
    </row>
    <row r="134" spans="1:20">
      <c r="A134" s="239" t="s">
        <v>80</v>
      </c>
      <c r="C134" s="4">
        <v>92</v>
      </c>
      <c r="E134" s="14">
        <v>27.43</v>
      </c>
      <c r="F134" s="124"/>
      <c r="G134" s="15">
        <f t="shared" si="67"/>
        <v>2524</v>
      </c>
      <c r="I134" s="31">
        <v>2.0999999999999999E-3</v>
      </c>
      <c r="J134" s="124"/>
      <c r="K134" s="15">
        <f t="shared" si="68"/>
        <v>5.3003999999999998</v>
      </c>
      <c r="M134" s="31">
        <f t="shared" si="69"/>
        <v>0.01</v>
      </c>
      <c r="N134" s="124"/>
      <c r="O134" s="15">
        <f t="shared" si="70"/>
        <v>25.240000000000002</v>
      </c>
      <c r="S134" s="166">
        <f t="shared" si="55"/>
        <v>0</v>
      </c>
      <c r="T134" s="167">
        <f t="shared" si="56"/>
        <v>0</v>
      </c>
    </row>
    <row r="135" spans="1:20" s="197" customFormat="1">
      <c r="A135" s="239" t="s">
        <v>81</v>
      </c>
      <c r="B135" s="245"/>
      <c r="C135" s="4">
        <v>415</v>
      </c>
      <c r="D135" s="201"/>
      <c r="E135" s="14">
        <v>36.69</v>
      </c>
      <c r="F135" s="124"/>
      <c r="G135" s="15">
        <f t="shared" si="67"/>
        <v>15226</v>
      </c>
      <c r="H135" s="5"/>
      <c r="I135" s="31">
        <v>2.0999999999999999E-3</v>
      </c>
      <c r="J135" s="124"/>
      <c r="K135" s="15">
        <f t="shared" si="68"/>
        <v>31.974599999999999</v>
      </c>
      <c r="L135" s="5"/>
      <c r="M135" s="31">
        <f t="shared" si="69"/>
        <v>0.01</v>
      </c>
      <c r="N135" s="124"/>
      <c r="O135" s="15">
        <f t="shared" si="70"/>
        <v>152.26</v>
      </c>
      <c r="S135" s="166">
        <f t="shared" si="55"/>
        <v>0</v>
      </c>
      <c r="T135" s="167">
        <f t="shared" si="56"/>
        <v>0</v>
      </c>
    </row>
    <row r="136" spans="1:20">
      <c r="A136" s="239" t="s">
        <v>82</v>
      </c>
      <c r="C136" s="4">
        <v>535</v>
      </c>
      <c r="E136" s="14">
        <v>29.72</v>
      </c>
      <c r="F136" s="124"/>
      <c r="G136" s="15">
        <f t="shared" si="67"/>
        <v>15900</v>
      </c>
      <c r="I136" s="31">
        <v>2.0999999999999999E-3</v>
      </c>
      <c r="J136" s="124"/>
      <c r="K136" s="15">
        <f t="shared" si="68"/>
        <v>33.39</v>
      </c>
      <c r="M136" s="31">
        <f t="shared" si="69"/>
        <v>0.01</v>
      </c>
      <c r="N136" s="124"/>
      <c r="O136" s="15">
        <f t="shared" si="70"/>
        <v>159</v>
      </c>
      <c r="S136" s="166">
        <f t="shared" si="55"/>
        <v>0</v>
      </c>
      <c r="T136" s="167">
        <f t="shared" si="56"/>
        <v>0</v>
      </c>
    </row>
    <row r="137" spans="1:20">
      <c r="A137" s="239" t="s">
        <v>83</v>
      </c>
      <c r="C137" s="4">
        <v>23</v>
      </c>
      <c r="E137" s="14">
        <v>57.58</v>
      </c>
      <c r="F137" s="124"/>
      <c r="G137" s="15">
        <f t="shared" si="67"/>
        <v>1324</v>
      </c>
      <c r="I137" s="31">
        <v>2.0999999999999999E-3</v>
      </c>
      <c r="J137" s="124"/>
      <c r="K137" s="15">
        <f t="shared" si="68"/>
        <v>2.7803999999999998</v>
      </c>
      <c r="M137" s="31">
        <f t="shared" si="69"/>
        <v>0.01</v>
      </c>
      <c r="N137" s="124"/>
      <c r="O137" s="15">
        <f t="shared" si="70"/>
        <v>13.24</v>
      </c>
      <c r="S137" s="166">
        <f t="shared" si="55"/>
        <v>0</v>
      </c>
      <c r="T137" s="167">
        <f t="shared" si="56"/>
        <v>0</v>
      </c>
    </row>
    <row r="138" spans="1:20">
      <c r="A138" s="239" t="s">
        <v>84</v>
      </c>
      <c r="C138" s="48">
        <v>104</v>
      </c>
      <c r="E138" s="14">
        <v>49.1</v>
      </c>
      <c r="F138" s="124"/>
      <c r="G138" s="37">
        <f t="shared" si="67"/>
        <v>5106</v>
      </c>
      <c r="I138" s="31">
        <v>2.0999999999999999E-3</v>
      </c>
      <c r="J138" s="124"/>
      <c r="K138" s="37">
        <f t="shared" si="68"/>
        <v>10.7226</v>
      </c>
      <c r="M138" s="31">
        <f t="shared" si="69"/>
        <v>0.01</v>
      </c>
      <c r="N138" s="124"/>
      <c r="O138" s="37">
        <f t="shared" si="70"/>
        <v>51.06</v>
      </c>
      <c r="S138" s="166">
        <f t="shared" si="55"/>
        <v>0</v>
      </c>
      <c r="T138" s="167">
        <f t="shared" si="56"/>
        <v>0</v>
      </c>
    </row>
    <row r="139" spans="1:20">
      <c r="A139" s="239" t="s">
        <v>85</v>
      </c>
      <c r="C139" s="4">
        <v>157648</v>
      </c>
      <c r="G139" s="15">
        <f>SUM(G107:G138)</f>
        <v>2964728</v>
      </c>
      <c r="K139" s="15">
        <f>SUM(K107:K138)</f>
        <v>6225.9287999999997</v>
      </c>
      <c r="O139" s="15">
        <f>SUM(O107:O138)</f>
        <v>29647.280000000002</v>
      </c>
    </row>
    <row r="140" spans="1:20">
      <c r="A140" s="239" t="s">
        <v>86</v>
      </c>
      <c r="C140" s="13">
        <v>12321574.48</v>
      </c>
      <c r="G140" s="15"/>
      <c r="K140" s="15"/>
      <c r="O140" s="15"/>
    </row>
    <row r="141" spans="1:20">
      <c r="A141" s="239" t="s">
        <v>87</v>
      </c>
      <c r="C141" s="36">
        <v>0</v>
      </c>
      <c r="E141" s="210"/>
      <c r="G141" s="37">
        <v>0</v>
      </c>
      <c r="I141" s="140"/>
      <c r="K141" s="37"/>
      <c r="M141" s="140"/>
      <c r="O141" s="37"/>
    </row>
    <row r="142" spans="1:20">
      <c r="A142" s="239" t="s">
        <v>88</v>
      </c>
      <c r="C142" s="4">
        <v>7865</v>
      </c>
      <c r="K142" s="202"/>
      <c r="O142" s="202"/>
    </row>
    <row r="143" spans="1:20" ht="16.5" thickBot="1">
      <c r="A143" s="239" t="s">
        <v>89</v>
      </c>
      <c r="C143" s="38">
        <v>12321574.48</v>
      </c>
      <c r="E143" s="208"/>
      <c r="G143" s="26">
        <f>G141+G139</f>
        <v>2964728</v>
      </c>
      <c r="H143" s="20"/>
      <c r="I143" s="131"/>
      <c r="K143" s="26">
        <f>K141+K139</f>
        <v>6225.9287999999997</v>
      </c>
      <c r="L143" s="20"/>
      <c r="M143" s="131"/>
      <c r="O143" s="26">
        <f>O141+O139</f>
        <v>29647.280000000002</v>
      </c>
    </row>
    <row r="144" spans="1:20" ht="16.5" thickTop="1">
      <c r="C144" s="4"/>
      <c r="K144" s="202"/>
      <c r="O144" s="202"/>
    </row>
    <row r="145" spans="1:20">
      <c r="A145" s="238" t="s">
        <v>90</v>
      </c>
      <c r="C145" s="4"/>
      <c r="I145" s="132"/>
      <c r="J145" s="133"/>
      <c r="K145" s="202"/>
      <c r="M145" s="132"/>
      <c r="N145" s="133"/>
      <c r="O145" s="202"/>
    </row>
    <row r="146" spans="1:20">
      <c r="A146" s="239" t="s">
        <v>8</v>
      </c>
      <c r="C146" s="4">
        <v>3565</v>
      </c>
      <c r="E146" s="14">
        <v>68</v>
      </c>
      <c r="F146" s="124"/>
      <c r="G146" s="15">
        <f>ROUND(E146*$C146,0)</f>
        <v>242420</v>
      </c>
      <c r="K146" s="15"/>
      <c r="O146" s="15"/>
      <c r="Q146" s="98" t="s">
        <v>331</v>
      </c>
      <c r="R146" s="11"/>
      <c r="S146" s="166"/>
      <c r="T146" s="167"/>
    </row>
    <row r="147" spans="1:20">
      <c r="A147" s="239" t="s">
        <v>91</v>
      </c>
      <c r="C147" s="4">
        <v>4772324</v>
      </c>
      <c r="E147" s="14">
        <v>4.62</v>
      </c>
      <c r="F147" s="124"/>
      <c r="G147" s="15">
        <f>ROUND(E147*$C147,0)</f>
        <v>22048137</v>
      </c>
      <c r="K147" s="15"/>
      <c r="O147" s="15"/>
      <c r="Q147" s="89" t="s">
        <v>15</v>
      </c>
      <c r="R147" s="17">
        <f>O155+SUM(O424:O430)</f>
        <v>5323154.7725</v>
      </c>
      <c r="S147" s="166"/>
      <c r="T147" s="167"/>
    </row>
    <row r="148" spans="1:20">
      <c r="A148" s="239" t="s">
        <v>92</v>
      </c>
      <c r="C148" s="4">
        <v>1975920</v>
      </c>
      <c r="E148" s="14">
        <v>15.1</v>
      </c>
      <c r="F148" s="124"/>
      <c r="G148" s="15">
        <f>ROUND(E148*$C148,0)</f>
        <v>29836392</v>
      </c>
      <c r="I148" s="31">
        <v>2.0199999999999999E-2</v>
      </c>
      <c r="J148" s="124"/>
      <c r="K148" s="15">
        <f t="shared" ref="K148" si="71">$G148*I148</f>
        <v>602695.11839999992</v>
      </c>
      <c r="M148" s="31">
        <f>$R$151</f>
        <v>3.8899999999999997E-2</v>
      </c>
      <c r="N148" s="124"/>
      <c r="O148" s="15">
        <f t="shared" ref="O148:O149" si="72">$G148*M148</f>
        <v>1160635.6487999998</v>
      </c>
      <c r="Q148" s="90" t="s">
        <v>17</v>
      </c>
      <c r="R148" s="18">
        <f>('Exhibit-RMP(JRS-1)'!T24+'Exhibit-RMP(JRS-1)'!T33*SUM('Exhibit-RMP(JRS-2)'!G425:G426,'Exhibit-RMP(JRS-2)'!G428:G430)/SUM('Exhibit-RMP(JRS-2)'!G425:G426,'Exhibit-RMP(JRS-2)'!G428:G430,'Exhibit-RMP(JRS-2)'!G433:G437))*1000</f>
        <v>5328582.4796586586</v>
      </c>
      <c r="S148" s="166">
        <f t="shared" ref="S148:S153" si="73">G148*I148-K148</f>
        <v>0</v>
      </c>
      <c r="T148" s="167">
        <f t="shared" ref="T148:T153" si="74">G148*M148-O148</f>
        <v>0</v>
      </c>
    </row>
    <row r="149" spans="1:20">
      <c r="A149" s="239" t="s">
        <v>93</v>
      </c>
      <c r="C149" s="4">
        <v>2667179</v>
      </c>
      <c r="E149" s="14">
        <v>10.87</v>
      </c>
      <c r="F149" s="124"/>
      <c r="G149" s="15">
        <f>ROUND(E149*$C149,0)</f>
        <v>28992236</v>
      </c>
      <c r="I149" s="31">
        <v>2.0199999999999999E-2</v>
      </c>
      <c r="J149" s="124"/>
      <c r="K149" s="15">
        <f t="shared" ref="K149" si="75">$G149*I149</f>
        <v>585643.16720000003</v>
      </c>
      <c r="M149" s="31">
        <f>$R$151</f>
        <v>3.8899999999999997E-2</v>
      </c>
      <c r="N149" s="124"/>
      <c r="O149" s="15">
        <f t="shared" si="72"/>
        <v>1127797.9804</v>
      </c>
      <c r="Q149" s="91" t="s">
        <v>19</v>
      </c>
      <c r="R149" s="19">
        <f>R148-R147</f>
        <v>5427.7071586586535</v>
      </c>
      <c r="S149" s="166">
        <f t="shared" si="73"/>
        <v>0</v>
      </c>
      <c r="T149" s="167">
        <f t="shared" si="74"/>
        <v>0</v>
      </c>
    </row>
    <row r="150" spans="1:20">
      <c r="A150" s="239" t="s">
        <v>35</v>
      </c>
      <c r="C150" s="4">
        <v>1901244</v>
      </c>
      <c r="E150" s="14">
        <v>-1.1000000000000001</v>
      </c>
      <c r="F150" s="124"/>
      <c r="G150" s="15">
        <f>ROUND(E150*$C150,0)</f>
        <v>-2091368</v>
      </c>
      <c r="H150" s="20"/>
      <c r="I150" s="31"/>
      <c r="J150" s="124"/>
      <c r="K150" s="15"/>
      <c r="L150" s="20"/>
      <c r="M150" s="31"/>
      <c r="N150" s="124"/>
      <c r="O150" s="15"/>
      <c r="Q150" s="93"/>
      <c r="R150" s="94"/>
      <c r="S150" s="166"/>
      <c r="T150" s="167"/>
    </row>
    <row r="151" spans="1:20">
      <c r="A151" s="239" t="s">
        <v>30</v>
      </c>
      <c r="C151" s="4">
        <v>250201729</v>
      </c>
      <c r="E151" s="141">
        <v>4.8998999999999997</v>
      </c>
      <c r="F151" s="126" t="s">
        <v>12</v>
      </c>
      <c r="G151" s="15">
        <f>ROUND(E151*$C151/100,0)</f>
        <v>12259635</v>
      </c>
      <c r="H151" s="20"/>
      <c r="I151" s="31">
        <v>2.0199999999999999E-2</v>
      </c>
      <c r="J151" s="124"/>
      <c r="K151" s="15">
        <f t="shared" ref="K151:K153" si="76">$G151*I151</f>
        <v>247644.62699999998</v>
      </c>
      <c r="L151" s="20"/>
      <c r="M151" s="31">
        <f t="shared" ref="M151:M153" si="77">$R$151</f>
        <v>3.8899999999999997E-2</v>
      </c>
      <c r="N151" s="124"/>
      <c r="O151" s="15">
        <f t="shared" ref="O151:O153" si="78">$G151*M151</f>
        <v>476899.80149999994</v>
      </c>
      <c r="Q151" s="95" t="s">
        <v>22</v>
      </c>
      <c r="R151" s="96">
        <f>ROUND(R148/SUM(G148:G149,G151:G153,G425:G426,G428:G430),$R$11)</f>
        <v>3.8899999999999997E-2</v>
      </c>
      <c r="S151" s="166">
        <f t="shared" si="73"/>
        <v>0</v>
      </c>
      <c r="T151" s="167">
        <f t="shared" si="74"/>
        <v>0</v>
      </c>
    </row>
    <row r="152" spans="1:20">
      <c r="A152" s="239" t="s">
        <v>55</v>
      </c>
      <c r="C152" s="4">
        <v>596020623</v>
      </c>
      <c r="E152" s="141">
        <v>3.8355999999999999</v>
      </c>
      <c r="F152" s="126" t="s">
        <v>12</v>
      </c>
      <c r="G152" s="15">
        <f>ROUND(E152*$C152/100,0)</f>
        <v>22860967</v>
      </c>
      <c r="H152" s="20"/>
      <c r="I152" s="31">
        <v>2.0199999999999999E-2</v>
      </c>
      <c r="J152" s="124"/>
      <c r="K152" s="15">
        <f t="shared" si="76"/>
        <v>461791.53339999996</v>
      </c>
      <c r="L152" s="20"/>
      <c r="M152" s="31">
        <f t="shared" si="77"/>
        <v>3.8899999999999997E-2</v>
      </c>
      <c r="N152" s="124"/>
      <c r="O152" s="15">
        <f t="shared" si="78"/>
        <v>889291.61629999988</v>
      </c>
      <c r="S152" s="166">
        <f t="shared" si="73"/>
        <v>0</v>
      </c>
      <c r="T152" s="167">
        <f t="shared" si="74"/>
        <v>0</v>
      </c>
    </row>
    <row r="153" spans="1:20">
      <c r="A153" s="239" t="s">
        <v>94</v>
      </c>
      <c r="C153" s="4">
        <v>1230693339</v>
      </c>
      <c r="E153" s="141">
        <v>3.3018999999999998</v>
      </c>
      <c r="F153" s="126" t="s">
        <v>12</v>
      </c>
      <c r="G153" s="15">
        <f>ROUND(E153*$C153/100,0)</f>
        <v>40636263</v>
      </c>
      <c r="H153" s="20"/>
      <c r="I153" s="31">
        <v>2.0199999999999999E-2</v>
      </c>
      <c r="J153" s="124"/>
      <c r="K153" s="15">
        <f t="shared" si="76"/>
        <v>820852.51260000002</v>
      </c>
      <c r="L153" s="20"/>
      <c r="M153" s="31">
        <f t="shared" si="77"/>
        <v>3.8899999999999997E-2</v>
      </c>
      <c r="N153" s="124"/>
      <c r="O153" s="15">
        <f t="shared" si="78"/>
        <v>1580750.6306999999</v>
      </c>
      <c r="S153" s="166">
        <f t="shared" si="73"/>
        <v>0</v>
      </c>
      <c r="T153" s="167">
        <f t="shared" si="74"/>
        <v>0</v>
      </c>
    </row>
    <row r="154" spans="1:20">
      <c r="A154" s="239" t="s">
        <v>25</v>
      </c>
      <c r="C154" s="23">
        <v>0</v>
      </c>
      <c r="G154" s="24">
        <v>0</v>
      </c>
      <c r="H154" s="20"/>
      <c r="K154" s="24"/>
      <c r="L154" s="20"/>
      <c r="O154" s="24"/>
    </row>
    <row r="155" spans="1:20" ht="16.5" thickBot="1">
      <c r="A155" s="239" t="s">
        <v>26</v>
      </c>
      <c r="C155" s="29">
        <v>2076915691</v>
      </c>
      <c r="E155" s="209"/>
      <c r="G155" s="28">
        <f>SUM(G146:G154)</f>
        <v>154784682</v>
      </c>
      <c r="H155" s="20"/>
      <c r="I155" s="137"/>
      <c r="K155" s="28">
        <f>SUM(K146:K154)</f>
        <v>2718626.9586</v>
      </c>
      <c r="L155" s="20"/>
      <c r="M155" s="137"/>
      <c r="O155" s="28">
        <f>SUM(O146:O154)</f>
        <v>5235375.6776999999</v>
      </c>
    </row>
    <row r="156" spans="1:20" ht="16.5" thickTop="1">
      <c r="H156" s="20"/>
      <c r="I156" s="132"/>
      <c r="J156" s="133"/>
      <c r="K156" s="202"/>
      <c r="L156" s="20"/>
      <c r="M156" s="132"/>
      <c r="N156" s="133"/>
      <c r="O156" s="202"/>
    </row>
    <row r="157" spans="1:20">
      <c r="A157" s="238" t="s">
        <v>95</v>
      </c>
      <c r="C157" s="4"/>
      <c r="K157" s="202"/>
      <c r="O157" s="202"/>
    </row>
    <row r="158" spans="1:20">
      <c r="A158" s="239" t="s">
        <v>8</v>
      </c>
      <c r="C158" s="4">
        <v>1710</v>
      </c>
      <c r="E158" s="14">
        <v>247</v>
      </c>
      <c r="F158" s="124"/>
      <c r="G158" s="15">
        <f>ROUND(E158*$C158,0)</f>
        <v>422370</v>
      </c>
      <c r="K158" s="15"/>
      <c r="O158" s="15"/>
      <c r="Q158" s="11" t="s">
        <v>373</v>
      </c>
      <c r="R158" s="12"/>
      <c r="S158" s="166"/>
      <c r="T158" s="167"/>
    </row>
    <row r="159" spans="1:20">
      <c r="A159" s="239" t="s">
        <v>91</v>
      </c>
      <c r="C159" s="4">
        <v>8310024</v>
      </c>
      <c r="E159" s="14">
        <v>2.12</v>
      </c>
      <c r="F159" s="124"/>
      <c r="G159" s="15">
        <f>ROUND(E159*$C159,0)</f>
        <v>17617251</v>
      </c>
      <c r="I159" s="31"/>
      <c r="J159" s="124"/>
      <c r="K159" s="15"/>
      <c r="M159" s="31"/>
      <c r="N159" s="124"/>
      <c r="O159" s="15"/>
      <c r="Q159" s="89" t="s">
        <v>15</v>
      </c>
      <c r="R159" s="17">
        <f>O166+SUM(O433:O437,O469)</f>
        <v>13056649.7918</v>
      </c>
      <c r="S159" s="166"/>
      <c r="T159" s="167"/>
    </row>
    <row r="160" spans="1:20">
      <c r="A160" s="239" t="s">
        <v>92</v>
      </c>
      <c r="C160" s="4">
        <v>3430491</v>
      </c>
      <c r="E160" s="14">
        <v>13.32</v>
      </c>
      <c r="F160" s="124"/>
      <c r="G160" s="15">
        <f>ROUND(E160*$C160,0)</f>
        <v>45694140</v>
      </c>
      <c r="I160" s="31">
        <v>2.23E-2</v>
      </c>
      <c r="J160" s="124"/>
      <c r="K160" s="15">
        <f t="shared" ref="K160" si="79">$G160*I160</f>
        <v>1018979.322</v>
      </c>
      <c r="M160" s="31">
        <f>$R$163</f>
        <v>4.4900000000000002E-2</v>
      </c>
      <c r="N160" s="124"/>
      <c r="O160" s="15">
        <f t="shared" ref="O160:O164" si="80">$G160*M160</f>
        <v>2051666.8860000002</v>
      </c>
      <c r="Q160" s="90" t="s">
        <v>17</v>
      </c>
      <c r="R160" s="18">
        <f>('Exhibit-RMP(JRS-1)'!T25+'Exhibit-RMP(JRS-1)'!T36+'Exhibit-RMP(JRS-1)'!T33*SUM('Exhibit-RMP(JRS-2)'!G433:G437)/SUM('Exhibit-RMP(JRS-2)'!G425:G426,'Exhibit-RMP(JRS-2)'!G428:G430,'Exhibit-RMP(JRS-2)'!G433:G437))*1000</f>
        <v>13053045.58364501</v>
      </c>
      <c r="S160" s="166">
        <f t="shared" ref="S160:S164" si="81">G160*I160-K160</f>
        <v>0</v>
      </c>
      <c r="T160" s="167">
        <f t="shared" ref="T160:T164" si="82">G160*M160-O160</f>
        <v>0</v>
      </c>
    </row>
    <row r="161" spans="1:20">
      <c r="A161" s="239" t="s">
        <v>93</v>
      </c>
      <c r="C161" s="4">
        <v>4733270</v>
      </c>
      <c r="E161" s="14">
        <v>9.0299999999999994</v>
      </c>
      <c r="F161" s="124"/>
      <c r="G161" s="15">
        <f>ROUND(E161*$C161,0)</f>
        <v>42741428</v>
      </c>
      <c r="I161" s="31">
        <v>2.23E-2</v>
      </c>
      <c r="J161" s="124"/>
      <c r="K161" s="15">
        <f t="shared" ref="K161:K164" si="83">$G161*I161</f>
        <v>953133.84440000006</v>
      </c>
      <c r="M161" s="31">
        <f t="shared" ref="M161:M164" si="84">$R$163</f>
        <v>4.4900000000000002E-2</v>
      </c>
      <c r="N161" s="124"/>
      <c r="O161" s="15">
        <f t="shared" si="80"/>
        <v>1919090.1172000002</v>
      </c>
      <c r="Q161" s="91" t="s">
        <v>19</v>
      </c>
      <c r="R161" s="19">
        <f>R160-R159</f>
        <v>-3604.2081549894065</v>
      </c>
      <c r="S161" s="166">
        <f t="shared" si="81"/>
        <v>0</v>
      </c>
      <c r="T161" s="167">
        <f t="shared" si="82"/>
        <v>0</v>
      </c>
    </row>
    <row r="162" spans="1:20">
      <c r="A162" s="239" t="s">
        <v>96</v>
      </c>
      <c r="C162" s="4">
        <v>471006782</v>
      </c>
      <c r="E162" s="142">
        <v>4.4379</v>
      </c>
      <c r="F162" s="126" t="s">
        <v>12</v>
      </c>
      <c r="G162" s="15">
        <f>ROUND(E162*$C162/100,0)</f>
        <v>20902810</v>
      </c>
      <c r="I162" s="31">
        <v>2.23E-2</v>
      </c>
      <c r="J162" s="124"/>
      <c r="K162" s="15">
        <f t="shared" si="83"/>
        <v>466132.663</v>
      </c>
      <c r="M162" s="31">
        <f t="shared" si="84"/>
        <v>4.4900000000000002E-2</v>
      </c>
      <c r="N162" s="124"/>
      <c r="O162" s="15">
        <f t="shared" si="80"/>
        <v>938536.16899999999</v>
      </c>
      <c r="Q162" s="93"/>
      <c r="R162" s="103"/>
      <c r="S162" s="166">
        <f t="shared" si="81"/>
        <v>0</v>
      </c>
      <c r="T162" s="167">
        <f t="shared" si="82"/>
        <v>0</v>
      </c>
    </row>
    <row r="163" spans="1:20">
      <c r="A163" s="239" t="s">
        <v>97</v>
      </c>
      <c r="C163" s="4">
        <v>1240617545</v>
      </c>
      <c r="E163" s="125">
        <v>3.3371</v>
      </c>
      <c r="F163" s="126" t="s">
        <v>12</v>
      </c>
      <c r="G163" s="15">
        <f>ROUND(E163*$C163/100,0)</f>
        <v>41400648</v>
      </c>
      <c r="I163" s="31">
        <v>2.23E-2</v>
      </c>
      <c r="J163" s="124"/>
      <c r="K163" s="15">
        <f t="shared" si="83"/>
        <v>923234.45039999997</v>
      </c>
      <c r="M163" s="31">
        <f t="shared" si="84"/>
        <v>4.4900000000000002E-2</v>
      </c>
      <c r="N163" s="124"/>
      <c r="O163" s="15">
        <f t="shared" si="80"/>
        <v>1858889.0952000001</v>
      </c>
      <c r="Q163" s="95" t="s">
        <v>22</v>
      </c>
      <c r="R163" s="104">
        <f>ROUND(R160/SUM(G160:G164,G433:G437,G463:G468),$R$11)+R166</f>
        <v>4.4900000000000002E-2</v>
      </c>
      <c r="S163" s="166">
        <f t="shared" si="81"/>
        <v>0</v>
      </c>
      <c r="T163" s="167">
        <f t="shared" si="82"/>
        <v>0</v>
      </c>
    </row>
    <row r="164" spans="1:20">
      <c r="A164" s="239" t="s">
        <v>94</v>
      </c>
      <c r="C164" s="4">
        <v>2826442914.974</v>
      </c>
      <c r="E164" s="142">
        <v>2.7873000000000001</v>
      </c>
      <c r="F164" s="126" t="s">
        <v>12</v>
      </c>
      <c r="G164" s="15">
        <f>ROUND(E164*$C164/100,0)</f>
        <v>78781443</v>
      </c>
      <c r="I164" s="31">
        <v>2.23E-2</v>
      </c>
      <c r="J164" s="124"/>
      <c r="K164" s="15">
        <f t="shared" si="83"/>
        <v>1756826.1788999999</v>
      </c>
      <c r="M164" s="31">
        <f t="shared" si="84"/>
        <v>4.4900000000000002E-2</v>
      </c>
      <c r="N164" s="124"/>
      <c r="O164" s="15">
        <f t="shared" si="80"/>
        <v>3537286.7907000002</v>
      </c>
      <c r="Q164" s="32" t="s">
        <v>48</v>
      </c>
      <c r="R164" s="33">
        <f>'Table A'!S51</f>
        <v>60203.284102618039</v>
      </c>
      <c r="S164" s="166">
        <f t="shared" si="81"/>
        <v>0</v>
      </c>
      <c r="T164" s="167">
        <f t="shared" si="82"/>
        <v>0</v>
      </c>
    </row>
    <row r="165" spans="1:20">
      <c r="A165" s="239" t="s">
        <v>25</v>
      </c>
      <c r="C165" s="23">
        <v>0</v>
      </c>
      <c r="G165" s="24">
        <v>0</v>
      </c>
      <c r="K165" s="24"/>
      <c r="O165" s="24"/>
      <c r="Q165" s="32" t="s">
        <v>49</v>
      </c>
      <c r="R165" s="33">
        <f>'Exhibit-RMP(JRS-1)'!T51</f>
        <v>59739.435394071312</v>
      </c>
      <c r="S165" s="166"/>
      <c r="T165" s="167"/>
    </row>
    <row r="166" spans="1:20" ht="16.5" thickBot="1">
      <c r="A166" s="239" t="s">
        <v>26</v>
      </c>
      <c r="C166" s="29">
        <v>4538067241.974</v>
      </c>
      <c r="E166" s="209"/>
      <c r="G166" s="28">
        <f>SUM(G158:G165)</f>
        <v>247560090</v>
      </c>
      <c r="I166" s="137"/>
      <c r="K166" s="28">
        <f>SUM(K158:K165)</f>
        <v>5118306.4587000003</v>
      </c>
      <c r="M166" s="137"/>
      <c r="O166" s="28">
        <f>SUM(O158:O165)</f>
        <v>10305469.0581</v>
      </c>
      <c r="Q166" s="34" t="s">
        <v>27</v>
      </c>
      <c r="R166" s="39">
        <v>0</v>
      </c>
      <c r="S166" s="166"/>
      <c r="T166" s="167"/>
    </row>
    <row r="167" spans="1:20" ht="16.5" thickTop="1">
      <c r="C167" s="4"/>
      <c r="K167" s="202"/>
      <c r="O167" s="202"/>
    </row>
    <row r="168" spans="1:20">
      <c r="A168" s="238" t="s">
        <v>352</v>
      </c>
      <c r="C168" s="4"/>
      <c r="E168" s="30"/>
      <c r="F168" s="139"/>
      <c r="I168" s="132"/>
      <c r="J168" s="133"/>
      <c r="K168" s="202"/>
      <c r="M168" s="132"/>
      <c r="N168" s="133"/>
      <c r="O168" s="202"/>
    </row>
    <row r="169" spans="1:20">
      <c r="A169" s="239" t="s">
        <v>8</v>
      </c>
      <c r="C169" s="4">
        <v>107.9999833333333</v>
      </c>
      <c r="E169" s="14">
        <v>247</v>
      </c>
      <c r="F169" s="124"/>
      <c r="G169" s="15">
        <f>ROUND(E169*$C169,0)</f>
        <v>26676</v>
      </c>
      <c r="K169" s="15"/>
      <c r="O169" s="15"/>
      <c r="Q169" s="89" t="s">
        <v>15</v>
      </c>
      <c r="R169" s="17">
        <f>O174</f>
        <v>131919.7629</v>
      </c>
      <c r="S169" s="166"/>
      <c r="T169" s="167"/>
    </row>
    <row r="170" spans="1:20">
      <c r="A170" s="239" t="s">
        <v>98</v>
      </c>
      <c r="C170" s="4">
        <v>247208</v>
      </c>
      <c r="E170" s="14">
        <v>2.12</v>
      </c>
      <c r="F170" s="124"/>
      <c r="G170" s="15">
        <f>ROUND(E170*$C170,0)</f>
        <v>524081</v>
      </c>
      <c r="I170" s="130"/>
      <c r="J170" s="139"/>
      <c r="K170" s="15"/>
      <c r="M170" s="130"/>
      <c r="N170" s="139"/>
      <c r="O170" s="15"/>
      <c r="Q170" s="90" t="s">
        <v>17</v>
      </c>
      <c r="R170" s="18">
        <f>'Exhibit-RMP(JRS-1)'!T26*1000</f>
        <v>131916.78613091438</v>
      </c>
      <c r="S170" s="166"/>
      <c r="T170" s="167"/>
    </row>
    <row r="171" spans="1:20">
      <c r="A171" s="239" t="s">
        <v>99</v>
      </c>
      <c r="C171" s="4">
        <v>24112579</v>
      </c>
      <c r="E171" s="136">
        <v>8.2002000000000006</v>
      </c>
      <c r="F171" s="126" t="s">
        <v>12</v>
      </c>
      <c r="G171" s="15">
        <f>ROUND(E171*$C171/100,0)</f>
        <v>1977280</v>
      </c>
      <c r="I171" s="31">
        <v>2.4799999999999999E-2</v>
      </c>
      <c r="J171" s="126"/>
      <c r="K171" s="15">
        <f t="shared" ref="K171" si="85">$G171*I171</f>
        <v>49036.544000000002</v>
      </c>
      <c r="M171" s="31">
        <f>$R$173</f>
        <v>5.0099999999999999E-2</v>
      </c>
      <c r="N171" s="126"/>
      <c r="O171" s="15">
        <f t="shared" ref="O171:O172" si="86">$G171*M171</f>
        <v>99061.728000000003</v>
      </c>
      <c r="Q171" s="91" t="s">
        <v>19</v>
      </c>
      <c r="R171" s="19">
        <f>R170-R169</f>
        <v>-2.9767690856242552</v>
      </c>
      <c r="S171" s="166">
        <f t="shared" ref="S171:S172" si="87">G171*I171-K171</f>
        <v>0</v>
      </c>
      <c r="T171" s="167">
        <f t="shared" ref="T171:T172" si="88">G171*M171-O171</f>
        <v>0</v>
      </c>
    </row>
    <row r="172" spans="1:20">
      <c r="A172" s="239" t="s">
        <v>94</v>
      </c>
      <c r="C172" s="4">
        <v>18605127</v>
      </c>
      <c r="E172" s="136">
        <v>3.5251000000000001</v>
      </c>
      <c r="F172" s="126" t="s">
        <v>12</v>
      </c>
      <c r="G172" s="15">
        <f>ROUND(E172*$C172/100,0)</f>
        <v>655849</v>
      </c>
      <c r="I172" s="31">
        <v>2.4799999999999999E-2</v>
      </c>
      <c r="J172" s="126"/>
      <c r="K172" s="15">
        <f t="shared" ref="K172" si="89">$G172*I172</f>
        <v>16265.055199999999</v>
      </c>
      <c r="M172" s="31">
        <f>$R$173</f>
        <v>5.0099999999999999E-2</v>
      </c>
      <c r="N172" s="126"/>
      <c r="O172" s="15">
        <f t="shared" si="86"/>
        <v>32858.034899999999</v>
      </c>
      <c r="Q172" s="93"/>
      <c r="R172" s="105"/>
      <c r="S172" s="166">
        <f t="shared" si="87"/>
        <v>0</v>
      </c>
      <c r="T172" s="167">
        <f t="shared" si="88"/>
        <v>0</v>
      </c>
    </row>
    <row r="173" spans="1:20">
      <c r="A173" s="239" t="s">
        <v>25</v>
      </c>
      <c r="C173" s="23">
        <v>0</v>
      </c>
      <c r="G173" s="24">
        <v>0</v>
      </c>
      <c r="K173" s="24"/>
      <c r="O173" s="24"/>
      <c r="Q173" s="95" t="s">
        <v>22</v>
      </c>
      <c r="R173" s="96">
        <f>ROUND(R170/SUM(G171:G172),$R$11)</f>
        <v>5.0099999999999999E-2</v>
      </c>
      <c r="S173" s="166"/>
      <c r="T173" s="167"/>
    </row>
    <row r="174" spans="1:20" ht="16.5" thickBot="1">
      <c r="A174" s="239" t="s">
        <v>26</v>
      </c>
      <c r="C174" s="29">
        <v>42717706</v>
      </c>
      <c r="E174" s="209"/>
      <c r="G174" s="28">
        <f>SUM(G169:G173)</f>
        <v>3183886</v>
      </c>
      <c r="I174" s="137"/>
      <c r="K174" s="28">
        <f>SUM(K169:K173)</f>
        <v>65301.599199999997</v>
      </c>
      <c r="M174" s="137"/>
      <c r="O174" s="28">
        <f>SUM(O169:O173)</f>
        <v>131919.7629</v>
      </c>
    </row>
    <row r="175" spans="1:20" ht="16.5" thickTop="1">
      <c r="C175" s="4"/>
      <c r="K175" s="202"/>
      <c r="O175" s="202"/>
    </row>
    <row r="176" spans="1:20">
      <c r="A176" s="238" t="s">
        <v>100</v>
      </c>
      <c r="K176" s="202"/>
      <c r="O176" s="202"/>
    </row>
    <row r="177" spans="1:20">
      <c r="A177" s="239" t="s">
        <v>101</v>
      </c>
      <c r="C177" s="4">
        <v>6</v>
      </c>
      <c r="E177" s="129">
        <v>121</v>
      </c>
      <c r="F177" s="20"/>
      <c r="G177" s="15">
        <f>ROUND(E177*$C177,0)</f>
        <v>726</v>
      </c>
      <c r="I177" s="130"/>
      <c r="J177" s="20"/>
      <c r="K177" s="15"/>
      <c r="M177" s="130"/>
      <c r="N177" s="20"/>
      <c r="O177" s="15"/>
      <c r="Q177" s="89" t="s">
        <v>15</v>
      </c>
      <c r="R177" s="17">
        <f>O190+O206</f>
        <v>462283.78909999994</v>
      </c>
      <c r="S177" s="166"/>
      <c r="T177" s="167"/>
    </row>
    <row r="178" spans="1:20">
      <c r="A178" s="239" t="s">
        <v>102</v>
      </c>
      <c r="C178" s="4">
        <v>2641</v>
      </c>
      <c r="E178" s="129">
        <v>37</v>
      </c>
      <c r="F178" s="20"/>
      <c r="G178" s="15">
        <f>ROUND(E178*$C178,0)</f>
        <v>97717</v>
      </c>
      <c r="I178" s="130"/>
      <c r="J178" s="20"/>
      <c r="K178" s="15"/>
      <c r="M178" s="130"/>
      <c r="N178" s="20"/>
      <c r="O178" s="15"/>
      <c r="Q178" s="90" t="s">
        <v>17</v>
      </c>
      <c r="R178" s="18">
        <f>'Exhibit-RMP(JRS-1)'!T30*1000</f>
        <v>462985.25001403253</v>
      </c>
      <c r="S178" s="166"/>
      <c r="T178" s="167"/>
    </row>
    <row r="179" spans="1:20">
      <c r="A179" s="239" t="s">
        <v>103</v>
      </c>
      <c r="C179" s="4">
        <v>11758</v>
      </c>
      <c r="E179" s="129">
        <v>14</v>
      </c>
      <c r="F179" s="20"/>
      <c r="G179" s="15">
        <f>ROUND(E179*$C179,0)</f>
        <v>164612</v>
      </c>
      <c r="I179" s="130"/>
      <c r="J179" s="20"/>
      <c r="K179" s="15"/>
      <c r="M179" s="130"/>
      <c r="N179" s="20"/>
      <c r="O179" s="15"/>
      <c r="Q179" s="91" t="s">
        <v>19</v>
      </c>
      <c r="R179" s="19">
        <f>R178-R177</f>
        <v>701.46091403259197</v>
      </c>
      <c r="S179" s="166"/>
      <c r="T179" s="167"/>
    </row>
    <row r="180" spans="1:20">
      <c r="A180" s="239" t="s">
        <v>104</v>
      </c>
      <c r="C180" s="4">
        <v>374044</v>
      </c>
      <c r="E180" s="129">
        <v>7.04</v>
      </c>
      <c r="F180" s="20"/>
      <c r="G180" s="15">
        <f>ROUND(E180*$C180,0)</f>
        <v>2633270</v>
      </c>
      <c r="I180" s="130">
        <v>1.6899999999999998E-2</v>
      </c>
      <c r="J180" s="20"/>
      <c r="K180" s="15">
        <f t="shared" ref="K180" si="90">$G180*I180</f>
        <v>44502.262999999999</v>
      </c>
      <c r="M180" s="130">
        <f>$R$181</f>
        <v>3.2899999999999999E-2</v>
      </c>
      <c r="N180" s="20"/>
      <c r="O180" s="15">
        <f t="shared" ref="O180" si="91">$G180*M180</f>
        <v>86634.582999999999</v>
      </c>
      <c r="Q180" s="93"/>
      <c r="R180" s="105"/>
      <c r="S180" s="166">
        <f t="shared" ref="S180:S181" si="92">G180*I180-K180</f>
        <v>0</v>
      </c>
      <c r="T180" s="167">
        <f t="shared" ref="T180:T181" si="93">G180*M180-O180</f>
        <v>0</v>
      </c>
    </row>
    <row r="181" spans="1:20">
      <c r="A181" s="239" t="s">
        <v>35</v>
      </c>
      <c r="C181" s="4">
        <v>4469</v>
      </c>
      <c r="E181" s="129">
        <v>-1.97</v>
      </c>
      <c r="F181" s="20"/>
      <c r="G181" s="15">
        <f>ROUND(E181*$C181,0)</f>
        <v>-8804</v>
      </c>
      <c r="I181" s="130"/>
      <c r="J181" s="20"/>
      <c r="K181" s="15"/>
      <c r="M181" s="130"/>
      <c r="N181" s="20"/>
      <c r="O181" s="15"/>
      <c r="Q181" s="95" t="s">
        <v>22</v>
      </c>
      <c r="R181" s="96">
        <f>ROUND(R178/SUM(G180,G182:G183,G187,G196,G198:G199,G203),$R$11)</f>
        <v>3.2899999999999999E-2</v>
      </c>
      <c r="S181" s="166">
        <f t="shared" si="92"/>
        <v>0</v>
      </c>
      <c r="T181" s="167">
        <f t="shared" si="93"/>
        <v>0</v>
      </c>
    </row>
    <row r="182" spans="1:20">
      <c r="A182" s="239" t="s">
        <v>105</v>
      </c>
      <c r="C182" s="4">
        <v>79033048</v>
      </c>
      <c r="E182" s="136">
        <v>7.0156000000000001</v>
      </c>
      <c r="F182" s="126" t="s">
        <v>12</v>
      </c>
      <c r="G182" s="15">
        <f>ROUND(E182*$C182/100,0)</f>
        <v>5544643</v>
      </c>
      <c r="I182" s="130">
        <v>1.6899999999999998E-2</v>
      </c>
      <c r="J182" s="126"/>
      <c r="K182" s="15">
        <f t="shared" ref="K182:K183" si="94">$G182*I182</f>
        <v>93704.46669999999</v>
      </c>
      <c r="M182" s="130">
        <f t="shared" ref="M182:M183" si="95">$R$181</f>
        <v>3.2899999999999999E-2</v>
      </c>
      <c r="N182" s="126"/>
      <c r="O182" s="15">
        <f t="shared" ref="O182:O183" si="96">$G182*M182</f>
        <v>182418.75469999999</v>
      </c>
      <c r="S182" s="166"/>
      <c r="T182" s="167"/>
    </row>
    <row r="183" spans="1:20">
      <c r="A183" s="239" t="s">
        <v>106</v>
      </c>
      <c r="C183" s="23">
        <v>49786304</v>
      </c>
      <c r="E183" s="136">
        <v>5.1855000000000002</v>
      </c>
      <c r="F183" s="126" t="s">
        <v>12</v>
      </c>
      <c r="G183" s="24">
        <f>ROUND(E183*$C183/100,0)</f>
        <v>2581669</v>
      </c>
      <c r="I183" s="130">
        <v>1.6899999999999998E-2</v>
      </c>
      <c r="J183" s="126"/>
      <c r="K183" s="24">
        <f t="shared" si="94"/>
        <v>43630.206099999996</v>
      </c>
      <c r="M183" s="130">
        <f t="shared" si="95"/>
        <v>3.2899999999999999E-2</v>
      </c>
      <c r="N183" s="126"/>
      <c r="O183" s="24">
        <f t="shared" si="96"/>
        <v>84936.910099999994</v>
      </c>
      <c r="S183" s="166"/>
      <c r="T183" s="167"/>
    </row>
    <row r="184" spans="1:20">
      <c r="A184" s="239" t="s">
        <v>107</v>
      </c>
      <c r="C184" s="40">
        <v>128819352</v>
      </c>
      <c r="E184" s="201"/>
      <c r="G184" s="24">
        <f>SUM(G177:G183)</f>
        <v>11013833</v>
      </c>
      <c r="I184" s="151"/>
      <c r="K184" s="24">
        <f>SUM(K177:K183)</f>
        <v>181836.93579999998</v>
      </c>
      <c r="M184" s="151"/>
      <c r="O184" s="24">
        <f>SUM(O177:O183)</f>
        <v>353990.24779999995</v>
      </c>
    </row>
    <row r="185" spans="1:20">
      <c r="A185" s="239" t="s">
        <v>108</v>
      </c>
      <c r="C185" s="4"/>
      <c r="I185" s="151"/>
      <c r="K185" s="202"/>
      <c r="M185" s="151"/>
      <c r="O185" s="202"/>
    </row>
    <row r="186" spans="1:20">
      <c r="A186" s="239" t="s">
        <v>109</v>
      </c>
      <c r="C186" s="16">
        <v>5098</v>
      </c>
      <c r="E186" s="20">
        <v>14</v>
      </c>
      <c r="F186" s="20"/>
      <c r="G186" s="21">
        <f>ROUND(E186*$C186,0)</f>
        <v>71372</v>
      </c>
      <c r="I186" s="145"/>
      <c r="J186" s="20"/>
      <c r="K186" s="21"/>
      <c r="M186" s="145"/>
      <c r="N186" s="20"/>
      <c r="O186" s="21"/>
    </row>
    <row r="187" spans="1:20">
      <c r="A187" s="239" t="s">
        <v>110</v>
      </c>
      <c r="C187" s="23">
        <v>42136180</v>
      </c>
      <c r="E187" s="136">
        <v>4.8055000000000003</v>
      </c>
      <c r="F187" s="126" t="s">
        <v>12</v>
      </c>
      <c r="G187" s="24">
        <f>ROUND(E187*$C187/100,0)</f>
        <v>2024854</v>
      </c>
      <c r="I187" s="145">
        <v>1.6899999999999998E-2</v>
      </c>
      <c r="J187" s="126"/>
      <c r="K187" s="24">
        <f t="shared" ref="K187" si="97">$G187*I187</f>
        <v>34220.032599999999</v>
      </c>
      <c r="M187" s="130">
        <f>$R$181</f>
        <v>3.2899999999999999E-2</v>
      </c>
      <c r="N187" s="126"/>
      <c r="O187" s="24">
        <f t="shared" ref="O187" si="98">$G187*M187</f>
        <v>66617.696599999996</v>
      </c>
      <c r="S187" s="166">
        <f t="shared" ref="S187" si="99">G187*I187-K187</f>
        <v>0</v>
      </c>
      <c r="T187" s="167">
        <f t="shared" ref="T187" si="100">G187*M187-O187</f>
        <v>0</v>
      </c>
    </row>
    <row r="188" spans="1:20">
      <c r="A188" s="239" t="s">
        <v>111</v>
      </c>
      <c r="C188" s="23">
        <v>42136180</v>
      </c>
      <c r="E188" s="211"/>
      <c r="G188" s="24">
        <f>G186+G187</f>
        <v>2096226</v>
      </c>
      <c r="I188" s="151"/>
      <c r="K188" s="24">
        <f>K186+K187</f>
        <v>34220.032599999999</v>
      </c>
      <c r="M188" s="151"/>
      <c r="O188" s="24">
        <f>O186+O187</f>
        <v>66617.696599999996</v>
      </c>
    </row>
    <row r="189" spans="1:20">
      <c r="A189" s="239" t="s">
        <v>25</v>
      </c>
      <c r="C189" s="23">
        <v>0</v>
      </c>
      <c r="G189" s="24">
        <v>0</v>
      </c>
      <c r="I189" s="151"/>
      <c r="K189" s="24"/>
      <c r="M189" s="151"/>
      <c r="O189" s="24"/>
    </row>
    <row r="190" spans="1:20" ht="16.5" thickBot="1">
      <c r="A190" s="239" t="s">
        <v>112</v>
      </c>
      <c r="C190" s="29">
        <v>170955532</v>
      </c>
      <c r="E190" s="209"/>
      <c r="G190" s="28">
        <f>G188+G184+G189</f>
        <v>13110059</v>
      </c>
      <c r="I190" s="137"/>
      <c r="K190" s="28">
        <f>K188+K184+K189</f>
        <v>216056.96839999998</v>
      </c>
      <c r="M190" s="137"/>
      <c r="O190" s="28">
        <f>O188+O184+O189</f>
        <v>420607.94439999992</v>
      </c>
    </row>
    <row r="191" spans="1:20" ht="16.5" thickTop="1">
      <c r="C191" s="4"/>
      <c r="I191" s="132"/>
      <c r="J191" s="133"/>
      <c r="K191" s="202"/>
      <c r="M191" s="132"/>
      <c r="N191" s="133"/>
      <c r="O191" s="202"/>
    </row>
    <row r="192" spans="1:20">
      <c r="A192" s="238" t="s">
        <v>113</v>
      </c>
      <c r="C192" s="4"/>
      <c r="K192" s="202"/>
      <c r="O192" s="202"/>
    </row>
    <row r="193" spans="1:20">
      <c r="A193" s="239" t="s">
        <v>101</v>
      </c>
      <c r="C193" s="4">
        <v>3</v>
      </c>
      <c r="E193" s="129">
        <v>121</v>
      </c>
      <c r="F193" s="20"/>
      <c r="G193" s="15">
        <f>ROUND(E193*$C193,0)</f>
        <v>363</v>
      </c>
      <c r="K193" s="15"/>
      <c r="O193" s="15"/>
    </row>
    <row r="194" spans="1:20">
      <c r="A194" s="239" t="s">
        <v>102</v>
      </c>
      <c r="C194" s="16">
        <v>260</v>
      </c>
      <c r="E194" s="129">
        <v>37</v>
      </c>
      <c r="F194" s="20"/>
      <c r="G194" s="15">
        <f>ROUND(E194*$C194,0)</f>
        <v>9620</v>
      </c>
      <c r="I194" s="130"/>
      <c r="J194" s="20"/>
      <c r="K194" s="15"/>
      <c r="M194" s="130"/>
      <c r="N194" s="20"/>
      <c r="O194" s="15"/>
    </row>
    <row r="195" spans="1:20">
      <c r="A195" s="239" t="s">
        <v>114</v>
      </c>
      <c r="C195" s="16">
        <v>1144</v>
      </c>
      <c r="E195" s="129">
        <v>14</v>
      </c>
      <c r="F195" s="20"/>
      <c r="G195" s="15">
        <f>ROUND(E195*$C195,0)</f>
        <v>16016</v>
      </c>
      <c r="I195" s="130"/>
      <c r="J195" s="20"/>
      <c r="K195" s="15"/>
      <c r="M195" s="130"/>
      <c r="N195" s="20"/>
      <c r="O195" s="15"/>
    </row>
    <row r="196" spans="1:20">
      <c r="A196" s="239" t="s">
        <v>104</v>
      </c>
      <c r="C196" s="16">
        <v>46123</v>
      </c>
      <c r="E196" s="129">
        <v>7.04</v>
      </c>
      <c r="F196" s="20"/>
      <c r="G196" s="15">
        <f>ROUND(E196*$C196,0)</f>
        <v>324706</v>
      </c>
      <c r="I196" s="130">
        <v>1.6899999999999998E-2</v>
      </c>
      <c r="J196" s="20"/>
      <c r="K196" s="15">
        <f t="shared" ref="K196" si="101">$G196*I196</f>
        <v>5487.5313999999998</v>
      </c>
      <c r="M196" s="130">
        <f>$R$181</f>
        <v>3.2899999999999999E-2</v>
      </c>
      <c r="N196" s="20"/>
      <c r="O196" s="15">
        <f t="shared" ref="O196" si="102">$G196*M196</f>
        <v>10682.8274</v>
      </c>
      <c r="S196" s="166">
        <f t="shared" ref="S196:S199" si="103">G196*I196-K196</f>
        <v>0</v>
      </c>
      <c r="T196" s="167">
        <f t="shared" ref="T196:T199" si="104">G196*M196-O196</f>
        <v>0</v>
      </c>
    </row>
    <row r="197" spans="1:20">
      <c r="A197" s="239" t="s">
        <v>115</v>
      </c>
      <c r="C197" s="16">
        <v>2564</v>
      </c>
      <c r="E197" s="129">
        <v>-1.97</v>
      </c>
      <c r="F197" s="20"/>
      <c r="G197" s="15">
        <f>ROUND(E197*$C197,0)</f>
        <v>-5051</v>
      </c>
      <c r="I197" s="130"/>
      <c r="J197" s="20"/>
      <c r="K197" s="15"/>
      <c r="M197" s="130"/>
      <c r="N197" s="20"/>
      <c r="O197" s="15"/>
      <c r="S197" s="166"/>
      <c r="T197" s="167"/>
    </row>
    <row r="198" spans="1:20">
      <c r="A198" s="239" t="s">
        <v>99</v>
      </c>
      <c r="C198" s="16">
        <v>2538780</v>
      </c>
      <c r="E198" s="136">
        <v>13.860300000000001</v>
      </c>
      <c r="F198" s="126" t="s">
        <v>12</v>
      </c>
      <c r="G198" s="15">
        <f>ROUND(E198*$C198/100,0)</f>
        <v>351883</v>
      </c>
      <c r="I198" s="130">
        <v>1.6899999999999998E-2</v>
      </c>
      <c r="J198" s="126"/>
      <c r="K198" s="15">
        <f t="shared" ref="K198:K199" si="105">$G198*I198</f>
        <v>5946.8226999999997</v>
      </c>
      <c r="M198" s="130">
        <f t="shared" ref="M198:M199" si="106">$R$181</f>
        <v>3.2899999999999999E-2</v>
      </c>
      <c r="N198" s="126"/>
      <c r="O198" s="15">
        <f t="shared" ref="O198:O199" si="107">$G198*M198</f>
        <v>11576.950699999999</v>
      </c>
      <c r="S198" s="166">
        <f t="shared" si="103"/>
        <v>0</v>
      </c>
      <c r="T198" s="167">
        <f t="shared" si="104"/>
        <v>0</v>
      </c>
    </row>
    <row r="199" spans="1:20">
      <c r="A199" s="239" t="s">
        <v>94</v>
      </c>
      <c r="C199" s="23">
        <v>9267796</v>
      </c>
      <c r="E199" s="30">
        <v>4.0251999999999999</v>
      </c>
      <c r="F199" s="126" t="s">
        <v>12</v>
      </c>
      <c r="G199" s="24">
        <f>ROUND(E199*$C199/100,0)</f>
        <v>373047</v>
      </c>
      <c r="I199" s="130">
        <v>1.6899999999999998E-2</v>
      </c>
      <c r="J199" s="126"/>
      <c r="K199" s="24">
        <f t="shared" si="105"/>
        <v>6304.4942999999994</v>
      </c>
      <c r="M199" s="130">
        <f t="shared" si="106"/>
        <v>3.2899999999999999E-2</v>
      </c>
      <c r="N199" s="126"/>
      <c r="O199" s="24">
        <f t="shared" si="107"/>
        <v>12273.246299999999</v>
      </c>
      <c r="S199" s="166">
        <f t="shared" si="103"/>
        <v>0</v>
      </c>
      <c r="T199" s="167">
        <f t="shared" si="104"/>
        <v>0</v>
      </c>
    </row>
    <row r="200" spans="1:20">
      <c r="A200" s="239" t="s">
        <v>107</v>
      </c>
      <c r="C200" s="23">
        <v>11806576</v>
      </c>
      <c r="E200" s="201"/>
      <c r="G200" s="24">
        <f>SUM(G193:G199)</f>
        <v>1070584</v>
      </c>
      <c r="I200" s="151"/>
      <c r="K200" s="24">
        <f>SUM(K193:K199)</f>
        <v>17738.848399999999</v>
      </c>
      <c r="M200" s="151"/>
      <c r="O200" s="24">
        <f>SUM(O193:O199)</f>
        <v>34533.024399999995</v>
      </c>
    </row>
    <row r="201" spans="1:20">
      <c r="A201" s="239" t="s">
        <v>108</v>
      </c>
      <c r="C201" s="4"/>
      <c r="E201" s="201"/>
      <c r="I201" s="151"/>
      <c r="K201" s="202"/>
      <c r="M201" s="151"/>
      <c r="O201" s="202"/>
    </row>
    <row r="202" spans="1:20">
      <c r="A202" s="239" t="s">
        <v>109</v>
      </c>
      <c r="C202" s="16">
        <v>551</v>
      </c>
      <c r="E202" s="20">
        <v>14</v>
      </c>
      <c r="F202" s="20"/>
      <c r="G202" s="21">
        <f>ROUND(E202*$C202,0)</f>
        <v>7714</v>
      </c>
      <c r="I202" s="145"/>
      <c r="J202" s="20"/>
      <c r="K202" s="21"/>
      <c r="M202" s="145"/>
      <c r="N202" s="20"/>
      <c r="O202" s="21"/>
    </row>
    <row r="203" spans="1:20">
      <c r="A203" s="239" t="s">
        <v>110</v>
      </c>
      <c r="C203" s="23">
        <v>4517896</v>
      </c>
      <c r="E203" s="139">
        <v>4.8055000000000003</v>
      </c>
      <c r="F203" s="126" t="s">
        <v>12</v>
      </c>
      <c r="G203" s="24">
        <f>ROUND(E203*$C203/100,0)</f>
        <v>217107</v>
      </c>
      <c r="I203" s="145">
        <v>1.6899999999999998E-2</v>
      </c>
      <c r="J203" s="126"/>
      <c r="K203" s="24">
        <f t="shared" ref="K203" si="108">$G203*I203</f>
        <v>3669.1082999999994</v>
      </c>
      <c r="M203" s="130">
        <f>$R$181</f>
        <v>3.2899999999999999E-2</v>
      </c>
      <c r="N203" s="126"/>
      <c r="O203" s="24">
        <f t="shared" ref="O203" si="109">$G203*M203</f>
        <v>7142.8202999999994</v>
      </c>
      <c r="S203" s="166">
        <f t="shared" ref="S203" si="110">G203*I203-K203</f>
        <v>0</v>
      </c>
      <c r="T203" s="167">
        <f t="shared" ref="T203" si="111">G203*M203-O203</f>
        <v>0</v>
      </c>
    </row>
    <row r="204" spans="1:20">
      <c r="A204" s="239" t="s">
        <v>111</v>
      </c>
      <c r="C204" s="23">
        <v>4517896</v>
      </c>
      <c r="E204" s="201"/>
      <c r="G204" s="24">
        <f>G202+G203</f>
        <v>224821</v>
      </c>
      <c r="I204" s="151"/>
      <c r="K204" s="24">
        <f>K202+K203</f>
        <v>3669.1082999999994</v>
      </c>
      <c r="M204" s="151"/>
      <c r="O204" s="24">
        <f>O202+O203</f>
        <v>7142.8202999999994</v>
      </c>
    </row>
    <row r="205" spans="1:20">
      <c r="A205" s="239" t="s">
        <v>25</v>
      </c>
      <c r="C205" s="23">
        <v>0</v>
      </c>
      <c r="E205" s="201"/>
      <c r="G205" s="24">
        <v>0</v>
      </c>
      <c r="I205" s="151"/>
      <c r="K205" s="24"/>
      <c r="M205" s="151"/>
      <c r="O205" s="24"/>
    </row>
    <row r="206" spans="1:20" ht="16.5" thickBot="1">
      <c r="A206" s="239" t="s">
        <v>116</v>
      </c>
      <c r="C206" s="29">
        <v>16324472</v>
      </c>
      <c r="E206" s="209"/>
      <c r="G206" s="28">
        <f>G204+G200+G205</f>
        <v>1295405</v>
      </c>
      <c r="I206" s="137"/>
      <c r="K206" s="28">
        <f>K204+K200+K205</f>
        <v>21407.956699999999</v>
      </c>
      <c r="M206" s="137"/>
      <c r="O206" s="28">
        <f>O204+O200+O205</f>
        <v>41675.844699999994</v>
      </c>
    </row>
    <row r="207" spans="1:20" ht="16.5" thickTop="1">
      <c r="C207" s="4"/>
      <c r="K207" s="202"/>
      <c r="O207" s="202"/>
    </row>
    <row r="208" spans="1:20">
      <c r="A208" s="238" t="s">
        <v>117</v>
      </c>
      <c r="C208" s="4"/>
      <c r="I208" s="132"/>
      <c r="J208" s="133"/>
      <c r="K208" s="202"/>
      <c r="M208" s="132"/>
      <c r="N208" s="133"/>
      <c r="O208" s="202"/>
    </row>
    <row r="209" spans="1:20">
      <c r="A209" s="240" t="s">
        <v>353</v>
      </c>
      <c r="C209" s="16"/>
      <c r="E209" s="124"/>
      <c r="F209" s="124"/>
      <c r="G209" s="21"/>
      <c r="K209" s="21"/>
      <c r="O209" s="21"/>
    </row>
    <row r="210" spans="1:20">
      <c r="A210" s="239" t="s">
        <v>119</v>
      </c>
      <c r="C210" s="4">
        <v>40532</v>
      </c>
      <c r="E210" s="14">
        <v>11.8</v>
      </c>
      <c r="F210" s="124"/>
      <c r="G210" s="15">
        <f t="shared" ref="G210:G224" si="112">ROUND(C210*E210,0)</f>
        <v>478278</v>
      </c>
      <c r="I210" s="31">
        <v>2.0999999999999999E-3</v>
      </c>
      <c r="J210" s="124"/>
      <c r="K210" s="15">
        <f t="shared" ref="K210:K224" si="113">$G210*I210</f>
        <v>1004.3838</v>
      </c>
      <c r="M210" s="31">
        <f t="shared" ref="M210:M224" si="114">$R$112</f>
        <v>0.01</v>
      </c>
      <c r="N210" s="124"/>
      <c r="O210" s="15">
        <f t="shared" ref="O210:O224" si="115">$G210*M210</f>
        <v>4782.78</v>
      </c>
      <c r="S210" s="166">
        <f t="shared" ref="S210:S253" si="116">G210*I210-K210</f>
        <v>0</v>
      </c>
      <c r="T210" s="167">
        <f t="shared" ref="T210:T253" si="117">G210*M210-O210</f>
        <v>0</v>
      </c>
    </row>
    <row r="211" spans="1:20" s="198" customFormat="1">
      <c r="A211" s="239" t="s">
        <v>120</v>
      </c>
      <c r="B211" s="202"/>
      <c r="C211" s="4">
        <v>220174</v>
      </c>
      <c r="D211" s="201"/>
      <c r="E211" s="14">
        <v>12.78</v>
      </c>
      <c r="F211" s="124"/>
      <c r="G211" s="15">
        <f t="shared" si="112"/>
        <v>2813824</v>
      </c>
      <c r="H211" s="5"/>
      <c r="I211" s="31">
        <v>2.0999999999999999E-3</v>
      </c>
      <c r="J211" s="124"/>
      <c r="K211" s="15">
        <f t="shared" si="113"/>
        <v>5909.0303999999996</v>
      </c>
      <c r="L211" s="5"/>
      <c r="M211" s="31">
        <f t="shared" si="114"/>
        <v>0.01</v>
      </c>
      <c r="N211" s="124"/>
      <c r="O211" s="15">
        <f t="shared" si="115"/>
        <v>28138.240000000002</v>
      </c>
      <c r="S211" s="166">
        <f t="shared" si="116"/>
        <v>0</v>
      </c>
      <c r="T211" s="167">
        <f t="shared" si="117"/>
        <v>0</v>
      </c>
    </row>
    <row r="212" spans="1:20" s="198" customFormat="1">
      <c r="A212" s="239" t="s">
        <v>121</v>
      </c>
      <c r="B212" s="202"/>
      <c r="C212" s="4">
        <v>136</v>
      </c>
      <c r="D212" s="201"/>
      <c r="E212" s="14">
        <v>11.5</v>
      </c>
      <c r="F212" s="124"/>
      <c r="G212" s="15">
        <f t="shared" si="112"/>
        <v>1564</v>
      </c>
      <c r="H212" s="5"/>
      <c r="I212" s="31">
        <v>2.0999999999999999E-3</v>
      </c>
      <c r="J212" s="124"/>
      <c r="K212" s="15">
        <f t="shared" si="113"/>
        <v>3.2843999999999998</v>
      </c>
      <c r="L212" s="5"/>
      <c r="M212" s="31">
        <f t="shared" si="114"/>
        <v>0.01</v>
      </c>
      <c r="N212" s="124"/>
      <c r="O212" s="15">
        <f t="shared" si="115"/>
        <v>15.64</v>
      </c>
      <c r="S212" s="166">
        <f t="shared" si="116"/>
        <v>0</v>
      </c>
      <c r="T212" s="167">
        <f t="shared" si="117"/>
        <v>0</v>
      </c>
    </row>
    <row r="213" spans="1:20" s="198" customFormat="1">
      <c r="A213" s="239" t="s">
        <v>122</v>
      </c>
      <c r="B213" s="202"/>
      <c r="C213" s="4">
        <v>301</v>
      </c>
      <c r="D213" s="201"/>
      <c r="E213" s="14">
        <v>46.54</v>
      </c>
      <c r="F213" s="124"/>
      <c r="G213" s="15">
        <f t="shared" si="112"/>
        <v>14009</v>
      </c>
      <c r="H213" s="5"/>
      <c r="I213" s="31">
        <v>2.0999999999999999E-3</v>
      </c>
      <c r="J213" s="124"/>
      <c r="K213" s="15">
        <f t="shared" si="113"/>
        <v>29.418899999999997</v>
      </c>
      <c r="L213" s="5"/>
      <c r="M213" s="31">
        <f t="shared" si="114"/>
        <v>0.01</v>
      </c>
      <c r="N213" s="124"/>
      <c r="O213" s="15">
        <f t="shared" si="115"/>
        <v>140.09</v>
      </c>
      <c r="S213" s="166">
        <f t="shared" si="116"/>
        <v>0</v>
      </c>
      <c r="T213" s="167">
        <f t="shared" si="117"/>
        <v>0</v>
      </c>
    </row>
    <row r="214" spans="1:20" s="198" customFormat="1">
      <c r="A214" s="239" t="s">
        <v>123</v>
      </c>
      <c r="B214" s="202"/>
      <c r="C214" s="4">
        <v>170</v>
      </c>
      <c r="D214" s="201"/>
      <c r="E214" s="14">
        <v>38.049999999999997</v>
      </c>
      <c r="F214" s="124"/>
      <c r="G214" s="15">
        <f t="shared" si="112"/>
        <v>6469</v>
      </c>
      <c r="H214" s="5"/>
      <c r="I214" s="31">
        <v>2.0999999999999999E-3</v>
      </c>
      <c r="J214" s="124"/>
      <c r="K214" s="15">
        <f t="shared" si="113"/>
        <v>13.584899999999999</v>
      </c>
      <c r="L214" s="5"/>
      <c r="M214" s="31">
        <f t="shared" si="114"/>
        <v>0.01</v>
      </c>
      <c r="N214" s="124"/>
      <c r="O214" s="15">
        <f t="shared" si="115"/>
        <v>64.69</v>
      </c>
      <c r="S214" s="166">
        <f t="shared" si="116"/>
        <v>0</v>
      </c>
      <c r="T214" s="167">
        <f t="shared" si="117"/>
        <v>0</v>
      </c>
    </row>
    <row r="215" spans="1:20" s="198" customFormat="1">
      <c r="A215" s="239" t="s">
        <v>124</v>
      </c>
      <c r="B215" s="202"/>
      <c r="C215" s="4">
        <v>19524</v>
      </c>
      <c r="D215" s="201"/>
      <c r="E215" s="14">
        <v>16.940000000000001</v>
      </c>
      <c r="F215" s="124"/>
      <c r="G215" s="15">
        <f t="shared" si="112"/>
        <v>330737</v>
      </c>
      <c r="H215" s="5"/>
      <c r="I215" s="31">
        <v>2.0999999999999999E-3</v>
      </c>
      <c r="J215" s="124"/>
      <c r="K215" s="15">
        <f t="shared" si="113"/>
        <v>694.54769999999996</v>
      </c>
      <c r="L215" s="5"/>
      <c r="M215" s="31">
        <f t="shared" si="114"/>
        <v>0.01</v>
      </c>
      <c r="N215" s="124"/>
      <c r="O215" s="15">
        <f t="shared" si="115"/>
        <v>3307.37</v>
      </c>
      <c r="S215" s="166">
        <f t="shared" si="116"/>
        <v>0</v>
      </c>
      <c r="T215" s="167">
        <f t="shared" si="117"/>
        <v>0</v>
      </c>
    </row>
    <row r="216" spans="1:20" s="198" customFormat="1">
      <c r="A216" s="239" t="s">
        <v>125</v>
      </c>
      <c r="B216" s="202"/>
      <c r="C216" s="4">
        <v>84</v>
      </c>
      <c r="D216" s="201"/>
      <c r="E216" s="14">
        <v>15.25</v>
      </c>
      <c r="F216" s="124"/>
      <c r="G216" s="15">
        <f t="shared" si="112"/>
        <v>1281</v>
      </c>
      <c r="H216" s="5"/>
      <c r="I216" s="31">
        <v>2.0999999999999999E-3</v>
      </c>
      <c r="J216" s="124"/>
      <c r="K216" s="15">
        <f t="shared" si="113"/>
        <v>2.6900999999999997</v>
      </c>
      <c r="L216" s="5"/>
      <c r="M216" s="31">
        <f t="shared" si="114"/>
        <v>0.01</v>
      </c>
      <c r="N216" s="124"/>
      <c r="O216" s="15">
        <f t="shared" si="115"/>
        <v>12.81</v>
      </c>
      <c r="S216" s="166">
        <f t="shared" si="116"/>
        <v>0</v>
      </c>
      <c r="T216" s="167">
        <f t="shared" si="117"/>
        <v>0</v>
      </c>
    </row>
    <row r="217" spans="1:20" s="198" customFormat="1">
      <c r="A217" s="239" t="s">
        <v>126</v>
      </c>
      <c r="B217" s="202"/>
      <c r="C217" s="4">
        <v>1223</v>
      </c>
      <c r="D217" s="201"/>
      <c r="E217" s="14">
        <v>47.83</v>
      </c>
      <c r="F217" s="124"/>
      <c r="G217" s="15">
        <f t="shared" si="112"/>
        <v>58496</v>
      </c>
      <c r="H217" s="5"/>
      <c r="I217" s="31">
        <v>2.0999999999999999E-3</v>
      </c>
      <c r="J217" s="124"/>
      <c r="K217" s="15">
        <f t="shared" si="113"/>
        <v>122.84159999999999</v>
      </c>
      <c r="L217" s="5"/>
      <c r="M217" s="31">
        <f t="shared" si="114"/>
        <v>0.01</v>
      </c>
      <c r="N217" s="124"/>
      <c r="O217" s="15">
        <f t="shared" si="115"/>
        <v>584.96</v>
      </c>
      <c r="S217" s="166">
        <f t="shared" si="116"/>
        <v>0</v>
      </c>
      <c r="T217" s="167">
        <f t="shared" si="117"/>
        <v>0</v>
      </c>
    </row>
    <row r="218" spans="1:20" s="198" customFormat="1">
      <c r="A218" s="239" t="s">
        <v>127</v>
      </c>
      <c r="B218" s="202"/>
      <c r="C218" s="4">
        <v>742</v>
      </c>
      <c r="D218" s="201"/>
      <c r="E218" s="14">
        <v>39.340000000000003</v>
      </c>
      <c r="F218" s="124"/>
      <c r="G218" s="15">
        <f t="shared" si="112"/>
        <v>29190</v>
      </c>
      <c r="H218" s="5"/>
      <c r="I218" s="31">
        <v>2.0999999999999999E-3</v>
      </c>
      <c r="J218" s="124"/>
      <c r="K218" s="15">
        <f t="shared" si="113"/>
        <v>61.298999999999999</v>
      </c>
      <c r="L218" s="5"/>
      <c r="M218" s="31">
        <f t="shared" si="114"/>
        <v>0.01</v>
      </c>
      <c r="N218" s="124"/>
      <c r="O218" s="15">
        <f t="shared" si="115"/>
        <v>291.90000000000003</v>
      </c>
      <c r="S218" s="166">
        <f t="shared" si="116"/>
        <v>0</v>
      </c>
      <c r="T218" s="167">
        <f t="shared" si="117"/>
        <v>0</v>
      </c>
    </row>
    <row r="219" spans="1:20" s="198" customFormat="1">
      <c r="A219" s="239" t="s">
        <v>128</v>
      </c>
      <c r="B219" s="202"/>
      <c r="C219" s="4">
        <v>26455</v>
      </c>
      <c r="D219" s="201"/>
      <c r="E219" s="14">
        <v>21.14</v>
      </c>
      <c r="F219" s="124"/>
      <c r="G219" s="15">
        <f t="shared" si="112"/>
        <v>559259</v>
      </c>
      <c r="H219" s="5"/>
      <c r="I219" s="31">
        <v>2.0999999999999999E-3</v>
      </c>
      <c r="J219" s="124"/>
      <c r="K219" s="15">
        <f t="shared" si="113"/>
        <v>1174.4439</v>
      </c>
      <c r="L219" s="5"/>
      <c r="M219" s="31">
        <f t="shared" si="114"/>
        <v>0.01</v>
      </c>
      <c r="N219" s="124"/>
      <c r="O219" s="15">
        <f t="shared" si="115"/>
        <v>5592.59</v>
      </c>
      <c r="S219" s="166">
        <f t="shared" si="116"/>
        <v>0</v>
      </c>
      <c r="T219" s="167">
        <f t="shared" si="117"/>
        <v>0</v>
      </c>
    </row>
    <row r="220" spans="1:20" s="198" customFormat="1">
      <c r="A220" s="239" t="s">
        <v>129</v>
      </c>
      <c r="B220" s="202"/>
      <c r="C220" s="4">
        <v>42</v>
      </c>
      <c r="D220" s="201"/>
      <c r="E220" s="14">
        <v>19.03</v>
      </c>
      <c r="F220" s="124"/>
      <c r="G220" s="15">
        <f t="shared" si="112"/>
        <v>799</v>
      </c>
      <c r="H220" s="5"/>
      <c r="I220" s="31">
        <v>2.0999999999999999E-3</v>
      </c>
      <c r="J220" s="124"/>
      <c r="K220" s="15">
        <f t="shared" si="113"/>
        <v>1.6778999999999999</v>
      </c>
      <c r="L220" s="5"/>
      <c r="M220" s="31">
        <f t="shared" si="114"/>
        <v>0.01</v>
      </c>
      <c r="N220" s="124"/>
      <c r="O220" s="15">
        <f t="shared" si="115"/>
        <v>7.99</v>
      </c>
      <c r="S220" s="166">
        <f t="shared" si="116"/>
        <v>0</v>
      </c>
      <c r="T220" s="167">
        <f t="shared" si="117"/>
        <v>0</v>
      </c>
    </row>
    <row r="221" spans="1:20" s="198" customFormat="1">
      <c r="A221" s="239" t="s">
        <v>130</v>
      </c>
      <c r="B221" s="202"/>
      <c r="C221" s="4">
        <v>1173</v>
      </c>
      <c r="D221" s="201"/>
      <c r="E221" s="14">
        <v>51.48</v>
      </c>
      <c r="F221" s="124"/>
      <c r="G221" s="15">
        <f t="shared" si="112"/>
        <v>60386</v>
      </c>
      <c r="H221" s="5"/>
      <c r="I221" s="31">
        <v>2.0999999999999999E-3</v>
      </c>
      <c r="J221" s="124"/>
      <c r="K221" s="15">
        <f t="shared" si="113"/>
        <v>126.81059999999999</v>
      </c>
      <c r="L221" s="5"/>
      <c r="M221" s="31">
        <f t="shared" si="114"/>
        <v>0.01</v>
      </c>
      <c r="N221" s="124"/>
      <c r="O221" s="15">
        <f t="shared" si="115"/>
        <v>603.86</v>
      </c>
      <c r="S221" s="166">
        <f t="shared" si="116"/>
        <v>0</v>
      </c>
      <c r="T221" s="167">
        <f t="shared" si="117"/>
        <v>0</v>
      </c>
    </row>
    <row r="222" spans="1:20" s="198" customFormat="1">
      <c r="A222" s="239" t="s">
        <v>131</v>
      </c>
      <c r="B222" s="202"/>
      <c r="C222" s="4">
        <v>0</v>
      </c>
      <c r="D222" s="201"/>
      <c r="E222" s="14">
        <v>43.01</v>
      </c>
      <c r="F222" s="124"/>
      <c r="G222" s="15">
        <f t="shared" si="112"/>
        <v>0</v>
      </c>
      <c r="H222" s="5"/>
      <c r="I222" s="31">
        <v>2.0999999999999999E-3</v>
      </c>
      <c r="J222" s="124"/>
      <c r="K222" s="15">
        <f t="shared" si="113"/>
        <v>0</v>
      </c>
      <c r="L222" s="5"/>
      <c r="M222" s="31">
        <f t="shared" si="114"/>
        <v>0.01</v>
      </c>
      <c r="N222" s="124"/>
      <c r="O222" s="15">
        <f t="shared" si="115"/>
        <v>0</v>
      </c>
      <c r="S222" s="166">
        <f t="shared" si="116"/>
        <v>0</v>
      </c>
      <c r="T222" s="167">
        <f t="shared" si="117"/>
        <v>0</v>
      </c>
    </row>
    <row r="223" spans="1:20" s="198" customFormat="1">
      <c r="A223" s="239" t="s">
        <v>132</v>
      </c>
      <c r="B223" s="202"/>
      <c r="C223" s="4">
        <v>11790</v>
      </c>
      <c r="D223" s="201"/>
      <c r="E223" s="14">
        <v>26.02</v>
      </c>
      <c r="F223" s="124"/>
      <c r="G223" s="15">
        <f t="shared" si="112"/>
        <v>306776</v>
      </c>
      <c r="H223" s="5"/>
      <c r="I223" s="31">
        <v>2.0999999999999999E-3</v>
      </c>
      <c r="J223" s="124"/>
      <c r="K223" s="15">
        <f t="shared" si="113"/>
        <v>644.2296</v>
      </c>
      <c r="L223" s="5"/>
      <c r="M223" s="31">
        <f t="shared" si="114"/>
        <v>0.01</v>
      </c>
      <c r="N223" s="124"/>
      <c r="O223" s="15">
        <f t="shared" si="115"/>
        <v>3067.76</v>
      </c>
      <c r="S223" s="166">
        <f t="shared" si="116"/>
        <v>0</v>
      </c>
      <c r="T223" s="167">
        <f t="shared" si="117"/>
        <v>0</v>
      </c>
    </row>
    <row r="224" spans="1:20" s="198" customFormat="1">
      <c r="A224" s="239" t="s">
        <v>133</v>
      </c>
      <c r="B224" s="202"/>
      <c r="C224" s="4">
        <v>0</v>
      </c>
      <c r="D224" s="201"/>
      <c r="E224" s="14">
        <v>51.54</v>
      </c>
      <c r="F224" s="124"/>
      <c r="G224" s="15">
        <f t="shared" si="112"/>
        <v>0</v>
      </c>
      <c r="H224" s="5"/>
      <c r="I224" s="31">
        <v>2.0999999999999999E-3</v>
      </c>
      <c r="J224" s="124"/>
      <c r="K224" s="15">
        <f t="shared" si="113"/>
        <v>0</v>
      </c>
      <c r="L224" s="5"/>
      <c r="M224" s="31">
        <f t="shared" si="114"/>
        <v>0.01</v>
      </c>
      <c r="N224" s="124"/>
      <c r="O224" s="15">
        <f t="shared" si="115"/>
        <v>0</v>
      </c>
      <c r="S224" s="166">
        <f t="shared" si="116"/>
        <v>0</v>
      </c>
      <c r="T224" s="167">
        <f t="shared" si="117"/>
        <v>0</v>
      </c>
    </row>
    <row r="225" spans="1:20" s="198" customFormat="1">
      <c r="A225" s="240" t="s">
        <v>354</v>
      </c>
      <c r="B225" s="202"/>
      <c r="C225" s="4"/>
      <c r="D225" s="201"/>
      <c r="E225" s="129"/>
      <c r="F225" s="20"/>
      <c r="G225" s="15"/>
      <c r="H225" s="5"/>
      <c r="I225" s="130"/>
      <c r="J225" s="20"/>
      <c r="K225" s="15"/>
      <c r="L225" s="5"/>
      <c r="M225" s="130"/>
      <c r="N225" s="20"/>
      <c r="O225" s="15"/>
      <c r="S225" s="166"/>
      <c r="T225" s="167"/>
    </row>
    <row r="226" spans="1:20" s="193" customFormat="1">
      <c r="A226" s="239" t="s">
        <v>135</v>
      </c>
      <c r="B226" s="202"/>
      <c r="C226" s="4">
        <v>42</v>
      </c>
      <c r="D226" s="201"/>
      <c r="E226" s="14">
        <v>48.74</v>
      </c>
      <c r="F226" s="124"/>
      <c r="G226" s="15">
        <f t="shared" ref="G226:G236" si="118">ROUND(C226*E226,0)</f>
        <v>2047</v>
      </c>
      <c r="H226" s="5"/>
      <c r="I226" s="31">
        <v>2.0999999999999999E-3</v>
      </c>
      <c r="J226" s="124"/>
      <c r="K226" s="15">
        <f t="shared" ref="K226:K236" si="119">$G226*I226</f>
        <v>4.2986999999999993</v>
      </c>
      <c r="L226" s="5"/>
      <c r="M226" s="31">
        <f t="shared" ref="M226:M236" si="120">$R$112</f>
        <v>0.01</v>
      </c>
      <c r="N226" s="124"/>
      <c r="O226" s="15">
        <f t="shared" ref="O226:O236" si="121">$G226*M226</f>
        <v>20.47</v>
      </c>
      <c r="S226" s="166">
        <f t="shared" si="116"/>
        <v>0</v>
      </c>
      <c r="T226" s="167">
        <f t="shared" si="117"/>
        <v>0</v>
      </c>
    </row>
    <row r="227" spans="1:20" s="198" customFormat="1">
      <c r="A227" s="239" t="s">
        <v>136</v>
      </c>
      <c r="B227" s="202"/>
      <c r="C227" s="4">
        <v>513</v>
      </c>
      <c r="D227" s="201"/>
      <c r="E227" s="14">
        <v>40.270000000000003</v>
      </c>
      <c r="F227" s="124"/>
      <c r="G227" s="15">
        <f t="shared" si="118"/>
        <v>20659</v>
      </c>
      <c r="H227" s="5"/>
      <c r="I227" s="31">
        <v>2.0999999999999999E-3</v>
      </c>
      <c r="J227" s="124"/>
      <c r="K227" s="15">
        <f t="shared" si="119"/>
        <v>43.383899999999997</v>
      </c>
      <c r="L227" s="5"/>
      <c r="M227" s="31">
        <f t="shared" si="120"/>
        <v>0.01</v>
      </c>
      <c r="N227" s="124"/>
      <c r="O227" s="15">
        <f t="shared" si="121"/>
        <v>206.59</v>
      </c>
      <c r="S227" s="166">
        <f t="shared" si="116"/>
        <v>0</v>
      </c>
      <c r="T227" s="167">
        <f t="shared" si="117"/>
        <v>0</v>
      </c>
    </row>
    <row r="228" spans="1:20" s="198" customFormat="1">
      <c r="A228" s="239" t="s">
        <v>137</v>
      </c>
      <c r="B228" s="202"/>
      <c r="C228" s="4">
        <v>117</v>
      </c>
      <c r="D228" s="201"/>
      <c r="E228" s="14">
        <v>20.13</v>
      </c>
      <c r="F228" s="124"/>
      <c r="G228" s="15">
        <f t="shared" si="118"/>
        <v>2355</v>
      </c>
      <c r="H228" s="5"/>
      <c r="I228" s="31">
        <v>2.0999999999999999E-3</v>
      </c>
      <c r="J228" s="124"/>
      <c r="K228" s="15">
        <f t="shared" si="119"/>
        <v>4.9455</v>
      </c>
      <c r="L228" s="5"/>
      <c r="M228" s="31">
        <f t="shared" si="120"/>
        <v>0.01</v>
      </c>
      <c r="N228" s="124"/>
      <c r="O228" s="15">
        <f t="shared" si="121"/>
        <v>23.55</v>
      </c>
      <c r="S228" s="166">
        <f t="shared" si="116"/>
        <v>0</v>
      </c>
      <c r="T228" s="167">
        <f t="shared" si="117"/>
        <v>0</v>
      </c>
    </row>
    <row r="229" spans="1:20" s="198" customFormat="1">
      <c r="A229" s="239" t="s">
        <v>138</v>
      </c>
      <c r="B229" s="202"/>
      <c r="C229" s="4">
        <v>0</v>
      </c>
      <c r="D229" s="201"/>
      <c r="E229" s="14">
        <v>50.65</v>
      </c>
      <c r="F229" s="124"/>
      <c r="G229" s="15">
        <f t="shared" si="118"/>
        <v>0</v>
      </c>
      <c r="H229" s="5"/>
      <c r="I229" s="31">
        <v>2.0999999999999999E-3</v>
      </c>
      <c r="J229" s="124"/>
      <c r="K229" s="15">
        <f t="shared" si="119"/>
        <v>0</v>
      </c>
      <c r="L229" s="5"/>
      <c r="M229" s="31">
        <f t="shared" si="120"/>
        <v>0.01</v>
      </c>
      <c r="N229" s="124"/>
      <c r="O229" s="15">
        <f t="shared" si="121"/>
        <v>0</v>
      </c>
      <c r="S229" s="166">
        <f t="shared" si="116"/>
        <v>0</v>
      </c>
      <c r="T229" s="167">
        <f t="shared" si="117"/>
        <v>0</v>
      </c>
    </row>
    <row r="230" spans="1:20" s="198" customFormat="1">
      <c r="A230" s="239" t="s">
        <v>139</v>
      </c>
      <c r="B230" s="202"/>
      <c r="C230" s="4">
        <v>1540</v>
      </c>
      <c r="D230" s="201"/>
      <c r="E230" s="14">
        <v>42.17</v>
      </c>
      <c r="F230" s="124"/>
      <c r="G230" s="15">
        <f t="shared" si="118"/>
        <v>64942</v>
      </c>
      <c r="H230" s="5"/>
      <c r="I230" s="31">
        <v>2.0999999999999999E-3</v>
      </c>
      <c r="J230" s="124"/>
      <c r="K230" s="15">
        <f t="shared" si="119"/>
        <v>136.37819999999999</v>
      </c>
      <c r="L230" s="5"/>
      <c r="M230" s="31">
        <f t="shared" si="120"/>
        <v>0.01</v>
      </c>
      <c r="N230" s="124"/>
      <c r="O230" s="15">
        <f t="shared" si="121"/>
        <v>649.41999999999996</v>
      </c>
      <c r="S230" s="166">
        <f t="shared" si="116"/>
        <v>0</v>
      </c>
      <c r="T230" s="167">
        <f t="shared" si="117"/>
        <v>0</v>
      </c>
    </row>
    <row r="231" spans="1:20" s="193" customFormat="1">
      <c r="A231" s="239" t="s">
        <v>140</v>
      </c>
      <c r="B231" s="202"/>
      <c r="C231" s="4">
        <v>337</v>
      </c>
      <c r="D231" s="201"/>
      <c r="E231" s="14">
        <v>22.13</v>
      </c>
      <c r="F231" s="124"/>
      <c r="G231" s="15">
        <f t="shared" si="118"/>
        <v>7458</v>
      </c>
      <c r="H231" s="5"/>
      <c r="I231" s="31">
        <v>2.0999999999999999E-3</v>
      </c>
      <c r="J231" s="124"/>
      <c r="K231" s="15">
        <f t="shared" si="119"/>
        <v>15.661799999999999</v>
      </c>
      <c r="L231" s="5"/>
      <c r="M231" s="31">
        <f t="shared" si="120"/>
        <v>0.01</v>
      </c>
      <c r="N231" s="124"/>
      <c r="O231" s="15">
        <f t="shared" si="121"/>
        <v>74.58</v>
      </c>
      <c r="S231" s="166">
        <f t="shared" si="116"/>
        <v>0</v>
      </c>
      <c r="T231" s="167">
        <f t="shared" si="117"/>
        <v>0</v>
      </c>
    </row>
    <row r="232" spans="1:20" s="198" customFormat="1">
      <c r="A232" s="239" t="s">
        <v>141</v>
      </c>
      <c r="B232" s="202"/>
      <c r="C232" s="4">
        <v>84</v>
      </c>
      <c r="D232" s="201"/>
      <c r="E232" s="14">
        <v>53.69</v>
      </c>
      <c r="F232" s="124"/>
      <c r="G232" s="15">
        <f t="shared" si="118"/>
        <v>4510</v>
      </c>
      <c r="H232" s="5"/>
      <c r="I232" s="31">
        <v>2.0999999999999999E-3</v>
      </c>
      <c r="J232" s="124"/>
      <c r="K232" s="15">
        <f t="shared" si="119"/>
        <v>9.4710000000000001</v>
      </c>
      <c r="L232" s="5"/>
      <c r="M232" s="31">
        <f t="shared" si="120"/>
        <v>0.01</v>
      </c>
      <c r="N232" s="124"/>
      <c r="O232" s="15">
        <f t="shared" si="121"/>
        <v>45.1</v>
      </c>
      <c r="S232" s="166">
        <f t="shared" si="116"/>
        <v>0</v>
      </c>
      <c r="T232" s="167">
        <f t="shared" si="117"/>
        <v>0</v>
      </c>
    </row>
    <row r="233" spans="1:20" s="198" customFormat="1">
      <c r="A233" s="239" t="s">
        <v>142</v>
      </c>
      <c r="B233" s="202"/>
      <c r="C233" s="4">
        <v>373</v>
      </c>
      <c r="D233" s="201"/>
      <c r="E233" s="14">
        <v>45.2</v>
      </c>
      <c r="F233" s="124"/>
      <c r="G233" s="15">
        <f t="shared" si="118"/>
        <v>16860</v>
      </c>
      <c r="H233" s="5"/>
      <c r="I233" s="31">
        <v>2.0999999999999999E-3</v>
      </c>
      <c r="J233" s="124"/>
      <c r="K233" s="15">
        <f t="shared" si="119"/>
        <v>35.405999999999999</v>
      </c>
      <c r="L233" s="5"/>
      <c r="M233" s="31">
        <f t="shared" si="120"/>
        <v>0.01</v>
      </c>
      <c r="N233" s="124"/>
      <c r="O233" s="15">
        <f t="shared" si="121"/>
        <v>168.6</v>
      </c>
      <c r="S233" s="166">
        <f t="shared" si="116"/>
        <v>0</v>
      </c>
      <c r="T233" s="167">
        <f t="shared" si="117"/>
        <v>0</v>
      </c>
    </row>
    <row r="234" spans="1:20" s="193" customFormat="1">
      <c r="A234" s="239" t="s">
        <v>143</v>
      </c>
      <c r="B234" s="202"/>
      <c r="C234" s="4">
        <v>10</v>
      </c>
      <c r="D234" s="201"/>
      <c r="E234" s="14">
        <v>25.78</v>
      </c>
      <c r="F234" s="124"/>
      <c r="G234" s="15">
        <f t="shared" si="118"/>
        <v>258</v>
      </c>
      <c r="H234" s="5"/>
      <c r="I234" s="31">
        <v>2.0999999999999999E-3</v>
      </c>
      <c r="J234" s="124"/>
      <c r="K234" s="15">
        <f t="shared" si="119"/>
        <v>0.54179999999999995</v>
      </c>
      <c r="L234" s="5"/>
      <c r="M234" s="31">
        <f t="shared" si="120"/>
        <v>0.01</v>
      </c>
      <c r="N234" s="124"/>
      <c r="O234" s="15">
        <f t="shared" si="121"/>
        <v>2.58</v>
      </c>
      <c r="S234" s="166">
        <f t="shared" si="116"/>
        <v>0</v>
      </c>
      <c r="T234" s="167">
        <f t="shared" si="117"/>
        <v>0</v>
      </c>
    </row>
    <row r="235" spans="1:20" s="198" customFormat="1">
      <c r="A235" s="239" t="s">
        <v>144</v>
      </c>
      <c r="B235" s="202"/>
      <c r="C235" s="4">
        <v>0</v>
      </c>
      <c r="D235" s="201"/>
      <c r="E235" s="14">
        <v>55.33</v>
      </c>
      <c r="F235" s="124"/>
      <c r="G235" s="15">
        <f t="shared" si="118"/>
        <v>0</v>
      </c>
      <c r="H235" s="5"/>
      <c r="I235" s="31">
        <v>2.0999999999999999E-3</v>
      </c>
      <c r="J235" s="124"/>
      <c r="K235" s="15">
        <f t="shared" si="119"/>
        <v>0</v>
      </c>
      <c r="L235" s="5"/>
      <c r="M235" s="31">
        <f t="shared" si="120"/>
        <v>0.01</v>
      </c>
      <c r="N235" s="124"/>
      <c r="O235" s="15">
        <f t="shared" si="121"/>
        <v>0</v>
      </c>
      <c r="S235" s="166">
        <f t="shared" si="116"/>
        <v>0</v>
      </c>
      <c r="T235" s="167">
        <f t="shared" si="117"/>
        <v>0</v>
      </c>
    </row>
    <row r="236" spans="1:20" s="198" customFormat="1">
      <c r="A236" s="239" t="s">
        <v>145</v>
      </c>
      <c r="B236" s="202"/>
      <c r="C236" s="4">
        <v>0</v>
      </c>
      <c r="D236" s="201"/>
      <c r="E236" s="14">
        <v>46.86</v>
      </c>
      <c r="F236" s="124"/>
      <c r="G236" s="15">
        <f t="shared" si="118"/>
        <v>0</v>
      </c>
      <c r="H236" s="5"/>
      <c r="I236" s="31">
        <v>2.0999999999999999E-3</v>
      </c>
      <c r="J236" s="124"/>
      <c r="K236" s="15">
        <f t="shared" si="119"/>
        <v>0</v>
      </c>
      <c r="L236" s="5"/>
      <c r="M236" s="31">
        <f t="shared" si="120"/>
        <v>0.01</v>
      </c>
      <c r="N236" s="124"/>
      <c r="O236" s="15">
        <f t="shared" si="121"/>
        <v>0</v>
      </c>
      <c r="S236" s="166">
        <f t="shared" si="116"/>
        <v>0</v>
      </c>
      <c r="T236" s="167">
        <f t="shared" si="117"/>
        <v>0</v>
      </c>
    </row>
    <row r="237" spans="1:20" s="193" customFormat="1">
      <c r="A237" s="240" t="s">
        <v>355</v>
      </c>
      <c r="B237" s="202"/>
      <c r="C237" s="16"/>
      <c r="D237" s="201"/>
      <c r="E237" s="124"/>
      <c r="F237" s="124"/>
      <c r="G237" s="21"/>
      <c r="H237" s="5"/>
      <c r="I237" s="135"/>
      <c r="J237" s="124"/>
      <c r="K237" s="21"/>
      <c r="L237" s="5"/>
      <c r="M237" s="135"/>
      <c r="N237" s="124"/>
      <c r="O237" s="21"/>
      <c r="S237" s="166"/>
      <c r="T237" s="167"/>
    </row>
    <row r="238" spans="1:20" s="198" customFormat="1">
      <c r="A238" s="239" t="s">
        <v>146</v>
      </c>
      <c r="B238" s="202"/>
      <c r="C238" s="4">
        <v>8417</v>
      </c>
      <c r="D238" s="201"/>
      <c r="E238" s="14">
        <v>11.09</v>
      </c>
      <c r="F238" s="124"/>
      <c r="G238" s="15">
        <f>ROUND(C238*E238,0)</f>
        <v>93345</v>
      </c>
      <c r="H238" s="5"/>
      <c r="I238" s="31">
        <v>2.0999999999999999E-3</v>
      </c>
      <c r="J238" s="124"/>
      <c r="K238" s="15">
        <f t="shared" ref="K238:K242" si="122">$G238*I238</f>
        <v>196.02449999999999</v>
      </c>
      <c r="L238" s="5"/>
      <c r="M238" s="31">
        <f t="shared" ref="M238:M242" si="123">$R$112</f>
        <v>0.01</v>
      </c>
      <c r="N238" s="124"/>
      <c r="O238" s="15">
        <f t="shared" ref="O238:O242" si="124">$G238*M238</f>
        <v>933.45</v>
      </c>
      <c r="S238" s="166">
        <f t="shared" si="116"/>
        <v>0</v>
      </c>
      <c r="T238" s="167">
        <f t="shared" si="117"/>
        <v>0</v>
      </c>
    </row>
    <row r="239" spans="1:20" s="198" customFormat="1">
      <c r="A239" s="239" t="s">
        <v>60</v>
      </c>
      <c r="B239" s="202"/>
      <c r="C239" s="4">
        <v>10540</v>
      </c>
      <c r="D239" s="201"/>
      <c r="E239" s="14">
        <v>13.83</v>
      </c>
      <c r="F239" s="124"/>
      <c r="G239" s="15">
        <f>ROUND(C239*E239,0)</f>
        <v>145768</v>
      </c>
      <c r="H239" s="5"/>
      <c r="I239" s="31">
        <v>2.0999999999999999E-3</v>
      </c>
      <c r="J239" s="124"/>
      <c r="K239" s="15">
        <f t="shared" si="122"/>
        <v>306.11279999999999</v>
      </c>
      <c r="L239" s="5"/>
      <c r="M239" s="31">
        <f t="shared" si="123"/>
        <v>0.01</v>
      </c>
      <c r="N239" s="124"/>
      <c r="O239" s="15">
        <f t="shared" si="124"/>
        <v>1457.68</v>
      </c>
      <c r="S239" s="166">
        <f t="shared" si="116"/>
        <v>0</v>
      </c>
      <c r="T239" s="167">
        <f t="shared" si="117"/>
        <v>0</v>
      </c>
    </row>
    <row r="240" spans="1:20" s="198" customFormat="1">
      <c r="A240" s="239" t="s">
        <v>147</v>
      </c>
      <c r="B240" s="202"/>
      <c r="C240" s="4">
        <v>281</v>
      </c>
      <c r="D240" s="201"/>
      <c r="E240" s="14">
        <v>19.399999999999999</v>
      </c>
      <c r="F240" s="124"/>
      <c r="G240" s="15">
        <f>ROUND(C240*E240,0)</f>
        <v>5451</v>
      </c>
      <c r="H240" s="5"/>
      <c r="I240" s="31">
        <v>2.0999999999999999E-3</v>
      </c>
      <c r="J240" s="124"/>
      <c r="K240" s="15">
        <f t="shared" si="122"/>
        <v>11.447099999999999</v>
      </c>
      <c r="L240" s="5"/>
      <c r="M240" s="31">
        <f t="shared" si="123"/>
        <v>0.01</v>
      </c>
      <c r="N240" s="124"/>
      <c r="O240" s="15">
        <f t="shared" si="124"/>
        <v>54.51</v>
      </c>
      <c r="S240" s="166">
        <f t="shared" si="116"/>
        <v>0</v>
      </c>
      <c r="T240" s="167">
        <f t="shared" si="117"/>
        <v>0</v>
      </c>
    </row>
    <row r="241" spans="1:20" s="198" customFormat="1">
      <c r="A241" s="239" t="s">
        <v>148</v>
      </c>
      <c r="B241" s="202"/>
      <c r="C241" s="4">
        <v>0</v>
      </c>
      <c r="D241" s="201"/>
      <c r="E241" s="14">
        <v>17.46</v>
      </c>
      <c r="F241" s="124"/>
      <c r="G241" s="15">
        <f>ROUND(C241*E241,0)</f>
        <v>0</v>
      </c>
      <c r="H241" s="5"/>
      <c r="I241" s="31">
        <v>2.0999999999999999E-3</v>
      </c>
      <c r="J241" s="124"/>
      <c r="K241" s="15">
        <f t="shared" si="122"/>
        <v>0</v>
      </c>
      <c r="L241" s="5"/>
      <c r="M241" s="31">
        <f t="shared" si="123"/>
        <v>0.01</v>
      </c>
      <c r="N241" s="124"/>
      <c r="O241" s="15">
        <f t="shared" si="124"/>
        <v>0</v>
      </c>
      <c r="S241" s="166">
        <f t="shared" si="116"/>
        <v>0</v>
      </c>
      <c r="T241" s="167">
        <f t="shared" si="117"/>
        <v>0</v>
      </c>
    </row>
    <row r="242" spans="1:20" s="198" customFormat="1">
      <c r="A242" s="239" t="s">
        <v>62</v>
      </c>
      <c r="B242" s="202"/>
      <c r="C242" s="4">
        <v>1685</v>
      </c>
      <c r="D242" s="201"/>
      <c r="E242" s="14">
        <v>24.43</v>
      </c>
      <c r="F242" s="124"/>
      <c r="G242" s="15">
        <f>ROUND(C242*E242,0)</f>
        <v>41165</v>
      </c>
      <c r="H242" s="5"/>
      <c r="I242" s="31">
        <v>2.0999999999999999E-3</v>
      </c>
      <c r="J242" s="124"/>
      <c r="K242" s="15">
        <f t="shared" si="122"/>
        <v>86.4465</v>
      </c>
      <c r="L242" s="5"/>
      <c r="M242" s="31">
        <f t="shared" si="123"/>
        <v>0.01</v>
      </c>
      <c r="N242" s="124"/>
      <c r="O242" s="15">
        <f t="shared" si="124"/>
        <v>411.65000000000003</v>
      </c>
      <c r="S242" s="166">
        <f t="shared" si="116"/>
        <v>0</v>
      </c>
      <c r="T242" s="167">
        <f t="shared" si="117"/>
        <v>0</v>
      </c>
    </row>
    <row r="243" spans="1:20" s="198" customFormat="1">
      <c r="A243" s="240" t="s">
        <v>356</v>
      </c>
      <c r="B243" s="202"/>
      <c r="C243" s="4"/>
      <c r="D243" s="201"/>
      <c r="E243" s="202"/>
      <c r="F243" s="201"/>
      <c r="G243" s="15"/>
      <c r="H243" s="5"/>
      <c r="I243" s="115"/>
      <c r="J243" s="5"/>
      <c r="K243" s="15"/>
      <c r="L243" s="5"/>
      <c r="M243" s="115"/>
      <c r="N243" s="5"/>
      <c r="O243" s="15"/>
      <c r="S243" s="166"/>
      <c r="T243" s="167"/>
    </row>
    <row r="244" spans="1:20" s="198" customFormat="1">
      <c r="A244" s="239" t="s">
        <v>149</v>
      </c>
      <c r="B244" s="202"/>
      <c r="C244" s="4">
        <v>0</v>
      </c>
      <c r="D244" s="201"/>
      <c r="E244" s="14">
        <v>11.99</v>
      </c>
      <c r="F244" s="124"/>
      <c r="G244" s="15">
        <f t="shared" ref="G244:G249" si="125">ROUND(C244*E244,0)</f>
        <v>0</v>
      </c>
      <c r="H244" s="5"/>
      <c r="I244" s="31">
        <v>2.0999999999999999E-3</v>
      </c>
      <c r="J244" s="124"/>
      <c r="K244" s="15">
        <f t="shared" ref="K244:K249" si="126">$G244*I244</f>
        <v>0</v>
      </c>
      <c r="L244" s="5"/>
      <c r="M244" s="31">
        <f t="shared" ref="M244:M249" si="127">$R$112</f>
        <v>0.01</v>
      </c>
      <c r="N244" s="124"/>
      <c r="O244" s="15">
        <f t="shared" ref="O244:O249" si="128">$G244*M244</f>
        <v>0</v>
      </c>
      <c r="S244" s="166">
        <f t="shared" si="116"/>
        <v>0</v>
      </c>
      <c r="T244" s="167">
        <f t="shared" si="117"/>
        <v>0</v>
      </c>
    </row>
    <row r="245" spans="1:20" s="198" customFormat="1">
      <c r="A245" s="239" t="s">
        <v>150</v>
      </c>
      <c r="B245" s="202"/>
      <c r="C245" s="4">
        <v>126</v>
      </c>
      <c r="D245" s="201"/>
      <c r="E245" s="14">
        <v>4.24</v>
      </c>
      <c r="F245" s="124"/>
      <c r="G245" s="15">
        <f t="shared" si="125"/>
        <v>534</v>
      </c>
      <c r="H245" s="5"/>
      <c r="I245" s="31">
        <v>2.0999999999999999E-3</v>
      </c>
      <c r="J245" s="124"/>
      <c r="K245" s="15">
        <f t="shared" si="126"/>
        <v>1.1214</v>
      </c>
      <c r="L245" s="5"/>
      <c r="M245" s="31">
        <f t="shared" si="127"/>
        <v>0.01</v>
      </c>
      <c r="N245" s="124"/>
      <c r="O245" s="15">
        <f t="shared" si="128"/>
        <v>5.34</v>
      </c>
      <c r="S245" s="166">
        <f t="shared" si="116"/>
        <v>0</v>
      </c>
      <c r="T245" s="167">
        <f t="shared" si="117"/>
        <v>0</v>
      </c>
    </row>
    <row r="246" spans="1:20" s="198" customFormat="1">
      <c r="A246" s="239" t="s">
        <v>151</v>
      </c>
      <c r="B246" s="202"/>
      <c r="C246" s="4">
        <v>21</v>
      </c>
      <c r="D246" s="201"/>
      <c r="E246" s="14">
        <v>17.11</v>
      </c>
      <c r="F246" s="124"/>
      <c r="G246" s="15">
        <f t="shared" si="125"/>
        <v>359</v>
      </c>
      <c r="H246" s="5"/>
      <c r="I246" s="31">
        <v>2.0999999999999999E-3</v>
      </c>
      <c r="J246" s="124"/>
      <c r="K246" s="15">
        <f t="shared" si="126"/>
        <v>0.7538999999999999</v>
      </c>
      <c r="L246" s="5"/>
      <c r="M246" s="31">
        <f t="shared" si="127"/>
        <v>0.01</v>
      </c>
      <c r="N246" s="124"/>
      <c r="O246" s="15">
        <f t="shared" si="128"/>
        <v>3.59</v>
      </c>
      <c r="S246" s="166">
        <f t="shared" si="116"/>
        <v>0</v>
      </c>
      <c r="T246" s="167">
        <f t="shared" si="117"/>
        <v>0</v>
      </c>
    </row>
    <row r="247" spans="1:20" s="198" customFormat="1">
      <c r="A247" s="239" t="s">
        <v>146</v>
      </c>
      <c r="B247" s="202"/>
      <c r="C247" s="4">
        <v>332</v>
      </c>
      <c r="D247" s="201"/>
      <c r="E247" s="14">
        <v>20.43</v>
      </c>
      <c r="F247" s="124"/>
      <c r="G247" s="15">
        <f t="shared" si="125"/>
        <v>6783</v>
      </c>
      <c r="H247" s="5"/>
      <c r="I247" s="31">
        <v>2.0999999999999999E-3</v>
      </c>
      <c r="J247" s="124"/>
      <c r="K247" s="15">
        <f t="shared" si="126"/>
        <v>14.244299999999999</v>
      </c>
      <c r="L247" s="5"/>
      <c r="M247" s="31">
        <f t="shared" si="127"/>
        <v>0.01</v>
      </c>
      <c r="N247" s="124"/>
      <c r="O247" s="15">
        <f t="shared" si="128"/>
        <v>67.83</v>
      </c>
      <c r="S247" s="166">
        <f t="shared" si="116"/>
        <v>0</v>
      </c>
      <c r="T247" s="167">
        <f t="shared" si="117"/>
        <v>0</v>
      </c>
    </row>
    <row r="248" spans="1:20" s="198" customFormat="1">
      <c r="A248" s="239" t="s">
        <v>152</v>
      </c>
      <c r="B248" s="202"/>
      <c r="C248" s="4">
        <v>550</v>
      </c>
      <c r="D248" s="201"/>
      <c r="E248" s="14">
        <v>23.82</v>
      </c>
      <c r="F248" s="124"/>
      <c r="G248" s="15">
        <f t="shared" si="125"/>
        <v>13101</v>
      </c>
      <c r="H248" s="5"/>
      <c r="I248" s="31">
        <v>2.0999999999999999E-3</v>
      </c>
      <c r="J248" s="124"/>
      <c r="K248" s="15">
        <f t="shared" si="126"/>
        <v>27.512099999999997</v>
      </c>
      <c r="L248" s="5"/>
      <c r="M248" s="31">
        <f t="shared" si="127"/>
        <v>0.01</v>
      </c>
      <c r="N248" s="124"/>
      <c r="O248" s="15">
        <f t="shared" si="128"/>
        <v>131.01</v>
      </c>
      <c r="S248" s="166">
        <f t="shared" si="116"/>
        <v>0</v>
      </c>
      <c r="T248" s="167">
        <f t="shared" si="117"/>
        <v>0</v>
      </c>
    </row>
    <row r="249" spans="1:20" s="198" customFormat="1">
      <c r="A249" s="239" t="s">
        <v>147</v>
      </c>
      <c r="B249" s="202"/>
      <c r="C249" s="4">
        <v>21</v>
      </c>
      <c r="D249" s="201"/>
      <c r="E249" s="14">
        <v>31.47</v>
      </c>
      <c r="F249" s="124"/>
      <c r="G249" s="15">
        <f t="shared" si="125"/>
        <v>661</v>
      </c>
      <c r="H249" s="5"/>
      <c r="I249" s="31">
        <v>2.0999999999999999E-3</v>
      </c>
      <c r="J249" s="124"/>
      <c r="K249" s="15">
        <f t="shared" si="126"/>
        <v>1.3880999999999999</v>
      </c>
      <c r="L249" s="5"/>
      <c r="M249" s="31">
        <f t="shared" si="127"/>
        <v>0.01</v>
      </c>
      <c r="N249" s="124"/>
      <c r="O249" s="15">
        <f t="shared" si="128"/>
        <v>6.61</v>
      </c>
      <c r="S249" s="166">
        <f t="shared" si="116"/>
        <v>0</v>
      </c>
      <c r="T249" s="167">
        <f t="shared" si="117"/>
        <v>0</v>
      </c>
    </row>
    <row r="250" spans="1:20" s="198" customFormat="1">
      <c r="A250" s="240" t="s">
        <v>357</v>
      </c>
      <c r="B250" s="202"/>
      <c r="C250" s="16"/>
      <c r="D250" s="201"/>
      <c r="E250" s="124"/>
      <c r="F250" s="124"/>
      <c r="G250" s="21"/>
      <c r="H250" s="5"/>
      <c r="I250" s="135"/>
      <c r="J250" s="124"/>
      <c r="K250" s="21"/>
      <c r="L250" s="5"/>
      <c r="M250" s="135"/>
      <c r="N250" s="124"/>
      <c r="O250" s="21"/>
      <c r="S250" s="166">
        <f t="shared" si="116"/>
        <v>0</v>
      </c>
      <c r="T250" s="167">
        <f t="shared" si="117"/>
        <v>0</v>
      </c>
    </row>
    <row r="251" spans="1:20" s="198" customFormat="1">
      <c r="A251" s="239" t="s">
        <v>153</v>
      </c>
      <c r="B251" s="202"/>
      <c r="C251" s="4">
        <v>10</v>
      </c>
      <c r="D251" s="201"/>
      <c r="E251" s="14">
        <v>27.85</v>
      </c>
      <c r="F251" s="124"/>
      <c r="G251" s="15">
        <f>ROUND(C251*E251,0)</f>
        <v>279</v>
      </c>
      <c r="H251" s="5"/>
      <c r="I251" s="31">
        <v>2.0999999999999999E-3</v>
      </c>
      <c r="J251" s="124"/>
      <c r="K251" s="15">
        <f t="shared" ref="K251" si="129">$G251*I251</f>
        <v>0.58589999999999998</v>
      </c>
      <c r="L251" s="5"/>
      <c r="M251" s="31">
        <f>$R$112</f>
        <v>0.01</v>
      </c>
      <c r="N251" s="124"/>
      <c r="O251" s="15">
        <f t="shared" ref="O251" si="130">$G251*M251</f>
        <v>2.79</v>
      </c>
      <c r="S251" s="166">
        <f t="shared" si="116"/>
        <v>0</v>
      </c>
      <c r="T251" s="167">
        <f t="shared" si="117"/>
        <v>0</v>
      </c>
    </row>
    <row r="252" spans="1:20" s="198" customFormat="1">
      <c r="A252" s="240" t="s">
        <v>154</v>
      </c>
      <c r="B252" s="202"/>
      <c r="C252" s="4"/>
      <c r="D252" s="201"/>
      <c r="E252" s="14"/>
      <c r="F252" s="124"/>
      <c r="G252" s="15"/>
      <c r="H252" s="5"/>
      <c r="I252" s="31"/>
      <c r="J252" s="124"/>
      <c r="K252" s="15"/>
      <c r="L252" s="5"/>
      <c r="M252" s="31"/>
      <c r="N252" s="124"/>
      <c r="O252" s="15"/>
      <c r="S252" s="166">
        <f t="shared" si="116"/>
        <v>0</v>
      </c>
      <c r="T252" s="167">
        <f t="shared" si="117"/>
        <v>0</v>
      </c>
    </row>
    <row r="253" spans="1:20" s="198" customFormat="1">
      <c r="A253" s="239" t="s">
        <v>155</v>
      </c>
      <c r="B253" s="202"/>
      <c r="C253" s="48">
        <v>42</v>
      </c>
      <c r="D253" s="201"/>
      <c r="E253" s="14">
        <v>39.04</v>
      </c>
      <c r="F253" s="124"/>
      <c r="G253" s="37">
        <f>ROUND(C253*E253,0)</f>
        <v>1640</v>
      </c>
      <c r="H253" s="5"/>
      <c r="I253" s="31">
        <v>2.0999999999999999E-3</v>
      </c>
      <c r="J253" s="124"/>
      <c r="K253" s="37">
        <f t="shared" ref="K253" si="131">$G253*I253</f>
        <v>3.444</v>
      </c>
      <c r="L253" s="5"/>
      <c r="M253" s="31">
        <f>$R$112</f>
        <v>0.01</v>
      </c>
      <c r="N253" s="124"/>
      <c r="O253" s="37">
        <f t="shared" ref="O253" si="132">$G253*M253</f>
        <v>16.399999999999999</v>
      </c>
      <c r="S253" s="166">
        <f t="shared" si="116"/>
        <v>0</v>
      </c>
      <c r="T253" s="167">
        <f t="shared" si="117"/>
        <v>0</v>
      </c>
    </row>
    <row r="254" spans="1:20" s="198" customFormat="1">
      <c r="A254" s="239" t="s">
        <v>156</v>
      </c>
      <c r="B254" s="202"/>
      <c r="C254" s="23">
        <v>347387</v>
      </c>
      <c r="D254" s="201"/>
      <c r="E254" s="211"/>
      <c r="F254" s="201"/>
      <c r="G254" s="24">
        <f>SUM(G210:G253)</f>
        <v>5089243</v>
      </c>
      <c r="H254" s="5"/>
      <c r="I254" s="144"/>
      <c r="J254" s="5"/>
      <c r="K254" s="24">
        <f>SUM(K210:K253)</f>
        <v>10687.4103</v>
      </c>
      <c r="L254" s="5"/>
      <c r="M254" s="144"/>
      <c r="N254" s="5"/>
      <c r="O254" s="24">
        <f>SUM(O210:O253)</f>
        <v>50892.430000000008</v>
      </c>
    </row>
    <row r="255" spans="1:20" s="198" customFormat="1" ht="16.5" thickBot="1">
      <c r="A255" s="239" t="s">
        <v>86</v>
      </c>
      <c r="B255" s="202"/>
      <c r="C255" s="43">
        <v>17077687</v>
      </c>
      <c r="D255" s="201"/>
      <c r="E255" s="209"/>
      <c r="F255" s="201"/>
      <c r="G255" s="209"/>
      <c r="H255" s="5"/>
      <c r="I255" s="137"/>
      <c r="J255" s="5"/>
      <c r="K255" s="209"/>
      <c r="L255" s="5"/>
      <c r="M255" s="137"/>
      <c r="N255" s="5"/>
      <c r="O255" s="209"/>
    </row>
    <row r="256" spans="1:20" s="198" customFormat="1" ht="16.5" thickTop="1">
      <c r="A256" s="239" t="s">
        <v>88</v>
      </c>
      <c r="B256" s="202"/>
      <c r="C256" s="13">
        <v>834.33333333333337</v>
      </c>
      <c r="D256" s="201"/>
      <c r="E256" s="202"/>
      <c r="F256" s="201"/>
      <c r="G256" s="202"/>
      <c r="H256" s="5"/>
      <c r="I256" s="115"/>
      <c r="J256" s="5"/>
      <c r="K256" s="202"/>
      <c r="L256" s="5"/>
      <c r="M256" s="115"/>
      <c r="N256" s="5"/>
      <c r="O256" s="202"/>
    </row>
    <row r="257" spans="1:20" s="198" customFormat="1">
      <c r="A257" s="239" t="s">
        <v>87</v>
      </c>
      <c r="B257" s="202"/>
      <c r="C257" s="45">
        <v>0</v>
      </c>
      <c r="D257" s="201"/>
      <c r="E257" s="211"/>
      <c r="F257" s="201"/>
      <c r="G257" s="24">
        <v>0</v>
      </c>
      <c r="H257" s="5"/>
      <c r="I257" s="144"/>
      <c r="J257" s="5"/>
      <c r="K257" s="24"/>
      <c r="L257" s="5"/>
      <c r="M257" s="144"/>
      <c r="N257" s="5"/>
      <c r="O257" s="24"/>
    </row>
    <row r="258" spans="1:20" s="198" customFormat="1" ht="16.5" thickBot="1">
      <c r="A258" s="239" t="s">
        <v>157</v>
      </c>
      <c r="B258" s="202"/>
      <c r="C258" s="43">
        <v>17077687</v>
      </c>
      <c r="D258" s="201"/>
      <c r="E258" s="46"/>
      <c r="F258" s="146"/>
      <c r="G258" s="46">
        <f>G257+G254</f>
        <v>5089243</v>
      </c>
      <c r="H258" s="5"/>
      <c r="I258" s="147"/>
      <c r="J258" s="146"/>
      <c r="K258" s="46">
        <f>K257+K254</f>
        <v>10687.4103</v>
      </c>
      <c r="L258" s="5"/>
      <c r="M258" s="147"/>
      <c r="N258" s="146"/>
      <c r="O258" s="46">
        <f>O257+O254</f>
        <v>50892.430000000008</v>
      </c>
    </row>
    <row r="259" spans="1:20" s="198" customFormat="1" ht="16.5" thickTop="1">
      <c r="A259" s="202"/>
      <c r="B259" s="202"/>
      <c r="C259" s="4"/>
      <c r="D259" s="201"/>
      <c r="E259" s="202"/>
      <c r="F259" s="201"/>
      <c r="G259" s="202"/>
      <c r="H259" s="5"/>
      <c r="I259" s="245"/>
      <c r="J259" s="245"/>
      <c r="K259" s="202"/>
      <c r="L259" s="5"/>
      <c r="M259" s="245"/>
      <c r="N259" s="245"/>
      <c r="O259" s="202"/>
    </row>
    <row r="260" spans="1:20" s="198" customFormat="1">
      <c r="A260" s="238" t="s">
        <v>158</v>
      </c>
      <c r="B260" s="202"/>
      <c r="C260" s="4"/>
      <c r="D260" s="201"/>
      <c r="E260" s="202"/>
      <c r="F260" s="201"/>
      <c r="G260" s="202"/>
      <c r="H260" s="5"/>
      <c r="I260" s="245"/>
      <c r="J260" s="245"/>
      <c r="K260" s="202"/>
      <c r="L260" s="5"/>
      <c r="M260" s="245"/>
      <c r="N260" s="245"/>
      <c r="O260" s="202"/>
    </row>
    <row r="261" spans="1:20" s="198" customFormat="1">
      <c r="A261" s="246" t="s">
        <v>159</v>
      </c>
      <c r="B261" s="202"/>
      <c r="C261" s="4"/>
      <c r="D261" s="201"/>
      <c r="E261" s="202"/>
      <c r="F261" s="201"/>
      <c r="G261" s="15"/>
      <c r="H261" s="5"/>
      <c r="I261" s="132"/>
      <c r="J261" s="133"/>
      <c r="K261" s="15"/>
      <c r="L261" s="5"/>
      <c r="M261" s="132"/>
      <c r="N261" s="133"/>
      <c r="O261" s="15"/>
    </row>
    <row r="262" spans="1:20" s="198" customFormat="1">
      <c r="A262" s="240" t="s">
        <v>160</v>
      </c>
      <c r="B262" s="202"/>
      <c r="C262" s="4"/>
      <c r="D262" s="201"/>
      <c r="E262" s="202"/>
      <c r="F262" s="201"/>
      <c r="G262" s="15"/>
      <c r="H262" s="5"/>
      <c r="I262" s="115"/>
      <c r="J262" s="5"/>
      <c r="K262" s="15"/>
      <c r="L262" s="5"/>
      <c r="M262" s="115"/>
      <c r="N262" s="5"/>
      <c r="O262" s="15"/>
    </row>
    <row r="263" spans="1:20" s="198" customFormat="1">
      <c r="A263" s="239" t="s">
        <v>161</v>
      </c>
      <c r="B263" s="202"/>
      <c r="C263" s="4">
        <v>112356</v>
      </c>
      <c r="D263" s="201"/>
      <c r="E263" s="14">
        <v>1.83</v>
      </c>
      <c r="F263" s="124"/>
      <c r="G263" s="15">
        <f>ROUND(C263*E263,0)</f>
        <v>205611</v>
      </c>
      <c r="H263" s="5"/>
      <c r="I263" s="31">
        <v>2.0999999999999999E-3</v>
      </c>
      <c r="J263" s="124"/>
      <c r="K263" s="15">
        <f t="shared" ref="K263:K267" si="133">$G263*I263</f>
        <v>431.78309999999999</v>
      </c>
      <c r="L263" s="5"/>
      <c r="M263" s="31">
        <f t="shared" ref="M263:M267" si="134">$R$112</f>
        <v>0.01</v>
      </c>
      <c r="N263" s="124"/>
      <c r="O263" s="15">
        <f t="shared" ref="O263:O267" si="135">$G263*M263</f>
        <v>2056.11</v>
      </c>
      <c r="S263" s="166">
        <f t="shared" ref="S263:S273" si="136">G263*I263-K263</f>
        <v>0</v>
      </c>
      <c r="T263" s="167">
        <f t="shared" ref="T263:T273" si="137">G263*M263-O263</f>
        <v>0</v>
      </c>
    </row>
    <row r="264" spans="1:20" s="198" customFormat="1">
      <c r="A264" s="239" t="s">
        <v>162</v>
      </c>
      <c r="B264" s="202"/>
      <c r="C264" s="4">
        <v>141986</v>
      </c>
      <c r="D264" s="201"/>
      <c r="E264" s="14">
        <v>2.5</v>
      </c>
      <c r="F264" s="124"/>
      <c r="G264" s="15">
        <f>ROUND(C264*E264,0)</f>
        <v>354965</v>
      </c>
      <c r="H264" s="5"/>
      <c r="I264" s="31">
        <v>2.0999999999999999E-3</v>
      </c>
      <c r="J264" s="124"/>
      <c r="K264" s="15">
        <f t="shared" si="133"/>
        <v>745.42649999999992</v>
      </c>
      <c r="L264" s="5"/>
      <c r="M264" s="31">
        <f t="shared" si="134"/>
        <v>0.01</v>
      </c>
      <c r="N264" s="124"/>
      <c r="O264" s="15">
        <f t="shared" si="135"/>
        <v>3549.65</v>
      </c>
      <c r="S264" s="166">
        <f t="shared" si="136"/>
        <v>0</v>
      </c>
      <c r="T264" s="167">
        <f t="shared" si="137"/>
        <v>0</v>
      </c>
    </row>
    <row r="265" spans="1:20" s="198" customFormat="1">
      <c r="A265" s="239" t="s">
        <v>163</v>
      </c>
      <c r="B265" s="202"/>
      <c r="C265" s="4">
        <v>126742</v>
      </c>
      <c r="D265" s="201"/>
      <c r="E265" s="14">
        <v>3.66</v>
      </c>
      <c r="F265" s="124"/>
      <c r="G265" s="15">
        <f>ROUND(C265*E265,0)</f>
        <v>463876</v>
      </c>
      <c r="H265" s="5"/>
      <c r="I265" s="31">
        <v>2.0999999999999999E-3</v>
      </c>
      <c r="J265" s="124"/>
      <c r="K265" s="15">
        <f t="shared" si="133"/>
        <v>974.13959999999997</v>
      </c>
      <c r="L265" s="5"/>
      <c r="M265" s="31">
        <f t="shared" si="134"/>
        <v>0.01</v>
      </c>
      <c r="N265" s="124"/>
      <c r="O265" s="15">
        <f t="shared" si="135"/>
        <v>4638.76</v>
      </c>
      <c r="S265" s="166">
        <f t="shared" si="136"/>
        <v>0</v>
      </c>
      <c r="T265" s="167">
        <f t="shared" si="137"/>
        <v>0</v>
      </c>
    </row>
    <row r="266" spans="1:20" s="198" customFormat="1">
      <c r="A266" s="239" t="s">
        <v>164</v>
      </c>
      <c r="B266" s="202"/>
      <c r="C266" s="4">
        <v>54240</v>
      </c>
      <c r="D266" s="201"/>
      <c r="E266" s="14">
        <v>6.52</v>
      </c>
      <c r="F266" s="124"/>
      <c r="G266" s="15">
        <f>ROUND(C266*E266,0)</f>
        <v>353645</v>
      </c>
      <c r="H266" s="5"/>
      <c r="I266" s="31">
        <v>2.0999999999999999E-3</v>
      </c>
      <c r="J266" s="124"/>
      <c r="K266" s="15">
        <f t="shared" si="133"/>
        <v>742.65449999999998</v>
      </c>
      <c r="L266" s="5"/>
      <c r="M266" s="31">
        <f t="shared" si="134"/>
        <v>0.01</v>
      </c>
      <c r="N266" s="124"/>
      <c r="O266" s="15">
        <f t="shared" si="135"/>
        <v>3536.4500000000003</v>
      </c>
      <c r="S266" s="166">
        <f t="shared" si="136"/>
        <v>0</v>
      </c>
      <c r="T266" s="167">
        <f t="shared" si="137"/>
        <v>0</v>
      </c>
    </row>
    <row r="267" spans="1:20" s="198" customFormat="1">
      <c r="A267" s="239" t="s">
        <v>165</v>
      </c>
      <c r="B267" s="202"/>
      <c r="C267" s="4">
        <v>74391</v>
      </c>
      <c r="D267" s="201"/>
      <c r="E267" s="14">
        <v>10.02</v>
      </c>
      <c r="F267" s="124"/>
      <c r="G267" s="15">
        <f>ROUND(C267*E267,0)</f>
        <v>745398</v>
      </c>
      <c r="H267" s="5"/>
      <c r="I267" s="31">
        <v>2.0999999999999999E-3</v>
      </c>
      <c r="J267" s="124"/>
      <c r="K267" s="15">
        <f t="shared" si="133"/>
        <v>1565.3357999999998</v>
      </c>
      <c r="L267" s="5"/>
      <c r="M267" s="31">
        <f t="shared" si="134"/>
        <v>0.01</v>
      </c>
      <c r="N267" s="124"/>
      <c r="O267" s="15">
        <f t="shared" si="135"/>
        <v>7453.9800000000005</v>
      </c>
      <c r="S267" s="166">
        <f t="shared" si="136"/>
        <v>0</v>
      </c>
      <c r="T267" s="167">
        <f t="shared" si="137"/>
        <v>0</v>
      </c>
    </row>
    <row r="268" spans="1:20" s="198" customFormat="1">
      <c r="A268" s="240" t="s">
        <v>134</v>
      </c>
      <c r="B268" s="202"/>
      <c r="C268" s="4"/>
      <c r="D268" s="201"/>
      <c r="E268" s="129"/>
      <c r="F268" s="20"/>
      <c r="G268" s="15"/>
      <c r="H268" s="5"/>
      <c r="I268" s="130"/>
      <c r="J268" s="20"/>
      <c r="K268" s="15"/>
      <c r="L268" s="5"/>
      <c r="M268" s="130"/>
      <c r="N268" s="20"/>
      <c r="O268" s="15"/>
      <c r="S268" s="166"/>
      <c r="T268" s="167"/>
    </row>
    <row r="269" spans="1:20" s="198" customFormat="1">
      <c r="A269" s="239" t="s">
        <v>166</v>
      </c>
      <c r="B269" s="202"/>
      <c r="C269" s="4">
        <v>6486</v>
      </c>
      <c r="D269" s="201"/>
      <c r="E269" s="14">
        <v>2.5499999999999998</v>
      </c>
      <c r="F269" s="124"/>
      <c r="G269" s="15">
        <f>ROUND(C269*E269,0)</f>
        <v>16539</v>
      </c>
      <c r="H269" s="5"/>
      <c r="I269" s="31">
        <v>2.0999999999999999E-3</v>
      </c>
      <c r="J269" s="124"/>
      <c r="K269" s="15">
        <f t="shared" ref="K269:K273" si="138">$G269*I269</f>
        <v>34.731899999999996</v>
      </c>
      <c r="L269" s="5"/>
      <c r="M269" s="31">
        <f t="shared" ref="M269:M273" si="139">$R$112</f>
        <v>0.01</v>
      </c>
      <c r="N269" s="124"/>
      <c r="O269" s="15">
        <f t="shared" ref="O269:O273" si="140">$G269*M269</f>
        <v>165.39000000000001</v>
      </c>
      <c r="S269" s="166">
        <f t="shared" si="136"/>
        <v>0</v>
      </c>
      <c r="T269" s="167">
        <f t="shared" si="137"/>
        <v>0</v>
      </c>
    </row>
    <row r="270" spans="1:20" s="198" customFormat="1">
      <c r="A270" s="239" t="s">
        <v>167</v>
      </c>
      <c r="B270" s="202"/>
      <c r="C270" s="4">
        <v>18071</v>
      </c>
      <c r="D270" s="201"/>
      <c r="E270" s="14">
        <v>4.46</v>
      </c>
      <c r="F270" s="124"/>
      <c r="G270" s="15">
        <f>ROUND(C270*E270,0)</f>
        <v>80597</v>
      </c>
      <c r="H270" s="5"/>
      <c r="I270" s="31">
        <v>2.0999999999999999E-3</v>
      </c>
      <c r="J270" s="124"/>
      <c r="K270" s="15">
        <f t="shared" si="138"/>
        <v>169.25369999999998</v>
      </c>
      <c r="L270" s="5"/>
      <c r="M270" s="31">
        <f t="shared" si="139"/>
        <v>0.01</v>
      </c>
      <c r="N270" s="124"/>
      <c r="O270" s="15">
        <f t="shared" si="140"/>
        <v>805.97</v>
      </c>
      <c r="S270" s="166">
        <f t="shared" si="136"/>
        <v>0</v>
      </c>
      <c r="T270" s="167">
        <f t="shared" si="137"/>
        <v>0</v>
      </c>
    </row>
    <row r="271" spans="1:20" s="198" customFormat="1">
      <c r="A271" s="239" t="s">
        <v>168</v>
      </c>
      <c r="B271" s="202"/>
      <c r="C271" s="4">
        <v>29386</v>
      </c>
      <c r="D271" s="201"/>
      <c r="E271" s="14">
        <v>6.17</v>
      </c>
      <c r="F271" s="124"/>
      <c r="G271" s="15">
        <f>ROUND(C271*E271,0)</f>
        <v>181312</v>
      </c>
      <c r="H271" s="5"/>
      <c r="I271" s="31">
        <v>2.0999999999999999E-3</v>
      </c>
      <c r="J271" s="124"/>
      <c r="K271" s="15">
        <f t="shared" si="138"/>
        <v>380.7552</v>
      </c>
      <c r="L271" s="5"/>
      <c r="M271" s="31">
        <f t="shared" si="139"/>
        <v>0.01</v>
      </c>
      <c r="N271" s="124"/>
      <c r="O271" s="15">
        <f t="shared" si="140"/>
        <v>1813.1200000000001</v>
      </c>
      <c r="S271" s="166">
        <f t="shared" si="136"/>
        <v>0</v>
      </c>
      <c r="T271" s="167">
        <f t="shared" si="137"/>
        <v>0</v>
      </c>
    </row>
    <row r="272" spans="1:20" s="198" customFormat="1">
      <c r="A272" s="239" t="s">
        <v>169</v>
      </c>
      <c r="B272" s="202"/>
      <c r="C272" s="4">
        <v>28769</v>
      </c>
      <c r="D272" s="201"/>
      <c r="E272" s="124">
        <v>9.77</v>
      </c>
      <c r="F272" s="124"/>
      <c r="G272" s="15">
        <f>ROUND(C272*E272,0)</f>
        <v>281073</v>
      </c>
      <c r="H272" s="5"/>
      <c r="I272" s="31">
        <v>2.0999999999999999E-3</v>
      </c>
      <c r="J272" s="124"/>
      <c r="K272" s="15">
        <f t="shared" si="138"/>
        <v>590.25329999999997</v>
      </c>
      <c r="L272" s="5"/>
      <c r="M272" s="31">
        <f t="shared" si="139"/>
        <v>0.01</v>
      </c>
      <c r="N272" s="124"/>
      <c r="O272" s="15">
        <f t="shared" si="140"/>
        <v>2810.73</v>
      </c>
      <c r="S272" s="166">
        <f t="shared" si="136"/>
        <v>0</v>
      </c>
      <c r="T272" s="167">
        <f t="shared" si="137"/>
        <v>0</v>
      </c>
    </row>
    <row r="273" spans="1:20" s="198" customFormat="1">
      <c r="A273" s="240" t="s">
        <v>170</v>
      </c>
      <c r="B273" s="202"/>
      <c r="C273" s="48">
        <v>8033000</v>
      </c>
      <c r="D273" s="201"/>
      <c r="E273" s="148">
        <v>6.5278999999999998</v>
      </c>
      <c r="F273" s="126" t="s">
        <v>12</v>
      </c>
      <c r="G273" s="37">
        <f>ROUND(C273*E273/100,0)</f>
        <v>524386</v>
      </c>
      <c r="H273" s="5"/>
      <c r="I273" s="31">
        <v>2.0999999999999999E-3</v>
      </c>
      <c r="J273" s="124"/>
      <c r="K273" s="37">
        <f t="shared" si="138"/>
        <v>1101.2105999999999</v>
      </c>
      <c r="L273" s="5"/>
      <c r="M273" s="31">
        <f t="shared" si="139"/>
        <v>0.01</v>
      </c>
      <c r="N273" s="124"/>
      <c r="O273" s="37">
        <f t="shared" si="140"/>
        <v>5243.86</v>
      </c>
      <c r="S273" s="166">
        <f t="shared" si="136"/>
        <v>0</v>
      </c>
      <c r="T273" s="167">
        <f t="shared" si="137"/>
        <v>0</v>
      </c>
    </row>
    <row r="274" spans="1:20" s="198" customFormat="1">
      <c r="A274" s="240" t="s">
        <v>171</v>
      </c>
      <c r="B274" s="202"/>
      <c r="C274" s="16">
        <v>48815242</v>
      </c>
      <c r="D274" s="201"/>
      <c r="E274" s="148"/>
      <c r="F274" s="124"/>
      <c r="G274" s="21">
        <f>SUM(G263:G273)</f>
        <v>3207402</v>
      </c>
      <c r="H274" s="5"/>
      <c r="I274" s="149"/>
      <c r="J274" s="124"/>
      <c r="K274" s="21">
        <f>SUM(K263:K273)</f>
        <v>6735.5442000000003</v>
      </c>
      <c r="L274" s="5"/>
      <c r="M274" s="149"/>
      <c r="N274" s="124"/>
      <c r="O274" s="21">
        <f>SUM(O263:O273)</f>
        <v>32074.02</v>
      </c>
    </row>
    <row r="275" spans="1:20" s="198" customFormat="1">
      <c r="A275" s="240" t="s">
        <v>87</v>
      </c>
      <c r="B275" s="202"/>
      <c r="C275" s="16"/>
      <c r="D275" s="201"/>
      <c r="E275" s="148"/>
      <c r="F275" s="124"/>
      <c r="G275" s="21"/>
      <c r="H275" s="5"/>
      <c r="I275" s="149"/>
      <c r="J275" s="124"/>
      <c r="K275" s="21"/>
      <c r="L275" s="5"/>
      <c r="M275" s="149"/>
      <c r="N275" s="124"/>
      <c r="O275" s="21"/>
    </row>
    <row r="276" spans="1:20" s="198" customFormat="1">
      <c r="A276" s="240" t="s">
        <v>157</v>
      </c>
      <c r="B276" s="202"/>
      <c r="C276" s="48">
        <v>48815242</v>
      </c>
      <c r="D276" s="201"/>
      <c r="E276" s="148"/>
      <c r="F276" s="124"/>
      <c r="G276" s="37">
        <f>SUM(G274:G275)</f>
        <v>3207402</v>
      </c>
      <c r="H276" s="5"/>
      <c r="I276" s="149"/>
      <c r="J276" s="124"/>
      <c r="K276" s="37">
        <f>SUM(K274:K275)</f>
        <v>6735.5442000000003</v>
      </c>
      <c r="L276" s="5"/>
      <c r="M276" s="149"/>
      <c r="N276" s="124"/>
      <c r="O276" s="37">
        <f>SUM(O274:O275)</f>
        <v>32074.02</v>
      </c>
    </row>
    <row r="277" spans="1:20" s="198" customFormat="1">
      <c r="A277" s="240" t="s">
        <v>358</v>
      </c>
      <c r="B277" s="202"/>
      <c r="C277" s="16">
        <v>444.75</v>
      </c>
      <c r="D277" s="201"/>
      <c r="E277" s="148"/>
      <c r="F277" s="124"/>
      <c r="G277" s="21"/>
      <c r="H277" s="5"/>
      <c r="I277" s="115"/>
      <c r="J277" s="5"/>
      <c r="K277" s="21"/>
      <c r="L277" s="5"/>
      <c r="M277" s="115"/>
      <c r="N277" s="5"/>
      <c r="O277" s="21"/>
    </row>
    <row r="278" spans="1:20" s="198" customFormat="1">
      <c r="A278" s="150" t="s">
        <v>172</v>
      </c>
      <c r="B278" s="202"/>
      <c r="C278" s="4"/>
      <c r="D278" s="201"/>
      <c r="E278" s="202"/>
      <c r="F278" s="201"/>
      <c r="G278" s="202"/>
      <c r="H278" s="5"/>
      <c r="I278" s="115"/>
      <c r="J278" s="5"/>
      <c r="K278" s="202"/>
      <c r="L278" s="5"/>
      <c r="M278" s="115"/>
      <c r="N278" s="5"/>
      <c r="O278" s="202"/>
    </row>
    <row r="279" spans="1:20" s="198" customFormat="1">
      <c r="A279" s="240" t="s">
        <v>173</v>
      </c>
      <c r="B279" s="202"/>
      <c r="C279" s="4"/>
      <c r="D279" s="201"/>
      <c r="E279" s="202"/>
      <c r="F279" s="201"/>
      <c r="G279" s="15"/>
      <c r="H279" s="5"/>
      <c r="I279" s="245"/>
      <c r="J279" s="245"/>
      <c r="K279" s="15"/>
      <c r="L279" s="5"/>
      <c r="M279" s="245"/>
      <c r="N279" s="245"/>
      <c r="O279" s="15"/>
    </row>
    <row r="280" spans="1:20" s="198" customFormat="1">
      <c r="A280" s="239" t="s">
        <v>174</v>
      </c>
      <c r="B280" s="202"/>
      <c r="C280" s="4">
        <v>78</v>
      </c>
      <c r="D280" s="201"/>
      <c r="E280" s="14">
        <v>8.9600000000000009</v>
      </c>
      <c r="F280" s="124"/>
      <c r="G280" s="15">
        <f>ROUND(C280*E280,0)</f>
        <v>699</v>
      </c>
      <c r="H280" s="5"/>
      <c r="I280" s="31">
        <v>2.0999999999999999E-3</v>
      </c>
      <c r="J280" s="124"/>
      <c r="K280" s="15">
        <f t="shared" ref="K280:K282" si="141">$G280*I280</f>
        <v>1.4679</v>
      </c>
      <c r="L280" s="5"/>
      <c r="M280" s="31">
        <f t="shared" ref="M280:M282" si="142">$R$112</f>
        <v>0.01</v>
      </c>
      <c r="N280" s="124"/>
      <c r="O280" s="15">
        <f t="shared" ref="O280:O282" si="143">$G280*M280</f>
        <v>6.99</v>
      </c>
      <c r="S280" s="166">
        <f t="shared" ref="S280:S316" si="144">G280*I280-K280</f>
        <v>0</v>
      </c>
      <c r="T280" s="167">
        <f t="shared" ref="T280:T316" si="145">G280*M280-O280</f>
        <v>0</v>
      </c>
    </row>
    <row r="281" spans="1:20" s="198" customFormat="1">
      <c r="A281" s="239" t="s">
        <v>175</v>
      </c>
      <c r="B281" s="202"/>
      <c r="C281" s="4">
        <v>0</v>
      </c>
      <c r="D281" s="201"/>
      <c r="E281" s="14">
        <v>7.62</v>
      </c>
      <c r="F281" s="124"/>
      <c r="G281" s="15">
        <f>ROUND(C281*E281,0)</f>
        <v>0</v>
      </c>
      <c r="H281" s="5"/>
      <c r="I281" s="31">
        <v>2.0999999999999999E-3</v>
      </c>
      <c r="J281" s="124"/>
      <c r="K281" s="15">
        <f t="shared" si="141"/>
        <v>0</v>
      </c>
      <c r="L281" s="5"/>
      <c r="M281" s="31">
        <f t="shared" si="142"/>
        <v>0.01</v>
      </c>
      <c r="N281" s="124"/>
      <c r="O281" s="15">
        <f t="shared" si="143"/>
        <v>0</v>
      </c>
      <c r="S281" s="166">
        <f t="shared" si="144"/>
        <v>0</v>
      </c>
      <c r="T281" s="167">
        <f t="shared" si="145"/>
        <v>0</v>
      </c>
    </row>
    <row r="282" spans="1:20" s="198" customFormat="1">
      <c r="A282" s="239" t="s">
        <v>146</v>
      </c>
      <c r="B282" s="202"/>
      <c r="C282" s="4">
        <v>35</v>
      </c>
      <c r="D282" s="201"/>
      <c r="E282" s="14">
        <v>12.19</v>
      </c>
      <c r="F282" s="124"/>
      <c r="G282" s="15">
        <f>ROUND(C282*E282,0)</f>
        <v>427</v>
      </c>
      <c r="H282" s="5"/>
      <c r="I282" s="31">
        <v>2.0999999999999999E-3</v>
      </c>
      <c r="J282" s="124"/>
      <c r="K282" s="15">
        <f t="shared" si="141"/>
        <v>0.89669999999999994</v>
      </c>
      <c r="L282" s="5"/>
      <c r="M282" s="31">
        <f t="shared" si="142"/>
        <v>0.01</v>
      </c>
      <c r="N282" s="124"/>
      <c r="O282" s="15">
        <f t="shared" si="143"/>
        <v>4.2700000000000005</v>
      </c>
      <c r="S282" s="166">
        <f t="shared" si="144"/>
        <v>0</v>
      </c>
      <c r="T282" s="167">
        <f t="shared" si="145"/>
        <v>0</v>
      </c>
    </row>
    <row r="283" spans="1:20" s="198" customFormat="1">
      <c r="A283" s="240" t="s">
        <v>176</v>
      </c>
      <c r="B283" s="202"/>
      <c r="C283" s="4"/>
      <c r="D283" s="201"/>
      <c r="E283" s="14"/>
      <c r="F283" s="124"/>
      <c r="G283" s="202"/>
      <c r="H283" s="5"/>
      <c r="I283" s="31"/>
      <c r="J283" s="124"/>
      <c r="K283" s="202"/>
      <c r="L283" s="5"/>
      <c r="M283" s="31"/>
      <c r="N283" s="124"/>
      <c r="O283" s="202"/>
      <c r="S283" s="166"/>
      <c r="T283" s="167"/>
    </row>
    <row r="284" spans="1:20" s="198" customFormat="1">
      <c r="A284" s="239" t="s">
        <v>146</v>
      </c>
      <c r="B284" s="202"/>
      <c r="C284" s="4">
        <v>48</v>
      </c>
      <c r="D284" s="201"/>
      <c r="E284" s="14">
        <v>4.6399999999999997</v>
      </c>
      <c r="F284" s="124"/>
      <c r="G284" s="15">
        <f>ROUND(C284*E284,0)</f>
        <v>223</v>
      </c>
      <c r="H284" s="5"/>
      <c r="I284" s="31">
        <v>2.0999999999999999E-3</v>
      </c>
      <c r="J284" s="124"/>
      <c r="K284" s="15">
        <f t="shared" ref="K284:K288" si="146">$G284*I284</f>
        <v>0.46829999999999999</v>
      </c>
      <c r="L284" s="5"/>
      <c r="M284" s="31">
        <f t="shared" ref="M284:M288" si="147">$R$112</f>
        <v>0.01</v>
      </c>
      <c r="N284" s="124"/>
      <c r="O284" s="15">
        <f t="shared" ref="O284:O288" si="148">$G284*M284</f>
        <v>2.23</v>
      </c>
      <c r="S284" s="166">
        <f t="shared" si="144"/>
        <v>0</v>
      </c>
      <c r="T284" s="167">
        <f t="shared" si="145"/>
        <v>0</v>
      </c>
    </row>
    <row r="285" spans="1:20" s="198" customFormat="1">
      <c r="A285" s="239" t="s">
        <v>60</v>
      </c>
      <c r="B285" s="202"/>
      <c r="C285" s="16">
        <v>563</v>
      </c>
      <c r="D285" s="201"/>
      <c r="E285" s="20">
        <v>7</v>
      </c>
      <c r="F285" s="201"/>
      <c r="G285" s="15">
        <f>ROUND(C285*E285,0)</f>
        <v>3941</v>
      </c>
      <c r="H285" s="5"/>
      <c r="I285" s="31">
        <v>2.0999999999999999E-3</v>
      </c>
      <c r="J285" s="124"/>
      <c r="K285" s="15">
        <f t="shared" si="146"/>
        <v>8.2760999999999996</v>
      </c>
      <c r="L285" s="5"/>
      <c r="M285" s="31">
        <f t="shared" si="147"/>
        <v>0.01</v>
      </c>
      <c r="N285" s="124"/>
      <c r="O285" s="15">
        <f t="shared" si="148"/>
        <v>39.410000000000004</v>
      </c>
      <c r="S285" s="166">
        <f t="shared" si="144"/>
        <v>0</v>
      </c>
      <c r="T285" s="167">
        <f t="shared" si="145"/>
        <v>0</v>
      </c>
    </row>
    <row r="286" spans="1:20" s="198" customFormat="1">
      <c r="A286" s="239" t="s">
        <v>147</v>
      </c>
      <c r="B286" s="202"/>
      <c r="C286" s="4">
        <v>0</v>
      </c>
      <c r="D286" s="201"/>
      <c r="E286" s="14">
        <v>9.08</v>
      </c>
      <c r="F286" s="124"/>
      <c r="G286" s="15">
        <f>ROUND(C286*E286,0)</f>
        <v>0</v>
      </c>
      <c r="H286" s="5"/>
      <c r="I286" s="31">
        <v>2.0999999999999999E-3</v>
      </c>
      <c r="J286" s="124"/>
      <c r="K286" s="15">
        <f t="shared" si="146"/>
        <v>0</v>
      </c>
      <c r="L286" s="5"/>
      <c r="M286" s="31">
        <f t="shared" si="147"/>
        <v>0.01</v>
      </c>
      <c r="N286" s="124"/>
      <c r="O286" s="15">
        <f t="shared" si="148"/>
        <v>0</v>
      </c>
      <c r="S286" s="166">
        <f t="shared" si="144"/>
        <v>0</v>
      </c>
      <c r="T286" s="167">
        <f t="shared" si="145"/>
        <v>0</v>
      </c>
    </row>
    <row r="287" spans="1:20" s="198" customFormat="1">
      <c r="A287" s="239" t="s">
        <v>62</v>
      </c>
      <c r="B287" s="202"/>
      <c r="C287" s="4">
        <v>82</v>
      </c>
      <c r="D287" s="201"/>
      <c r="E287" s="14">
        <v>13.33</v>
      </c>
      <c r="F287" s="124"/>
      <c r="G287" s="15">
        <f>ROUND(C287*E287,0)</f>
        <v>1093</v>
      </c>
      <c r="H287" s="5"/>
      <c r="I287" s="31">
        <v>2.0999999999999999E-3</v>
      </c>
      <c r="J287" s="124"/>
      <c r="K287" s="15">
        <f t="shared" si="146"/>
        <v>2.2952999999999997</v>
      </c>
      <c r="L287" s="5"/>
      <c r="M287" s="31">
        <f t="shared" si="147"/>
        <v>0.01</v>
      </c>
      <c r="N287" s="124"/>
      <c r="O287" s="15">
        <f t="shared" si="148"/>
        <v>10.93</v>
      </c>
      <c r="S287" s="166">
        <f t="shared" si="144"/>
        <v>0</v>
      </c>
      <c r="T287" s="167">
        <f t="shared" si="145"/>
        <v>0</v>
      </c>
    </row>
    <row r="288" spans="1:20" s="198" customFormat="1">
      <c r="A288" s="239" t="s">
        <v>177</v>
      </c>
      <c r="B288" s="202"/>
      <c r="C288" s="4">
        <v>0</v>
      </c>
      <c r="D288" s="201"/>
      <c r="E288" s="14">
        <v>28.38</v>
      </c>
      <c r="F288" s="124"/>
      <c r="G288" s="15">
        <f>ROUND(C288*E288,0)</f>
        <v>0</v>
      </c>
      <c r="H288" s="5"/>
      <c r="I288" s="31">
        <v>2.0999999999999999E-3</v>
      </c>
      <c r="J288" s="124"/>
      <c r="K288" s="15">
        <f t="shared" si="146"/>
        <v>0</v>
      </c>
      <c r="L288" s="5"/>
      <c r="M288" s="31">
        <f t="shared" si="147"/>
        <v>0.01</v>
      </c>
      <c r="N288" s="124"/>
      <c r="O288" s="15">
        <f t="shared" si="148"/>
        <v>0</v>
      </c>
      <c r="S288" s="166">
        <f t="shared" si="144"/>
        <v>0</v>
      </c>
      <c r="T288" s="167">
        <f t="shared" si="145"/>
        <v>0</v>
      </c>
    </row>
    <row r="289" spans="1:20" s="198" customFormat="1">
      <c r="A289" s="240" t="s">
        <v>178</v>
      </c>
      <c r="B289" s="202"/>
      <c r="C289" s="4"/>
      <c r="D289" s="201"/>
      <c r="E289" s="14"/>
      <c r="F289" s="124"/>
      <c r="G289" s="15"/>
      <c r="H289" s="5"/>
      <c r="I289" s="31"/>
      <c r="J289" s="124"/>
      <c r="K289" s="15"/>
      <c r="L289" s="5"/>
      <c r="M289" s="31"/>
      <c r="N289" s="124"/>
      <c r="O289" s="15"/>
      <c r="S289" s="166"/>
      <c r="T289" s="167"/>
    </row>
    <row r="290" spans="1:20" s="198" customFormat="1">
      <c r="A290" s="239" t="s">
        <v>161</v>
      </c>
      <c r="B290" s="202"/>
      <c r="C290" s="4">
        <v>29589</v>
      </c>
      <c r="D290" s="201"/>
      <c r="E290" s="14">
        <v>4.08</v>
      </c>
      <c r="F290" s="124"/>
      <c r="G290" s="15">
        <f t="shared" ref="G290:G304" si="149">ROUND(C290*E290,0)</f>
        <v>120723</v>
      </c>
      <c r="H290" s="5"/>
      <c r="I290" s="31">
        <v>2.0999999999999999E-3</v>
      </c>
      <c r="J290" s="124"/>
      <c r="K290" s="15">
        <f t="shared" ref="K290:K304" si="150">$G290*I290</f>
        <v>253.51829999999998</v>
      </c>
      <c r="L290" s="5"/>
      <c r="M290" s="31">
        <f t="shared" ref="M290:M304" si="151">$R$112</f>
        <v>0.01</v>
      </c>
      <c r="N290" s="124"/>
      <c r="O290" s="15">
        <f t="shared" ref="O290:O304" si="152">$G290*M290</f>
        <v>1207.23</v>
      </c>
      <c r="S290" s="166">
        <f t="shared" si="144"/>
        <v>0</v>
      </c>
      <c r="T290" s="167">
        <f t="shared" si="145"/>
        <v>0</v>
      </c>
    </row>
    <row r="291" spans="1:20" s="198" customFormat="1">
      <c r="A291" s="239" t="s">
        <v>162</v>
      </c>
      <c r="B291" s="202"/>
      <c r="C291" s="4">
        <v>12331</v>
      </c>
      <c r="D291" s="201"/>
      <c r="E291" s="14">
        <v>5.37</v>
      </c>
      <c r="F291" s="124"/>
      <c r="G291" s="15">
        <f t="shared" si="149"/>
        <v>66217</v>
      </c>
      <c r="H291" s="5"/>
      <c r="I291" s="31">
        <v>2.0999999999999999E-3</v>
      </c>
      <c r="J291" s="124"/>
      <c r="K291" s="15">
        <f t="shared" si="150"/>
        <v>139.0557</v>
      </c>
      <c r="L291" s="5"/>
      <c r="M291" s="31">
        <f t="shared" si="151"/>
        <v>0.01</v>
      </c>
      <c r="N291" s="124"/>
      <c r="O291" s="15">
        <f t="shared" si="152"/>
        <v>662.17</v>
      </c>
      <c r="S291" s="166">
        <f t="shared" si="144"/>
        <v>0</v>
      </c>
      <c r="T291" s="167">
        <f t="shared" si="145"/>
        <v>0</v>
      </c>
    </row>
    <row r="292" spans="1:20" s="198" customFormat="1">
      <c r="A292" s="239" t="s">
        <v>179</v>
      </c>
      <c r="B292" s="202"/>
      <c r="C292" s="4">
        <v>10</v>
      </c>
      <c r="D292" s="201"/>
      <c r="E292" s="14">
        <v>4.5599999999999996</v>
      </c>
      <c r="F292" s="124"/>
      <c r="G292" s="15">
        <f t="shared" si="149"/>
        <v>46</v>
      </c>
      <c r="H292" s="5"/>
      <c r="I292" s="31">
        <v>2.0999999999999999E-3</v>
      </c>
      <c r="J292" s="124"/>
      <c r="K292" s="15">
        <f t="shared" si="150"/>
        <v>9.6599999999999991E-2</v>
      </c>
      <c r="L292" s="5"/>
      <c r="M292" s="31">
        <f t="shared" si="151"/>
        <v>0.01</v>
      </c>
      <c r="N292" s="124"/>
      <c r="O292" s="15">
        <f t="shared" si="152"/>
        <v>0.46</v>
      </c>
      <c r="S292" s="166">
        <f t="shared" si="144"/>
        <v>0</v>
      </c>
      <c r="T292" s="167">
        <f t="shared" si="145"/>
        <v>0</v>
      </c>
    </row>
    <row r="293" spans="1:20" s="198" customFormat="1">
      <c r="A293" s="239" t="s">
        <v>180</v>
      </c>
      <c r="B293" s="202"/>
      <c r="C293" s="4">
        <v>7256</v>
      </c>
      <c r="D293" s="201"/>
      <c r="E293" s="14">
        <v>6.96</v>
      </c>
      <c r="F293" s="124"/>
      <c r="G293" s="15">
        <f t="shared" si="149"/>
        <v>50502</v>
      </c>
      <c r="H293" s="5"/>
      <c r="I293" s="31">
        <v>2.0999999999999999E-3</v>
      </c>
      <c r="J293" s="124"/>
      <c r="K293" s="15">
        <f t="shared" si="150"/>
        <v>106.05419999999999</v>
      </c>
      <c r="L293" s="5"/>
      <c r="M293" s="31">
        <f t="shared" si="151"/>
        <v>0.01</v>
      </c>
      <c r="N293" s="124"/>
      <c r="O293" s="15">
        <f t="shared" si="152"/>
        <v>505.02000000000004</v>
      </c>
      <c r="S293" s="166">
        <f t="shared" si="144"/>
        <v>0</v>
      </c>
      <c r="T293" s="167">
        <f t="shared" si="145"/>
        <v>0</v>
      </c>
    </row>
    <row r="294" spans="1:20" s="198" customFormat="1">
      <c r="A294" s="239" t="s">
        <v>163</v>
      </c>
      <c r="B294" s="202"/>
      <c r="C294" s="4">
        <v>3205</v>
      </c>
      <c r="D294" s="201"/>
      <c r="E294" s="14">
        <v>6.52</v>
      </c>
      <c r="F294" s="124"/>
      <c r="G294" s="15">
        <f t="shared" si="149"/>
        <v>20897</v>
      </c>
      <c r="H294" s="5"/>
      <c r="I294" s="31">
        <v>2.0999999999999999E-3</v>
      </c>
      <c r="J294" s="124"/>
      <c r="K294" s="15">
        <f t="shared" si="150"/>
        <v>43.883699999999997</v>
      </c>
      <c r="L294" s="5"/>
      <c r="M294" s="31">
        <f t="shared" si="151"/>
        <v>0.01</v>
      </c>
      <c r="N294" s="124"/>
      <c r="O294" s="15">
        <f t="shared" si="152"/>
        <v>208.97</v>
      </c>
      <c r="S294" s="166">
        <f t="shared" si="144"/>
        <v>0</v>
      </c>
      <c r="T294" s="167">
        <f t="shared" si="145"/>
        <v>0</v>
      </c>
    </row>
    <row r="295" spans="1:20" s="198" customFormat="1">
      <c r="A295" s="239" t="s">
        <v>181</v>
      </c>
      <c r="B295" s="202"/>
      <c r="C295" s="4">
        <v>0</v>
      </c>
      <c r="D295" s="201"/>
      <c r="E295" s="14">
        <v>5.54</v>
      </c>
      <c r="F295" s="124"/>
      <c r="G295" s="15">
        <f t="shared" si="149"/>
        <v>0</v>
      </c>
      <c r="H295" s="5"/>
      <c r="I295" s="31">
        <v>2.0999999999999999E-3</v>
      </c>
      <c r="J295" s="124"/>
      <c r="K295" s="15">
        <f t="shared" si="150"/>
        <v>0</v>
      </c>
      <c r="L295" s="5"/>
      <c r="M295" s="31">
        <f t="shared" si="151"/>
        <v>0.01</v>
      </c>
      <c r="N295" s="124"/>
      <c r="O295" s="15">
        <f t="shared" si="152"/>
        <v>0</v>
      </c>
      <c r="S295" s="166">
        <f t="shared" si="144"/>
        <v>0</v>
      </c>
      <c r="T295" s="167">
        <f t="shared" si="145"/>
        <v>0</v>
      </c>
    </row>
    <row r="296" spans="1:20" s="198" customFormat="1">
      <c r="A296" s="239" t="s">
        <v>182</v>
      </c>
      <c r="B296" s="202"/>
      <c r="C296" s="4">
        <v>954</v>
      </c>
      <c r="D296" s="201"/>
      <c r="E296" s="14">
        <v>8.27</v>
      </c>
      <c r="F296" s="124"/>
      <c r="G296" s="15">
        <f t="shared" si="149"/>
        <v>7890</v>
      </c>
      <c r="H296" s="5"/>
      <c r="I296" s="31">
        <v>2.0999999999999999E-3</v>
      </c>
      <c r="J296" s="124"/>
      <c r="K296" s="15">
        <f t="shared" si="150"/>
        <v>16.568999999999999</v>
      </c>
      <c r="L296" s="5"/>
      <c r="M296" s="31">
        <f t="shared" si="151"/>
        <v>0.01</v>
      </c>
      <c r="N296" s="124"/>
      <c r="O296" s="15">
        <f t="shared" si="152"/>
        <v>78.900000000000006</v>
      </c>
      <c r="S296" s="166">
        <f t="shared" si="144"/>
        <v>0</v>
      </c>
      <c r="T296" s="167">
        <f t="shared" si="145"/>
        <v>0</v>
      </c>
    </row>
    <row r="297" spans="1:20" s="198" customFormat="1">
      <c r="A297" s="239" t="s">
        <v>183</v>
      </c>
      <c r="B297" s="202"/>
      <c r="C297" s="4">
        <v>0</v>
      </c>
      <c r="D297" s="201"/>
      <c r="E297" s="14">
        <v>8.26</v>
      </c>
      <c r="F297" s="124"/>
      <c r="G297" s="15">
        <f t="shared" si="149"/>
        <v>0</v>
      </c>
      <c r="H297" s="5"/>
      <c r="I297" s="31">
        <v>2.0999999999999999E-3</v>
      </c>
      <c r="J297" s="124"/>
      <c r="K297" s="15">
        <f t="shared" si="150"/>
        <v>0</v>
      </c>
      <c r="L297" s="5"/>
      <c r="M297" s="31">
        <f t="shared" si="151"/>
        <v>0.01</v>
      </c>
      <c r="N297" s="124"/>
      <c r="O297" s="15">
        <f t="shared" si="152"/>
        <v>0</v>
      </c>
      <c r="S297" s="166">
        <f t="shared" si="144"/>
        <v>0</v>
      </c>
      <c r="T297" s="167">
        <f t="shared" si="145"/>
        <v>0</v>
      </c>
    </row>
    <row r="298" spans="1:20" s="198" customFormat="1">
      <c r="A298" s="239" t="s">
        <v>164</v>
      </c>
      <c r="B298" s="202"/>
      <c r="C298" s="4">
        <v>5284</v>
      </c>
      <c r="D298" s="201"/>
      <c r="E298" s="14">
        <v>9.59</v>
      </c>
      <c r="F298" s="124"/>
      <c r="G298" s="15">
        <f t="shared" si="149"/>
        <v>50674</v>
      </c>
      <c r="H298" s="5"/>
      <c r="I298" s="31">
        <v>2.0999999999999999E-3</v>
      </c>
      <c r="J298" s="124"/>
      <c r="K298" s="15">
        <f t="shared" si="150"/>
        <v>106.41539999999999</v>
      </c>
      <c r="L298" s="5"/>
      <c r="M298" s="31">
        <f t="shared" si="151"/>
        <v>0.01</v>
      </c>
      <c r="N298" s="124"/>
      <c r="O298" s="15">
        <f t="shared" si="152"/>
        <v>506.74</v>
      </c>
      <c r="S298" s="166">
        <f t="shared" si="144"/>
        <v>0</v>
      </c>
      <c r="T298" s="167">
        <f t="shared" si="145"/>
        <v>0</v>
      </c>
    </row>
    <row r="299" spans="1:20" s="198" customFormat="1">
      <c r="A299" s="239" t="s">
        <v>184</v>
      </c>
      <c r="B299" s="202"/>
      <c r="C299" s="4">
        <v>0</v>
      </c>
      <c r="D299" s="201"/>
      <c r="E299" s="14">
        <v>8.16</v>
      </c>
      <c r="F299" s="124"/>
      <c r="G299" s="15">
        <f t="shared" si="149"/>
        <v>0</v>
      </c>
      <c r="H299" s="5"/>
      <c r="I299" s="31">
        <v>2.0999999999999999E-3</v>
      </c>
      <c r="J299" s="124"/>
      <c r="K299" s="15">
        <f t="shared" si="150"/>
        <v>0</v>
      </c>
      <c r="L299" s="5"/>
      <c r="M299" s="31">
        <f t="shared" si="151"/>
        <v>0.01</v>
      </c>
      <c r="N299" s="124"/>
      <c r="O299" s="15">
        <f t="shared" si="152"/>
        <v>0</v>
      </c>
      <c r="S299" s="166">
        <f t="shared" si="144"/>
        <v>0</v>
      </c>
      <c r="T299" s="167">
        <f t="shared" si="145"/>
        <v>0</v>
      </c>
    </row>
    <row r="300" spans="1:20" s="198" customFormat="1">
      <c r="A300" s="239" t="s">
        <v>185</v>
      </c>
      <c r="B300" s="202"/>
      <c r="C300" s="4">
        <v>107</v>
      </c>
      <c r="D300" s="201"/>
      <c r="E300" s="14">
        <v>11.93</v>
      </c>
      <c r="F300" s="124"/>
      <c r="G300" s="15">
        <f t="shared" si="149"/>
        <v>1277</v>
      </c>
      <c r="H300" s="5"/>
      <c r="I300" s="31">
        <v>2.0999999999999999E-3</v>
      </c>
      <c r="J300" s="124"/>
      <c r="K300" s="15">
        <f t="shared" si="150"/>
        <v>2.6816999999999998</v>
      </c>
      <c r="L300" s="5"/>
      <c r="M300" s="31">
        <f t="shared" si="151"/>
        <v>0.01</v>
      </c>
      <c r="N300" s="124"/>
      <c r="O300" s="15">
        <f t="shared" si="152"/>
        <v>12.77</v>
      </c>
      <c r="S300" s="166">
        <f t="shared" si="144"/>
        <v>0</v>
      </c>
      <c r="T300" s="167">
        <f t="shared" si="145"/>
        <v>0</v>
      </c>
    </row>
    <row r="301" spans="1:20" s="198" customFormat="1">
      <c r="A301" s="239" t="s">
        <v>165</v>
      </c>
      <c r="B301" s="202"/>
      <c r="C301" s="4">
        <v>9005</v>
      </c>
      <c r="D301" s="201"/>
      <c r="E301" s="14">
        <v>14</v>
      </c>
      <c r="F301" s="124"/>
      <c r="G301" s="15">
        <f t="shared" si="149"/>
        <v>126070</v>
      </c>
      <c r="H301" s="5"/>
      <c r="I301" s="31">
        <v>2.0999999999999999E-3</v>
      </c>
      <c r="J301" s="124"/>
      <c r="K301" s="15">
        <f t="shared" si="150"/>
        <v>264.74699999999996</v>
      </c>
      <c r="L301" s="5"/>
      <c r="M301" s="31">
        <f t="shared" si="151"/>
        <v>0.01</v>
      </c>
      <c r="N301" s="124"/>
      <c r="O301" s="15">
        <f t="shared" si="152"/>
        <v>1260.7</v>
      </c>
      <c r="S301" s="166">
        <f t="shared" si="144"/>
        <v>0</v>
      </c>
      <c r="T301" s="167">
        <f t="shared" si="145"/>
        <v>0</v>
      </c>
    </row>
    <row r="302" spans="1:20" s="198" customFormat="1">
      <c r="A302" s="244" t="s">
        <v>186</v>
      </c>
      <c r="B302" s="201"/>
      <c r="C302" s="4">
        <v>0</v>
      </c>
      <c r="D302" s="201"/>
      <c r="E302" s="124">
        <v>11.89</v>
      </c>
      <c r="F302" s="124"/>
      <c r="G302" s="21">
        <f t="shared" si="149"/>
        <v>0</v>
      </c>
      <c r="H302" s="5"/>
      <c r="I302" s="31">
        <v>2.0999999999999999E-3</v>
      </c>
      <c r="J302" s="124"/>
      <c r="K302" s="21">
        <f t="shared" si="150"/>
        <v>0</v>
      </c>
      <c r="L302" s="5"/>
      <c r="M302" s="31">
        <f t="shared" si="151"/>
        <v>0.01</v>
      </c>
      <c r="N302" s="124"/>
      <c r="O302" s="21">
        <f t="shared" si="152"/>
        <v>0</v>
      </c>
      <c r="S302" s="166">
        <f t="shared" si="144"/>
        <v>0</v>
      </c>
      <c r="T302" s="167">
        <f t="shared" si="145"/>
        <v>0</v>
      </c>
    </row>
    <row r="303" spans="1:20" s="198" customFormat="1">
      <c r="A303" s="239" t="s">
        <v>187</v>
      </c>
      <c r="B303" s="202"/>
      <c r="C303" s="4">
        <v>156</v>
      </c>
      <c r="D303" s="201"/>
      <c r="E303" s="14">
        <v>15.56</v>
      </c>
      <c r="F303" s="124"/>
      <c r="G303" s="15">
        <f t="shared" si="149"/>
        <v>2427</v>
      </c>
      <c r="H303" s="5"/>
      <c r="I303" s="31">
        <v>2.0999999999999999E-3</v>
      </c>
      <c r="J303" s="124"/>
      <c r="K303" s="15">
        <f t="shared" si="150"/>
        <v>5.0966999999999993</v>
      </c>
      <c r="L303" s="5"/>
      <c r="M303" s="31">
        <f t="shared" si="151"/>
        <v>0.01</v>
      </c>
      <c r="N303" s="124"/>
      <c r="O303" s="15">
        <f t="shared" si="152"/>
        <v>24.27</v>
      </c>
      <c r="S303" s="166">
        <f t="shared" si="144"/>
        <v>0</v>
      </c>
      <c r="T303" s="167">
        <f t="shared" si="145"/>
        <v>0</v>
      </c>
    </row>
    <row r="304" spans="1:20" s="198" customFormat="1">
      <c r="A304" s="239" t="s">
        <v>133</v>
      </c>
      <c r="B304" s="202"/>
      <c r="C304" s="16">
        <v>0</v>
      </c>
      <c r="D304" s="201"/>
      <c r="E304" s="124">
        <v>26.38</v>
      </c>
      <c r="F304" s="124"/>
      <c r="G304" s="21">
        <f t="shared" si="149"/>
        <v>0</v>
      </c>
      <c r="H304" s="5"/>
      <c r="I304" s="31">
        <v>2.0999999999999999E-3</v>
      </c>
      <c r="J304" s="124"/>
      <c r="K304" s="21">
        <f t="shared" si="150"/>
        <v>0</v>
      </c>
      <c r="L304" s="5"/>
      <c r="M304" s="31">
        <f t="shared" si="151"/>
        <v>0.01</v>
      </c>
      <c r="N304" s="124"/>
      <c r="O304" s="21">
        <f t="shared" si="152"/>
        <v>0</v>
      </c>
      <c r="S304" s="166">
        <f t="shared" si="144"/>
        <v>0</v>
      </c>
      <c r="T304" s="167">
        <f t="shared" si="145"/>
        <v>0</v>
      </c>
    </row>
    <row r="305" spans="1:20" s="198" customFormat="1">
      <c r="A305" s="240" t="s">
        <v>134</v>
      </c>
      <c r="B305" s="202"/>
      <c r="C305" s="4"/>
      <c r="D305" s="201"/>
      <c r="E305" s="14"/>
      <c r="F305" s="124"/>
      <c r="G305" s="202"/>
      <c r="H305" s="5"/>
      <c r="I305" s="31"/>
      <c r="J305" s="124"/>
      <c r="K305" s="202"/>
      <c r="L305" s="5"/>
      <c r="M305" s="31"/>
      <c r="N305" s="124"/>
      <c r="O305" s="202"/>
      <c r="S305" s="166"/>
      <c r="T305" s="167"/>
    </row>
    <row r="306" spans="1:20" s="198" customFormat="1">
      <c r="A306" s="239" t="s">
        <v>188</v>
      </c>
      <c r="B306" s="202"/>
      <c r="C306" s="4">
        <v>458</v>
      </c>
      <c r="D306" s="201"/>
      <c r="E306" s="14">
        <v>9.19</v>
      </c>
      <c r="F306" s="124"/>
      <c r="G306" s="15">
        <f t="shared" ref="G306:G313" si="153">ROUND(C306*E306,0)</f>
        <v>4209</v>
      </c>
      <c r="H306" s="5"/>
      <c r="I306" s="31">
        <v>2.0999999999999999E-3</v>
      </c>
      <c r="J306" s="124"/>
      <c r="K306" s="15">
        <f t="shared" ref="K306:K313" si="154">$G306*I306</f>
        <v>8.8388999999999989</v>
      </c>
      <c r="L306" s="5"/>
      <c r="M306" s="31">
        <f t="shared" ref="M306:M313" si="155">$R$112</f>
        <v>0.01</v>
      </c>
      <c r="N306" s="124"/>
      <c r="O306" s="15">
        <f t="shared" ref="O306:O313" si="156">$G306*M306</f>
        <v>42.09</v>
      </c>
      <c r="S306" s="166">
        <f t="shared" si="144"/>
        <v>0</v>
      </c>
      <c r="T306" s="167">
        <f t="shared" si="145"/>
        <v>0</v>
      </c>
    </row>
    <row r="307" spans="1:20" s="198" customFormat="1">
      <c r="A307" s="239" t="s">
        <v>167</v>
      </c>
      <c r="B307" s="202"/>
      <c r="C307" s="4">
        <v>943</v>
      </c>
      <c r="D307" s="201"/>
      <c r="E307" s="14">
        <v>13.57</v>
      </c>
      <c r="F307" s="124"/>
      <c r="G307" s="15">
        <f t="shared" si="153"/>
        <v>12797</v>
      </c>
      <c r="H307" s="5"/>
      <c r="I307" s="31">
        <v>2.0999999999999999E-3</v>
      </c>
      <c r="J307" s="124"/>
      <c r="K307" s="15">
        <f t="shared" si="154"/>
        <v>26.873699999999999</v>
      </c>
      <c r="L307" s="5"/>
      <c r="M307" s="31">
        <f t="shared" si="155"/>
        <v>0.01</v>
      </c>
      <c r="N307" s="124"/>
      <c r="O307" s="15">
        <f t="shared" si="156"/>
        <v>127.97</v>
      </c>
      <c r="S307" s="166">
        <f t="shared" si="144"/>
        <v>0</v>
      </c>
      <c r="T307" s="167">
        <f t="shared" si="145"/>
        <v>0</v>
      </c>
    </row>
    <row r="308" spans="1:20" s="198" customFormat="1">
      <c r="A308" s="239" t="s">
        <v>189</v>
      </c>
      <c r="B308" s="202"/>
      <c r="C308" s="4">
        <v>0</v>
      </c>
      <c r="D308" s="201"/>
      <c r="E308" s="14">
        <v>11.54</v>
      </c>
      <c r="F308" s="124"/>
      <c r="G308" s="15">
        <f t="shared" si="153"/>
        <v>0</v>
      </c>
      <c r="H308" s="5"/>
      <c r="I308" s="31">
        <v>2.0999999999999999E-3</v>
      </c>
      <c r="J308" s="124"/>
      <c r="K308" s="15">
        <f t="shared" si="154"/>
        <v>0</v>
      </c>
      <c r="L308" s="5"/>
      <c r="M308" s="31">
        <f t="shared" si="155"/>
        <v>0.01</v>
      </c>
      <c r="N308" s="124"/>
      <c r="O308" s="15">
        <f t="shared" si="156"/>
        <v>0</v>
      </c>
      <c r="S308" s="166">
        <f t="shared" si="144"/>
        <v>0</v>
      </c>
      <c r="T308" s="167">
        <f t="shared" si="145"/>
        <v>0</v>
      </c>
    </row>
    <row r="309" spans="1:20" s="198" customFormat="1">
      <c r="A309" s="239" t="s">
        <v>190</v>
      </c>
      <c r="B309" s="202"/>
      <c r="C309" s="4">
        <v>642</v>
      </c>
      <c r="D309" s="201"/>
      <c r="E309" s="14">
        <v>11.09</v>
      </c>
      <c r="F309" s="124"/>
      <c r="G309" s="15">
        <f t="shared" si="153"/>
        <v>7120</v>
      </c>
      <c r="H309" s="5"/>
      <c r="I309" s="31">
        <v>2.0999999999999999E-3</v>
      </c>
      <c r="J309" s="124"/>
      <c r="K309" s="15">
        <f t="shared" si="154"/>
        <v>14.952</v>
      </c>
      <c r="L309" s="5"/>
      <c r="M309" s="31">
        <f t="shared" si="155"/>
        <v>0.01</v>
      </c>
      <c r="N309" s="124"/>
      <c r="O309" s="15">
        <f t="shared" si="156"/>
        <v>71.2</v>
      </c>
      <c r="S309" s="166">
        <f t="shared" si="144"/>
        <v>0</v>
      </c>
      <c r="T309" s="167">
        <f t="shared" si="145"/>
        <v>0</v>
      </c>
    </row>
    <row r="310" spans="1:20" s="198" customFormat="1">
      <c r="A310" s="239" t="s">
        <v>168</v>
      </c>
      <c r="B310" s="202"/>
      <c r="C310" s="4">
        <v>575</v>
      </c>
      <c r="D310" s="201"/>
      <c r="E310" s="14">
        <v>13.71</v>
      </c>
      <c r="F310" s="124"/>
      <c r="G310" s="15">
        <f t="shared" si="153"/>
        <v>7883</v>
      </c>
      <c r="H310" s="5"/>
      <c r="I310" s="31">
        <v>2.0999999999999999E-3</v>
      </c>
      <c r="J310" s="124"/>
      <c r="K310" s="15">
        <f t="shared" si="154"/>
        <v>16.554299999999998</v>
      </c>
      <c r="L310" s="5"/>
      <c r="M310" s="31">
        <f t="shared" si="155"/>
        <v>0.01</v>
      </c>
      <c r="N310" s="124"/>
      <c r="O310" s="15">
        <f t="shared" si="156"/>
        <v>78.83</v>
      </c>
      <c r="S310" s="166">
        <f t="shared" si="144"/>
        <v>0</v>
      </c>
      <c r="T310" s="167">
        <f t="shared" si="145"/>
        <v>0</v>
      </c>
    </row>
    <row r="311" spans="1:20" s="198" customFormat="1">
      <c r="A311" s="239" t="s">
        <v>191</v>
      </c>
      <c r="B311" s="202"/>
      <c r="C311" s="4">
        <v>4421</v>
      </c>
      <c r="D311" s="201"/>
      <c r="E311" s="14">
        <v>14.13</v>
      </c>
      <c r="F311" s="124"/>
      <c r="G311" s="15">
        <f t="shared" si="153"/>
        <v>62469</v>
      </c>
      <c r="H311" s="5"/>
      <c r="I311" s="31">
        <v>2.0999999999999999E-3</v>
      </c>
      <c r="J311" s="124"/>
      <c r="K311" s="15">
        <f t="shared" si="154"/>
        <v>131.1849</v>
      </c>
      <c r="L311" s="5"/>
      <c r="M311" s="31">
        <f t="shared" si="155"/>
        <v>0.01</v>
      </c>
      <c r="N311" s="124"/>
      <c r="O311" s="15">
        <f t="shared" si="156"/>
        <v>624.69000000000005</v>
      </c>
      <c r="S311" s="166">
        <f t="shared" si="144"/>
        <v>0</v>
      </c>
      <c r="T311" s="167">
        <f t="shared" si="145"/>
        <v>0</v>
      </c>
    </row>
    <row r="312" spans="1:20" s="198" customFormat="1">
      <c r="A312" s="239" t="s">
        <v>169</v>
      </c>
      <c r="B312" s="202"/>
      <c r="C312" s="4">
        <v>397</v>
      </c>
      <c r="D312" s="201"/>
      <c r="E312" s="14">
        <v>14.58</v>
      </c>
      <c r="F312" s="124"/>
      <c r="G312" s="15">
        <f t="shared" si="153"/>
        <v>5788</v>
      </c>
      <c r="H312" s="5"/>
      <c r="I312" s="31">
        <v>2.0999999999999999E-3</v>
      </c>
      <c r="J312" s="124"/>
      <c r="K312" s="15">
        <f t="shared" si="154"/>
        <v>12.1548</v>
      </c>
      <c r="L312" s="5"/>
      <c r="M312" s="31">
        <f t="shared" si="155"/>
        <v>0.01</v>
      </c>
      <c r="N312" s="124"/>
      <c r="O312" s="15">
        <f t="shared" si="156"/>
        <v>57.88</v>
      </c>
      <c r="S312" s="166">
        <f t="shared" si="144"/>
        <v>0</v>
      </c>
      <c r="T312" s="167">
        <f t="shared" si="145"/>
        <v>0</v>
      </c>
    </row>
    <row r="313" spans="1:20" s="198" customFormat="1">
      <c r="A313" s="239" t="s">
        <v>192</v>
      </c>
      <c r="B313" s="202"/>
      <c r="C313" s="16">
        <v>471</v>
      </c>
      <c r="D313" s="201"/>
      <c r="E313" s="124">
        <v>15.79</v>
      </c>
      <c r="F313" s="124"/>
      <c r="G313" s="21">
        <f t="shared" si="153"/>
        <v>7437</v>
      </c>
      <c r="H313" s="5"/>
      <c r="I313" s="31">
        <v>2.0999999999999999E-3</v>
      </c>
      <c r="J313" s="124"/>
      <c r="K313" s="21">
        <f t="shared" si="154"/>
        <v>15.617699999999999</v>
      </c>
      <c r="L313" s="5"/>
      <c r="M313" s="31">
        <f t="shared" si="155"/>
        <v>0.01</v>
      </c>
      <c r="N313" s="124"/>
      <c r="O313" s="21">
        <f t="shared" si="156"/>
        <v>74.37</v>
      </c>
      <c r="S313" s="166">
        <f t="shared" si="144"/>
        <v>0</v>
      </c>
      <c r="T313" s="167">
        <f t="shared" si="145"/>
        <v>0</v>
      </c>
    </row>
    <row r="314" spans="1:20" s="198" customFormat="1">
      <c r="A314" s="240" t="s">
        <v>193</v>
      </c>
      <c r="B314" s="202"/>
      <c r="C314" s="4"/>
      <c r="D314" s="201"/>
      <c r="E314" s="14"/>
      <c r="F314" s="124"/>
      <c r="G314" s="15"/>
      <c r="H314" s="5"/>
      <c r="I314" s="31"/>
      <c r="J314" s="124"/>
      <c r="K314" s="15"/>
      <c r="L314" s="5"/>
      <c r="M314" s="31"/>
      <c r="N314" s="124"/>
      <c r="O314" s="15"/>
      <c r="S314" s="166"/>
      <c r="T314" s="167"/>
    </row>
    <row r="315" spans="1:20" s="198" customFormat="1">
      <c r="A315" s="239" t="s">
        <v>194</v>
      </c>
      <c r="B315" s="202"/>
      <c r="C315" s="4">
        <v>3</v>
      </c>
      <c r="D315" s="201"/>
      <c r="E315" s="14">
        <v>3.75</v>
      </c>
      <c r="F315" s="124"/>
      <c r="G315" s="15">
        <f>ROUND(C315*E315,0)</f>
        <v>11</v>
      </c>
      <c r="H315" s="5"/>
      <c r="I315" s="31">
        <v>2.0999999999999999E-3</v>
      </c>
      <c r="J315" s="124"/>
      <c r="K315" s="15">
        <f t="shared" ref="K315:K316" si="157">$G315*I315</f>
        <v>2.3099999999999999E-2</v>
      </c>
      <c r="L315" s="5"/>
      <c r="M315" s="31">
        <f t="shared" ref="M315:M316" si="158">$R$112</f>
        <v>0.01</v>
      </c>
      <c r="N315" s="124"/>
      <c r="O315" s="15">
        <f t="shared" ref="O315:O316" si="159">$G315*M315</f>
        <v>0.11</v>
      </c>
      <c r="S315" s="166">
        <f t="shared" si="144"/>
        <v>0</v>
      </c>
      <c r="T315" s="167">
        <f t="shared" si="145"/>
        <v>0</v>
      </c>
    </row>
    <row r="316" spans="1:20" s="198" customFormat="1">
      <c r="A316" s="239" t="s">
        <v>195</v>
      </c>
      <c r="B316" s="202"/>
      <c r="C316" s="48">
        <v>68</v>
      </c>
      <c r="D316" s="201"/>
      <c r="E316" s="14">
        <v>13.92</v>
      </c>
      <c r="F316" s="124"/>
      <c r="G316" s="37">
        <f>ROUND(C316*E316,0)</f>
        <v>947</v>
      </c>
      <c r="H316" s="5"/>
      <c r="I316" s="31">
        <v>2.0999999999999999E-3</v>
      </c>
      <c r="J316" s="124"/>
      <c r="K316" s="37">
        <f t="shared" si="157"/>
        <v>1.9886999999999999</v>
      </c>
      <c r="L316" s="5"/>
      <c r="M316" s="31">
        <f t="shared" si="158"/>
        <v>0.01</v>
      </c>
      <c r="N316" s="124"/>
      <c r="O316" s="37">
        <f t="shared" si="159"/>
        <v>9.4700000000000006</v>
      </c>
      <c r="S316" s="166">
        <f t="shared" si="144"/>
        <v>0</v>
      </c>
      <c r="T316" s="167">
        <f t="shared" si="145"/>
        <v>0</v>
      </c>
    </row>
    <row r="317" spans="1:20" s="198" customFormat="1">
      <c r="A317" s="240" t="s">
        <v>171</v>
      </c>
      <c r="B317" s="202"/>
      <c r="C317" s="16">
        <v>4499863</v>
      </c>
      <c r="D317" s="201"/>
      <c r="E317" s="148"/>
      <c r="F317" s="124"/>
      <c r="G317" s="21">
        <f>SUM(G280:G316)</f>
        <v>561767</v>
      </c>
      <c r="H317" s="5"/>
      <c r="I317" s="149"/>
      <c r="J317" s="124"/>
      <c r="K317" s="21">
        <f>SUM(K280:K316)</f>
        <v>1179.7107000000001</v>
      </c>
      <c r="L317" s="5"/>
      <c r="M317" s="149"/>
      <c r="N317" s="124"/>
      <c r="O317" s="21">
        <f>SUM(O280:O316)</f>
        <v>5617.67</v>
      </c>
    </row>
    <row r="318" spans="1:20" s="198" customFormat="1">
      <c r="A318" s="240" t="s">
        <v>87</v>
      </c>
      <c r="B318" s="202"/>
      <c r="C318" s="16"/>
      <c r="D318" s="201"/>
      <c r="E318" s="148"/>
      <c r="F318" s="124"/>
      <c r="G318" s="21"/>
      <c r="H318" s="5"/>
      <c r="I318" s="149"/>
      <c r="J318" s="124"/>
      <c r="K318" s="21"/>
      <c r="L318" s="5"/>
      <c r="M318" s="149"/>
      <c r="N318" s="124"/>
      <c r="O318" s="21"/>
    </row>
    <row r="319" spans="1:20" s="198" customFormat="1">
      <c r="A319" s="240" t="s">
        <v>157</v>
      </c>
      <c r="B319" s="202"/>
      <c r="C319" s="48">
        <v>4499863</v>
      </c>
      <c r="D319" s="201"/>
      <c r="E319" s="148"/>
      <c r="F319" s="124"/>
      <c r="G319" s="37">
        <f>SUM(G317:G318)</f>
        <v>561767</v>
      </c>
      <c r="H319" s="5"/>
      <c r="I319" s="149"/>
      <c r="J319" s="124"/>
      <c r="K319" s="37">
        <f>SUM(K317:K318)</f>
        <v>1179.7107000000001</v>
      </c>
      <c r="L319" s="5"/>
      <c r="M319" s="149"/>
      <c r="N319" s="124"/>
      <c r="O319" s="37">
        <f>SUM(O317:O318)</f>
        <v>5617.67</v>
      </c>
    </row>
    <row r="320" spans="1:20" s="198" customFormat="1">
      <c r="A320" s="240" t="s">
        <v>358</v>
      </c>
      <c r="B320" s="202"/>
      <c r="C320" s="16">
        <v>234.58333333333334</v>
      </c>
      <c r="D320" s="201"/>
      <c r="E320" s="148"/>
      <c r="F320" s="124"/>
      <c r="G320" s="21"/>
      <c r="H320" s="5"/>
      <c r="I320" s="31"/>
      <c r="J320" s="124"/>
      <c r="K320" s="21"/>
      <c r="L320" s="5"/>
      <c r="M320" s="31"/>
      <c r="N320" s="124"/>
      <c r="O320" s="21"/>
    </row>
    <row r="321" spans="1:20" s="198" customFormat="1">
      <c r="A321" s="150" t="s">
        <v>196</v>
      </c>
      <c r="B321" s="202"/>
      <c r="C321" s="4"/>
      <c r="D321" s="201"/>
      <c r="E321" s="14"/>
      <c r="F321" s="124"/>
      <c r="G321" s="202"/>
      <c r="H321" s="5"/>
      <c r="I321" s="245"/>
      <c r="J321" s="245"/>
      <c r="K321" s="202"/>
      <c r="L321" s="5"/>
      <c r="M321" s="245"/>
      <c r="N321" s="245"/>
      <c r="O321" s="202"/>
    </row>
    <row r="322" spans="1:20" s="198" customFormat="1">
      <c r="A322" s="240" t="s">
        <v>173</v>
      </c>
      <c r="B322" s="202"/>
      <c r="C322" s="4"/>
      <c r="D322" s="201"/>
      <c r="E322" s="14"/>
      <c r="F322" s="124"/>
      <c r="G322" s="15"/>
      <c r="H322" s="5"/>
      <c r="I322" s="245"/>
      <c r="J322" s="245"/>
      <c r="K322" s="15"/>
      <c r="L322" s="5"/>
      <c r="M322" s="245"/>
      <c r="N322" s="245"/>
      <c r="O322" s="15"/>
    </row>
    <row r="323" spans="1:20" s="198" customFormat="1">
      <c r="A323" s="239" t="s">
        <v>152</v>
      </c>
      <c r="B323" s="202"/>
      <c r="C323" s="4">
        <v>32</v>
      </c>
      <c r="D323" s="201"/>
      <c r="E323" s="14">
        <v>17.73</v>
      </c>
      <c r="F323" s="124"/>
      <c r="G323" s="15">
        <f>ROUND(C323*E323,0)</f>
        <v>567</v>
      </c>
      <c r="H323" s="5"/>
      <c r="I323" s="31">
        <v>2.0999999999999999E-3</v>
      </c>
      <c r="J323" s="124"/>
      <c r="K323" s="15">
        <f t="shared" ref="K323:K324" si="160">$G323*I323</f>
        <v>1.1906999999999999</v>
      </c>
      <c r="L323" s="5"/>
      <c r="M323" s="31">
        <f t="shared" ref="M323:M324" si="161">$R$112</f>
        <v>0.01</v>
      </c>
      <c r="N323" s="124"/>
      <c r="O323" s="15">
        <f t="shared" ref="O323:O324" si="162">$G323*M323</f>
        <v>5.67</v>
      </c>
      <c r="S323" s="166">
        <f t="shared" ref="S323:S343" si="163">G323*I323-K323</f>
        <v>0</v>
      </c>
      <c r="T323" s="167">
        <f t="shared" ref="T323:T343" si="164">G323*M323-O323</f>
        <v>0</v>
      </c>
    </row>
    <row r="324" spans="1:20" s="198" customFormat="1">
      <c r="A324" s="239" t="s">
        <v>147</v>
      </c>
      <c r="B324" s="202"/>
      <c r="C324" s="4">
        <v>11</v>
      </c>
      <c r="D324" s="201"/>
      <c r="E324" s="14">
        <v>23.4</v>
      </c>
      <c r="F324" s="124"/>
      <c r="G324" s="15">
        <f>ROUND(C324*E324,0)</f>
        <v>257</v>
      </c>
      <c r="H324" s="5"/>
      <c r="I324" s="31">
        <v>2.0999999999999999E-3</v>
      </c>
      <c r="J324" s="124"/>
      <c r="K324" s="15">
        <f t="shared" si="160"/>
        <v>0.53969999999999996</v>
      </c>
      <c r="L324" s="5"/>
      <c r="M324" s="31">
        <f t="shared" si="161"/>
        <v>0.01</v>
      </c>
      <c r="N324" s="124"/>
      <c r="O324" s="15">
        <f t="shared" si="162"/>
        <v>2.57</v>
      </c>
      <c r="S324" s="166">
        <f t="shared" si="163"/>
        <v>0</v>
      </c>
      <c r="T324" s="167">
        <f t="shared" si="164"/>
        <v>0</v>
      </c>
    </row>
    <row r="325" spans="1:20" s="198" customFormat="1">
      <c r="A325" s="240" t="s">
        <v>176</v>
      </c>
      <c r="B325" s="202"/>
      <c r="C325" s="4"/>
      <c r="D325" s="201"/>
      <c r="E325" s="202"/>
      <c r="F325" s="201"/>
      <c r="G325" s="202"/>
      <c r="H325" s="5"/>
      <c r="I325" s="115"/>
      <c r="J325" s="5"/>
      <c r="K325" s="202"/>
      <c r="L325" s="5"/>
      <c r="M325" s="115"/>
      <c r="N325" s="5"/>
      <c r="O325" s="202"/>
      <c r="S325" s="166"/>
      <c r="T325" s="167"/>
    </row>
    <row r="326" spans="1:20" s="198" customFormat="1">
      <c r="A326" s="239" t="s">
        <v>60</v>
      </c>
      <c r="B326" s="202"/>
      <c r="C326" s="4">
        <v>42</v>
      </c>
      <c r="D326" s="201"/>
      <c r="E326" s="14">
        <v>8.0299999999999994</v>
      </c>
      <c r="F326" s="124"/>
      <c r="G326" s="15">
        <f>ROUND(C326*E326,0)</f>
        <v>337</v>
      </c>
      <c r="H326" s="5"/>
      <c r="I326" s="31">
        <v>2.0999999999999999E-3</v>
      </c>
      <c r="J326" s="124"/>
      <c r="K326" s="15">
        <f t="shared" ref="K326:K328" si="165">$G326*I326</f>
        <v>0.7077</v>
      </c>
      <c r="L326" s="5"/>
      <c r="M326" s="31">
        <f t="shared" ref="M326:M328" si="166">$R$112</f>
        <v>0.01</v>
      </c>
      <c r="N326" s="124"/>
      <c r="O326" s="15">
        <f t="shared" ref="O326:O328" si="167">$G326*M326</f>
        <v>3.37</v>
      </c>
      <c r="S326" s="166">
        <f t="shared" si="163"/>
        <v>0</v>
      </c>
      <c r="T326" s="167">
        <f t="shared" si="164"/>
        <v>0</v>
      </c>
    </row>
    <row r="327" spans="1:20" s="198" customFormat="1">
      <c r="A327" s="239" t="s">
        <v>62</v>
      </c>
      <c r="B327" s="202"/>
      <c r="C327" s="4">
        <v>0</v>
      </c>
      <c r="D327" s="201"/>
      <c r="E327" s="14">
        <v>15.3</v>
      </c>
      <c r="F327" s="124"/>
      <c r="G327" s="15">
        <f>ROUND(C327*E327,0)</f>
        <v>0</v>
      </c>
      <c r="H327" s="5"/>
      <c r="I327" s="31">
        <v>2.0999999999999999E-3</v>
      </c>
      <c r="J327" s="124"/>
      <c r="K327" s="15">
        <f t="shared" si="165"/>
        <v>0</v>
      </c>
      <c r="L327" s="5"/>
      <c r="M327" s="31">
        <f t="shared" si="166"/>
        <v>0.01</v>
      </c>
      <c r="N327" s="124"/>
      <c r="O327" s="15">
        <f t="shared" si="167"/>
        <v>0</v>
      </c>
      <c r="S327" s="166">
        <f t="shared" si="163"/>
        <v>0</v>
      </c>
      <c r="T327" s="167">
        <f t="shared" si="164"/>
        <v>0</v>
      </c>
    </row>
    <row r="328" spans="1:20" s="198" customFormat="1">
      <c r="A328" s="239" t="s">
        <v>177</v>
      </c>
      <c r="B328" s="202"/>
      <c r="C328" s="4">
        <v>85</v>
      </c>
      <c r="D328" s="201"/>
      <c r="E328" s="124">
        <v>32.479999999999997</v>
      </c>
      <c r="F328" s="124"/>
      <c r="G328" s="21">
        <f>ROUND(C328*E328,0)</f>
        <v>2761</v>
      </c>
      <c r="H328" s="5"/>
      <c r="I328" s="31">
        <v>2.0999999999999999E-3</v>
      </c>
      <c r="J328" s="124"/>
      <c r="K328" s="21">
        <f t="shared" si="165"/>
        <v>5.7980999999999998</v>
      </c>
      <c r="L328" s="5"/>
      <c r="M328" s="31">
        <f t="shared" si="166"/>
        <v>0.01</v>
      </c>
      <c r="N328" s="124"/>
      <c r="O328" s="21">
        <f t="shared" si="167"/>
        <v>27.61</v>
      </c>
      <c r="S328" s="166">
        <f t="shared" si="163"/>
        <v>0</v>
      </c>
      <c r="T328" s="167">
        <f t="shared" si="164"/>
        <v>0</v>
      </c>
    </row>
    <row r="329" spans="1:20" s="198" customFormat="1" ht="14.25" customHeight="1">
      <c r="A329" s="240" t="s">
        <v>118</v>
      </c>
      <c r="B329" s="202"/>
      <c r="C329" s="4"/>
      <c r="D329" s="201"/>
      <c r="E329" s="129"/>
      <c r="F329" s="20"/>
      <c r="G329" s="15"/>
      <c r="H329" s="5"/>
      <c r="I329" s="130"/>
      <c r="J329" s="20"/>
      <c r="K329" s="15"/>
      <c r="L329" s="5"/>
      <c r="M329" s="130"/>
      <c r="N329" s="20"/>
      <c r="O329" s="15"/>
      <c r="S329" s="166"/>
      <c r="T329" s="167"/>
    </row>
    <row r="330" spans="1:20" s="198" customFormat="1">
      <c r="A330" s="239" t="s">
        <v>161</v>
      </c>
      <c r="B330" s="202"/>
      <c r="C330" s="4">
        <v>5268</v>
      </c>
      <c r="D330" s="201"/>
      <c r="E330" s="14">
        <v>4.68</v>
      </c>
      <c r="F330" s="124"/>
      <c r="G330" s="15">
        <f t="shared" ref="G330:G338" si="168">ROUND(C330*E330,0)</f>
        <v>24654</v>
      </c>
      <c r="H330" s="5"/>
      <c r="I330" s="31">
        <v>2.0999999999999999E-3</v>
      </c>
      <c r="J330" s="124"/>
      <c r="K330" s="15">
        <f t="shared" ref="K330:K338" si="169">$G330*I330</f>
        <v>51.773399999999995</v>
      </c>
      <c r="L330" s="5"/>
      <c r="M330" s="31">
        <f t="shared" ref="M330:M338" si="170">$R$112</f>
        <v>0.01</v>
      </c>
      <c r="N330" s="124"/>
      <c r="O330" s="15">
        <f t="shared" ref="O330:O338" si="171">$G330*M330</f>
        <v>246.54</v>
      </c>
      <c r="S330" s="166">
        <f t="shared" si="163"/>
        <v>0</v>
      </c>
      <c r="T330" s="167">
        <f t="shared" si="164"/>
        <v>0</v>
      </c>
    </row>
    <row r="331" spans="1:20" s="198" customFormat="1">
      <c r="A331" s="239" t="s">
        <v>162</v>
      </c>
      <c r="B331" s="202"/>
      <c r="C331" s="4">
        <v>16472</v>
      </c>
      <c r="D331" s="201"/>
      <c r="E331" s="14">
        <v>6.16</v>
      </c>
      <c r="F331" s="124"/>
      <c r="G331" s="15">
        <f t="shared" si="168"/>
        <v>101468</v>
      </c>
      <c r="H331" s="5"/>
      <c r="I331" s="31">
        <v>2.0999999999999999E-3</v>
      </c>
      <c r="J331" s="124"/>
      <c r="K331" s="15">
        <f t="shared" si="169"/>
        <v>213.08279999999999</v>
      </c>
      <c r="L331" s="5"/>
      <c r="M331" s="31">
        <f t="shared" si="170"/>
        <v>0.01</v>
      </c>
      <c r="N331" s="124"/>
      <c r="O331" s="15">
        <f t="shared" si="171"/>
        <v>1014.6800000000001</v>
      </c>
      <c r="S331" s="166">
        <f t="shared" si="163"/>
        <v>0</v>
      </c>
      <c r="T331" s="167">
        <f t="shared" si="164"/>
        <v>0</v>
      </c>
    </row>
    <row r="332" spans="1:20" s="198" customFormat="1">
      <c r="A332" s="239" t="s">
        <v>197</v>
      </c>
      <c r="B332" s="202"/>
      <c r="C332" s="4">
        <v>0</v>
      </c>
      <c r="D332" s="201"/>
      <c r="E332" s="14">
        <v>5.55</v>
      </c>
      <c r="F332" s="124"/>
      <c r="G332" s="15">
        <f t="shared" si="168"/>
        <v>0</v>
      </c>
      <c r="H332" s="5"/>
      <c r="I332" s="31">
        <v>2.0999999999999999E-3</v>
      </c>
      <c r="J332" s="124"/>
      <c r="K332" s="15">
        <f t="shared" si="169"/>
        <v>0</v>
      </c>
      <c r="L332" s="5"/>
      <c r="M332" s="31">
        <f t="shared" si="170"/>
        <v>0.01</v>
      </c>
      <c r="N332" s="124"/>
      <c r="O332" s="15">
        <f t="shared" si="171"/>
        <v>0</v>
      </c>
      <c r="S332" s="166">
        <f t="shared" si="163"/>
        <v>0</v>
      </c>
      <c r="T332" s="167">
        <f t="shared" si="164"/>
        <v>0</v>
      </c>
    </row>
    <row r="333" spans="1:20" s="198" customFormat="1">
      <c r="A333" s="239" t="s">
        <v>163</v>
      </c>
      <c r="B333" s="202"/>
      <c r="C333" s="4">
        <v>5387</v>
      </c>
      <c r="D333" s="201"/>
      <c r="E333" s="14">
        <v>7.47</v>
      </c>
      <c r="F333" s="124"/>
      <c r="G333" s="15">
        <f t="shared" si="168"/>
        <v>40241</v>
      </c>
      <c r="H333" s="5"/>
      <c r="I333" s="31">
        <v>2.0999999999999999E-3</v>
      </c>
      <c r="J333" s="124"/>
      <c r="K333" s="15">
        <f t="shared" si="169"/>
        <v>84.506099999999989</v>
      </c>
      <c r="L333" s="5"/>
      <c r="M333" s="31">
        <f t="shared" si="170"/>
        <v>0.01</v>
      </c>
      <c r="N333" s="124"/>
      <c r="O333" s="15">
        <f t="shared" si="171"/>
        <v>402.41</v>
      </c>
      <c r="S333" s="166">
        <f t="shared" si="163"/>
        <v>0</v>
      </c>
      <c r="T333" s="167">
        <f t="shared" si="164"/>
        <v>0</v>
      </c>
    </row>
    <row r="334" spans="1:20" s="198" customFormat="1">
      <c r="A334" s="239" t="s">
        <v>198</v>
      </c>
      <c r="B334" s="202"/>
      <c r="C334" s="4">
        <v>0</v>
      </c>
      <c r="D334" s="201"/>
      <c r="E334" s="14">
        <v>6.72</v>
      </c>
      <c r="F334" s="124"/>
      <c r="G334" s="15">
        <f t="shared" si="168"/>
        <v>0</v>
      </c>
      <c r="H334" s="5"/>
      <c r="I334" s="31">
        <v>2.0999999999999999E-3</v>
      </c>
      <c r="J334" s="124"/>
      <c r="K334" s="15">
        <f t="shared" si="169"/>
        <v>0</v>
      </c>
      <c r="L334" s="5"/>
      <c r="M334" s="31">
        <f t="shared" si="170"/>
        <v>0.01</v>
      </c>
      <c r="N334" s="124"/>
      <c r="O334" s="15">
        <f t="shared" si="171"/>
        <v>0</v>
      </c>
      <c r="S334" s="166">
        <f t="shared" si="163"/>
        <v>0</v>
      </c>
      <c r="T334" s="167">
        <f t="shared" si="164"/>
        <v>0</v>
      </c>
    </row>
    <row r="335" spans="1:20" s="198" customFormat="1">
      <c r="A335" s="239" t="s">
        <v>70</v>
      </c>
      <c r="B335" s="202"/>
      <c r="C335" s="4">
        <v>0</v>
      </c>
      <c r="D335" s="201"/>
      <c r="E335" s="14">
        <v>9.44</v>
      </c>
      <c r="F335" s="124"/>
      <c r="G335" s="15">
        <f t="shared" si="168"/>
        <v>0</v>
      </c>
      <c r="H335" s="5"/>
      <c r="I335" s="31">
        <v>2.0999999999999999E-3</v>
      </c>
      <c r="J335" s="124"/>
      <c r="K335" s="15">
        <f t="shared" si="169"/>
        <v>0</v>
      </c>
      <c r="L335" s="5"/>
      <c r="M335" s="31">
        <f t="shared" si="170"/>
        <v>0.01</v>
      </c>
      <c r="N335" s="124"/>
      <c r="O335" s="15">
        <f t="shared" si="171"/>
        <v>0</v>
      </c>
      <c r="S335" s="166">
        <f t="shared" si="163"/>
        <v>0</v>
      </c>
      <c r="T335" s="167">
        <f t="shared" si="164"/>
        <v>0</v>
      </c>
    </row>
    <row r="336" spans="1:20" s="198" customFormat="1">
      <c r="A336" s="239" t="s">
        <v>164</v>
      </c>
      <c r="B336" s="202"/>
      <c r="C336" s="4">
        <v>3409</v>
      </c>
      <c r="D336" s="201"/>
      <c r="E336" s="14">
        <v>10.99</v>
      </c>
      <c r="F336" s="124"/>
      <c r="G336" s="15">
        <f t="shared" si="168"/>
        <v>37465</v>
      </c>
      <c r="H336" s="5"/>
      <c r="I336" s="31">
        <v>2.0999999999999999E-3</v>
      </c>
      <c r="J336" s="124"/>
      <c r="K336" s="15">
        <f t="shared" si="169"/>
        <v>78.67649999999999</v>
      </c>
      <c r="L336" s="5"/>
      <c r="M336" s="31">
        <f t="shared" si="170"/>
        <v>0.01</v>
      </c>
      <c r="N336" s="124"/>
      <c r="O336" s="15">
        <f t="shared" si="171"/>
        <v>374.65000000000003</v>
      </c>
      <c r="S336" s="166">
        <f t="shared" si="163"/>
        <v>0</v>
      </c>
      <c r="T336" s="167">
        <f t="shared" si="164"/>
        <v>0</v>
      </c>
    </row>
    <row r="337" spans="1:20" s="198" customFormat="1">
      <c r="A337" s="239" t="s">
        <v>165</v>
      </c>
      <c r="B337" s="202"/>
      <c r="C337" s="4">
        <v>2395</v>
      </c>
      <c r="D337" s="201"/>
      <c r="E337" s="14">
        <v>16.02</v>
      </c>
      <c r="F337" s="124"/>
      <c r="G337" s="15">
        <f t="shared" si="168"/>
        <v>38368</v>
      </c>
      <c r="H337" s="5"/>
      <c r="I337" s="31">
        <v>2.0999999999999999E-3</v>
      </c>
      <c r="J337" s="124"/>
      <c r="K337" s="15">
        <f t="shared" si="169"/>
        <v>80.572800000000001</v>
      </c>
      <c r="L337" s="5"/>
      <c r="M337" s="31">
        <f t="shared" si="170"/>
        <v>0.01</v>
      </c>
      <c r="N337" s="124"/>
      <c r="O337" s="15">
        <f t="shared" si="171"/>
        <v>383.68</v>
      </c>
      <c r="S337" s="166">
        <f t="shared" si="163"/>
        <v>0</v>
      </c>
      <c r="T337" s="167">
        <f t="shared" si="164"/>
        <v>0</v>
      </c>
    </row>
    <row r="338" spans="1:20" s="198" customFormat="1">
      <c r="A338" s="239" t="s">
        <v>199</v>
      </c>
      <c r="B338" s="202"/>
      <c r="C338" s="4">
        <v>0</v>
      </c>
      <c r="D338" s="201"/>
      <c r="E338" s="124">
        <v>14.42</v>
      </c>
      <c r="F338" s="20"/>
      <c r="G338" s="21">
        <f t="shared" si="168"/>
        <v>0</v>
      </c>
      <c r="H338" s="5"/>
      <c r="I338" s="31">
        <v>2.0999999999999999E-3</v>
      </c>
      <c r="J338" s="124"/>
      <c r="K338" s="21">
        <f t="shared" si="169"/>
        <v>0</v>
      </c>
      <c r="L338" s="5"/>
      <c r="M338" s="31">
        <f t="shared" si="170"/>
        <v>0.01</v>
      </c>
      <c r="N338" s="124"/>
      <c r="O338" s="21">
        <f t="shared" si="171"/>
        <v>0</v>
      </c>
      <c r="S338" s="166">
        <f t="shared" si="163"/>
        <v>0</v>
      </c>
      <c r="T338" s="167">
        <f t="shared" si="164"/>
        <v>0</v>
      </c>
    </row>
    <row r="339" spans="1:20" s="198" customFormat="1">
      <c r="A339" s="240" t="s">
        <v>134</v>
      </c>
      <c r="B339" s="202"/>
      <c r="C339" s="4"/>
      <c r="D339" s="201"/>
      <c r="E339" s="202"/>
      <c r="F339" s="201"/>
      <c r="G339" s="202"/>
      <c r="H339" s="5"/>
      <c r="I339" s="115"/>
      <c r="J339" s="5"/>
      <c r="K339" s="202"/>
      <c r="L339" s="5"/>
      <c r="M339" s="115"/>
      <c r="N339" s="5"/>
      <c r="O339" s="202"/>
      <c r="S339" s="166"/>
      <c r="T339" s="167"/>
    </row>
    <row r="340" spans="1:20" s="198" customFormat="1">
      <c r="A340" s="239" t="s">
        <v>167</v>
      </c>
      <c r="B340" s="202"/>
      <c r="C340" s="4">
        <v>1064</v>
      </c>
      <c r="D340" s="201"/>
      <c r="E340" s="14">
        <v>15.58</v>
      </c>
      <c r="F340" s="124"/>
      <c r="G340" s="15">
        <f>ROUND(C340*E340,0)</f>
        <v>16577</v>
      </c>
      <c r="H340" s="5"/>
      <c r="I340" s="31">
        <v>2.0999999999999999E-3</v>
      </c>
      <c r="J340" s="124"/>
      <c r="K340" s="15">
        <f t="shared" ref="K340:K343" si="172">$G340*I340</f>
        <v>34.811699999999995</v>
      </c>
      <c r="L340" s="5"/>
      <c r="M340" s="31">
        <f t="shared" ref="M340:M343" si="173">$R$112</f>
        <v>0.01</v>
      </c>
      <c r="N340" s="124"/>
      <c r="O340" s="15">
        <f t="shared" ref="O340:O343" si="174">$G340*M340</f>
        <v>165.77</v>
      </c>
      <c r="S340" s="166">
        <f t="shared" si="163"/>
        <v>0</v>
      </c>
      <c r="T340" s="167">
        <f t="shared" si="164"/>
        <v>0</v>
      </c>
    </row>
    <row r="341" spans="1:20" s="198" customFormat="1">
      <c r="A341" s="239" t="s">
        <v>168</v>
      </c>
      <c r="B341" s="202"/>
      <c r="C341" s="4">
        <v>628</v>
      </c>
      <c r="D341" s="201"/>
      <c r="E341" s="14">
        <v>15.73</v>
      </c>
      <c r="F341" s="124"/>
      <c r="G341" s="15">
        <f>ROUND(C341*E341,0)</f>
        <v>9878</v>
      </c>
      <c r="H341" s="5"/>
      <c r="I341" s="31">
        <v>2.0999999999999999E-3</v>
      </c>
      <c r="J341" s="124"/>
      <c r="K341" s="15">
        <f t="shared" si="172"/>
        <v>20.7438</v>
      </c>
      <c r="L341" s="5"/>
      <c r="M341" s="31">
        <f t="shared" si="173"/>
        <v>0.01</v>
      </c>
      <c r="N341" s="124"/>
      <c r="O341" s="15">
        <f t="shared" si="174"/>
        <v>98.78</v>
      </c>
      <c r="S341" s="166">
        <f t="shared" si="163"/>
        <v>0</v>
      </c>
      <c r="T341" s="167">
        <f t="shared" si="164"/>
        <v>0</v>
      </c>
    </row>
    <row r="342" spans="1:20" s="198" customFormat="1">
      <c r="A342" s="239" t="s">
        <v>169</v>
      </c>
      <c r="B342" s="202"/>
      <c r="C342" s="4">
        <v>853</v>
      </c>
      <c r="D342" s="201"/>
      <c r="E342" s="14">
        <v>16.72</v>
      </c>
      <c r="F342" s="124"/>
      <c r="G342" s="15">
        <f>ROUND(C342*E342,0)</f>
        <v>14262</v>
      </c>
      <c r="H342" s="5"/>
      <c r="I342" s="31">
        <v>2.0999999999999999E-3</v>
      </c>
      <c r="J342" s="124"/>
      <c r="K342" s="15">
        <f t="shared" si="172"/>
        <v>29.950199999999999</v>
      </c>
      <c r="L342" s="5"/>
      <c r="M342" s="31">
        <f t="shared" si="173"/>
        <v>0.01</v>
      </c>
      <c r="N342" s="124"/>
      <c r="O342" s="15">
        <f t="shared" si="174"/>
        <v>142.62</v>
      </c>
      <c r="S342" s="166">
        <f t="shared" si="163"/>
        <v>0</v>
      </c>
      <c r="T342" s="167">
        <f t="shared" si="164"/>
        <v>0</v>
      </c>
    </row>
    <row r="343" spans="1:20" s="198" customFormat="1">
      <c r="A343" s="239" t="s">
        <v>200</v>
      </c>
      <c r="B343" s="202"/>
      <c r="C343" s="48">
        <v>85</v>
      </c>
      <c r="D343" s="201"/>
      <c r="E343" s="124">
        <v>33.049999999999997</v>
      </c>
      <c r="F343" s="124"/>
      <c r="G343" s="24">
        <f>ROUND(C343*E343,0)</f>
        <v>2809</v>
      </c>
      <c r="H343" s="5"/>
      <c r="I343" s="31">
        <v>2.0999999999999999E-3</v>
      </c>
      <c r="J343" s="124"/>
      <c r="K343" s="24">
        <f t="shared" si="172"/>
        <v>5.8988999999999994</v>
      </c>
      <c r="L343" s="5"/>
      <c r="M343" s="31">
        <f t="shared" si="173"/>
        <v>0.01</v>
      </c>
      <c r="N343" s="124"/>
      <c r="O343" s="24">
        <f t="shared" si="174"/>
        <v>28.09</v>
      </c>
      <c r="S343" s="166">
        <f t="shared" si="163"/>
        <v>0</v>
      </c>
      <c r="T343" s="167">
        <f t="shared" si="164"/>
        <v>0</v>
      </c>
    </row>
    <row r="344" spans="1:20" s="198" customFormat="1">
      <c r="A344" s="240" t="s">
        <v>171</v>
      </c>
      <c r="B344" s="202"/>
      <c r="C344" s="16">
        <v>2114324</v>
      </c>
      <c r="D344" s="201"/>
      <c r="E344" s="148"/>
      <c r="F344" s="124"/>
      <c r="G344" s="21">
        <f>SUM(G323:G343)</f>
        <v>289644</v>
      </c>
      <c r="H344" s="5"/>
      <c r="I344" s="149"/>
      <c r="J344" s="124"/>
      <c r="K344" s="21">
        <f>SUM(K323:K343)</f>
        <v>608.25239999999997</v>
      </c>
      <c r="L344" s="5"/>
      <c r="M344" s="149"/>
      <c r="N344" s="124"/>
      <c r="O344" s="21">
        <f>SUM(O323:O343)</f>
        <v>2896.44</v>
      </c>
    </row>
    <row r="345" spans="1:20" s="198" customFormat="1">
      <c r="A345" s="240" t="s">
        <v>87</v>
      </c>
      <c r="B345" s="202"/>
      <c r="C345" s="16"/>
      <c r="D345" s="201"/>
      <c r="E345" s="148"/>
      <c r="F345" s="124"/>
      <c r="G345" s="21"/>
      <c r="H345" s="5"/>
      <c r="I345" s="149"/>
      <c r="J345" s="124"/>
      <c r="K345" s="21"/>
      <c r="L345" s="5"/>
      <c r="M345" s="149"/>
      <c r="N345" s="124"/>
      <c r="O345" s="21"/>
    </row>
    <row r="346" spans="1:20" s="198" customFormat="1">
      <c r="A346" s="240" t="s">
        <v>157</v>
      </c>
      <c r="B346" s="202"/>
      <c r="C346" s="48">
        <v>2114324</v>
      </c>
      <c r="D346" s="201"/>
      <c r="E346" s="148"/>
      <c r="F346" s="124"/>
      <c r="G346" s="37">
        <f>SUM(G344:G345)</f>
        <v>289644</v>
      </c>
      <c r="H346" s="5"/>
      <c r="I346" s="149"/>
      <c r="J346" s="124"/>
      <c r="K346" s="37">
        <f>SUM(K344:K345)</f>
        <v>608.25239999999997</v>
      </c>
      <c r="L346" s="5"/>
      <c r="M346" s="149"/>
      <c r="N346" s="124"/>
      <c r="O346" s="37">
        <f>SUM(O344:O345)</f>
        <v>2896.44</v>
      </c>
    </row>
    <row r="347" spans="1:20" s="198" customFormat="1">
      <c r="A347" s="240" t="s">
        <v>358</v>
      </c>
      <c r="B347" s="202"/>
      <c r="C347" s="16">
        <v>102.33333333333333</v>
      </c>
      <c r="D347" s="201"/>
      <c r="E347" s="148"/>
      <c r="F347" s="124"/>
      <c r="G347" s="21"/>
      <c r="H347" s="5"/>
      <c r="I347" s="247"/>
      <c r="J347" s="245"/>
      <c r="K347" s="21"/>
      <c r="L347" s="5"/>
      <c r="M347" s="247"/>
      <c r="N347" s="245"/>
      <c r="O347" s="21"/>
    </row>
    <row r="348" spans="1:20" s="198" customFormat="1">
      <c r="A348" s="239"/>
      <c r="B348" s="202"/>
      <c r="C348" s="23"/>
      <c r="D348" s="201"/>
      <c r="E348" s="124"/>
      <c r="F348" s="124"/>
      <c r="G348" s="24"/>
      <c r="H348" s="5"/>
      <c r="I348" s="135"/>
      <c r="J348" s="124"/>
      <c r="K348" s="24"/>
      <c r="L348" s="5"/>
      <c r="M348" s="135"/>
      <c r="N348" s="124"/>
      <c r="O348" s="24"/>
    </row>
    <row r="349" spans="1:20" s="198" customFormat="1">
      <c r="A349" s="239" t="s">
        <v>201</v>
      </c>
      <c r="B349" s="202"/>
      <c r="C349" s="45">
        <v>55429429</v>
      </c>
      <c r="D349" s="201"/>
      <c r="E349" s="201"/>
      <c r="F349" s="201"/>
      <c r="G349" s="24">
        <f>G274+G317+G344</f>
        <v>4058813</v>
      </c>
      <c r="H349" s="5"/>
      <c r="I349" s="151"/>
      <c r="J349" s="5"/>
      <c r="K349" s="24">
        <f>K274+K317+K344</f>
        <v>8523.5072999999993</v>
      </c>
      <c r="L349" s="5"/>
      <c r="M349" s="151"/>
      <c r="N349" s="5"/>
      <c r="O349" s="24">
        <f>O274+O317+O344</f>
        <v>40588.130000000005</v>
      </c>
    </row>
    <row r="350" spans="1:20" s="198" customFormat="1">
      <c r="A350" s="239" t="s">
        <v>88</v>
      </c>
      <c r="B350" s="202"/>
      <c r="C350" s="13">
        <v>781.66666666666674</v>
      </c>
      <c r="D350" s="201"/>
      <c r="E350" s="201"/>
      <c r="F350" s="201"/>
      <c r="G350" s="202"/>
      <c r="H350" s="5"/>
      <c r="I350" s="151"/>
      <c r="J350" s="5"/>
      <c r="K350" s="202"/>
      <c r="L350" s="5"/>
      <c r="M350" s="151"/>
      <c r="N350" s="5"/>
      <c r="O350" s="202"/>
    </row>
    <row r="351" spans="1:20" s="198" customFormat="1">
      <c r="A351" s="239" t="s">
        <v>87</v>
      </c>
      <c r="B351" s="202"/>
      <c r="C351" s="45"/>
      <c r="D351" s="201"/>
      <c r="E351" s="201"/>
      <c r="F351" s="201"/>
      <c r="G351" s="24">
        <v>0</v>
      </c>
      <c r="H351" s="5"/>
      <c r="I351" s="151"/>
      <c r="J351" s="5"/>
      <c r="K351" s="24"/>
      <c r="L351" s="5"/>
      <c r="M351" s="151"/>
      <c r="N351" s="5"/>
      <c r="O351" s="24"/>
    </row>
    <row r="352" spans="1:20" s="198" customFormat="1" ht="16.5" thickBot="1">
      <c r="A352" s="239" t="s">
        <v>157</v>
      </c>
      <c r="B352" s="202"/>
      <c r="C352" s="43">
        <v>55429429</v>
      </c>
      <c r="D352" s="201"/>
      <c r="E352" s="46"/>
      <c r="F352" s="146"/>
      <c r="G352" s="46">
        <f>G351+G349</f>
        <v>4058813</v>
      </c>
      <c r="H352" s="5"/>
      <c r="I352" s="147"/>
      <c r="J352" s="146"/>
      <c r="K352" s="46">
        <f>K351+K349</f>
        <v>8523.5072999999993</v>
      </c>
      <c r="L352" s="5"/>
      <c r="M352" s="147"/>
      <c r="N352" s="146"/>
      <c r="O352" s="46">
        <f>O351+O349</f>
        <v>40588.130000000005</v>
      </c>
    </row>
    <row r="353" spans="1:20" s="198" customFormat="1" ht="16.5" thickTop="1">
      <c r="A353" s="239"/>
      <c r="B353" s="202"/>
      <c r="C353" s="47"/>
      <c r="D353" s="201"/>
      <c r="E353" s="201"/>
      <c r="F353" s="201"/>
      <c r="G353" s="21"/>
      <c r="H353" s="5"/>
      <c r="I353" s="132"/>
      <c r="J353" s="133"/>
      <c r="K353" s="21"/>
      <c r="L353" s="5"/>
      <c r="M353" s="132"/>
      <c r="N353" s="133"/>
      <c r="O353" s="21"/>
    </row>
    <row r="354" spans="1:20" s="198" customFormat="1">
      <c r="A354" s="150" t="s">
        <v>202</v>
      </c>
      <c r="B354" s="202"/>
      <c r="C354" s="4"/>
      <c r="D354" s="201"/>
      <c r="E354" s="202"/>
      <c r="F354" s="201"/>
      <c r="G354" s="202"/>
      <c r="H354" s="5"/>
      <c r="I354" s="151"/>
      <c r="J354" s="5"/>
      <c r="K354" s="202"/>
      <c r="L354" s="5"/>
      <c r="M354" s="151"/>
      <c r="N354" s="5"/>
      <c r="O354" s="202"/>
    </row>
    <row r="355" spans="1:20" s="198" customFormat="1">
      <c r="A355" s="239" t="s">
        <v>203</v>
      </c>
      <c r="B355" s="202"/>
      <c r="C355" s="4">
        <v>20558</v>
      </c>
      <c r="D355" s="201"/>
      <c r="E355" s="14">
        <v>11</v>
      </c>
      <c r="F355" s="124"/>
      <c r="G355" s="15">
        <f>ROUND(C355*E355,0)</f>
        <v>226138</v>
      </c>
      <c r="H355" s="5"/>
      <c r="I355" s="115"/>
      <c r="J355" s="5"/>
      <c r="K355" s="15"/>
      <c r="L355" s="5"/>
      <c r="M355" s="115"/>
      <c r="N355" s="5"/>
      <c r="O355" s="15"/>
      <c r="Q355" s="89" t="s">
        <v>15</v>
      </c>
      <c r="R355" s="17">
        <f>O361</f>
        <v>22425.196500000002</v>
      </c>
      <c r="S355" s="166"/>
      <c r="T355" s="167"/>
    </row>
    <row r="356" spans="1:20" s="198" customFormat="1">
      <c r="A356" s="239" t="s">
        <v>204</v>
      </c>
      <c r="B356" s="202"/>
      <c r="C356" s="4">
        <v>531</v>
      </c>
      <c r="D356" s="201"/>
      <c r="E356" s="14">
        <v>72.5</v>
      </c>
      <c r="F356" s="124"/>
      <c r="G356" s="15">
        <f>ROUND(C356*E356,0)</f>
        <v>38498</v>
      </c>
      <c r="H356" s="5"/>
      <c r="I356" s="31"/>
      <c r="J356" s="124"/>
      <c r="K356" s="15"/>
      <c r="L356" s="5"/>
      <c r="M356" s="31"/>
      <c r="N356" s="124"/>
      <c r="O356" s="15"/>
      <c r="Q356" s="90" t="s">
        <v>17</v>
      </c>
      <c r="R356" s="18">
        <f>'Exhibit-RMP(JRS-1)'!T44*1000</f>
        <v>22441.721647667768</v>
      </c>
      <c r="S356" s="166"/>
      <c r="T356" s="167"/>
    </row>
    <row r="357" spans="1:20" s="198" customFormat="1">
      <c r="A357" s="239" t="s">
        <v>205</v>
      </c>
      <c r="B357" s="202"/>
      <c r="C357" s="4">
        <v>0</v>
      </c>
      <c r="D357" s="201"/>
      <c r="E357" s="14">
        <v>127.5</v>
      </c>
      <c r="F357" s="124"/>
      <c r="G357" s="15">
        <f>ROUND(C357*E357,0)</f>
        <v>0</v>
      </c>
      <c r="H357" s="5"/>
      <c r="I357" s="31"/>
      <c r="J357" s="124"/>
      <c r="K357" s="15"/>
      <c r="L357" s="5"/>
      <c r="M357" s="31"/>
      <c r="N357" s="124"/>
      <c r="O357" s="15"/>
      <c r="Q357" s="91" t="s">
        <v>19</v>
      </c>
      <c r="R357" s="19">
        <f>R356-R355</f>
        <v>16.52514766776585</v>
      </c>
      <c r="S357" s="166"/>
      <c r="T357" s="167"/>
    </row>
    <row r="358" spans="1:20" s="198" customFormat="1">
      <c r="A358" s="239" t="s">
        <v>206</v>
      </c>
      <c r="B358" s="202"/>
      <c r="C358" s="4">
        <v>6467</v>
      </c>
      <c r="D358" s="201"/>
      <c r="E358" s="14">
        <v>6.2</v>
      </c>
      <c r="F358" s="124"/>
      <c r="G358" s="15">
        <f>ROUND(C358*E358,0)</f>
        <v>40095</v>
      </c>
      <c r="H358" s="5"/>
      <c r="I358" s="31"/>
      <c r="J358" s="124"/>
      <c r="K358" s="15"/>
      <c r="L358" s="5"/>
      <c r="M358" s="31"/>
      <c r="N358" s="124"/>
      <c r="O358" s="15"/>
      <c r="Q358" s="93"/>
      <c r="R358" s="105"/>
      <c r="S358" s="166"/>
      <c r="T358" s="167"/>
    </row>
    <row r="359" spans="1:20" s="198" customFormat="1">
      <c r="A359" s="239" t="s">
        <v>207</v>
      </c>
      <c r="B359" s="202"/>
      <c r="C359" s="4">
        <v>15717486</v>
      </c>
      <c r="D359" s="201"/>
      <c r="E359" s="141">
        <v>5.3437000000000001</v>
      </c>
      <c r="F359" s="126" t="s">
        <v>12</v>
      </c>
      <c r="G359" s="15">
        <f>ROUND(C359*E359/100,0)</f>
        <v>839895</v>
      </c>
      <c r="H359" s="5"/>
      <c r="I359" s="31">
        <v>5.7000000000000002E-3</v>
      </c>
      <c r="J359" s="126"/>
      <c r="K359" s="15">
        <f t="shared" ref="K359" si="175">$G359*I359</f>
        <v>4787.4014999999999</v>
      </c>
      <c r="L359" s="5"/>
      <c r="M359" s="31">
        <f>R359</f>
        <v>2.6700000000000002E-2</v>
      </c>
      <c r="N359" s="126"/>
      <c r="O359" s="15">
        <f t="shared" ref="O359" si="176">$G359*M359</f>
        <v>22425.196500000002</v>
      </c>
      <c r="Q359" s="95" t="s">
        <v>22</v>
      </c>
      <c r="R359" s="96">
        <f>ROUND(R356/SUM(G359),$R$11)</f>
        <v>2.6700000000000002E-2</v>
      </c>
      <c r="S359" s="166">
        <f t="shared" ref="S359:S381" si="177">G359*I359-K359</f>
        <v>0</v>
      </c>
      <c r="T359" s="167">
        <f t="shared" ref="T359:T381" si="178">G359*M359-O359</f>
        <v>0</v>
      </c>
    </row>
    <row r="360" spans="1:20" s="198" customFormat="1">
      <c r="A360" s="239" t="s">
        <v>208</v>
      </c>
      <c r="B360" s="202"/>
      <c r="C360" s="23">
        <v>0</v>
      </c>
      <c r="D360" s="201"/>
      <c r="E360" s="202"/>
      <c r="F360" s="201"/>
      <c r="G360" s="24">
        <v>0</v>
      </c>
      <c r="H360" s="5"/>
      <c r="I360" s="115"/>
      <c r="J360" s="5"/>
      <c r="K360" s="24"/>
      <c r="L360" s="5"/>
      <c r="M360" s="115"/>
      <c r="N360" s="5"/>
      <c r="O360" s="24"/>
      <c r="Q360" s="41"/>
      <c r="R360" s="42"/>
      <c r="S360" s="166"/>
      <c r="T360" s="167"/>
    </row>
    <row r="361" spans="1:20" s="198" customFormat="1" ht="16.5" thickBot="1">
      <c r="A361" s="202" t="s">
        <v>157</v>
      </c>
      <c r="B361" s="202"/>
      <c r="C361" s="29">
        <v>15717486</v>
      </c>
      <c r="D361" s="201"/>
      <c r="E361" s="209"/>
      <c r="F361" s="201"/>
      <c r="G361" s="28">
        <f>SUM(G355:G360)</f>
        <v>1144626</v>
      </c>
      <c r="H361" s="5"/>
      <c r="I361" s="137"/>
      <c r="J361" s="5"/>
      <c r="K361" s="28">
        <f>SUM(K355:K360)</f>
        <v>4787.4014999999999</v>
      </c>
      <c r="L361" s="5"/>
      <c r="M361" s="137"/>
      <c r="N361" s="5"/>
      <c r="O361" s="28">
        <f>SUM(O355:O360)</f>
        <v>22425.196500000002</v>
      </c>
      <c r="Q361" s="41"/>
      <c r="R361" s="42"/>
      <c r="S361" s="166"/>
      <c r="T361" s="167"/>
    </row>
    <row r="362" spans="1:20" s="198" customFormat="1" ht="16.5" thickTop="1">
      <c r="A362" s="202"/>
      <c r="B362" s="202"/>
      <c r="C362" s="4"/>
      <c r="D362" s="201"/>
      <c r="E362" s="202"/>
      <c r="F362" s="201"/>
      <c r="G362" s="202"/>
      <c r="H362" s="5"/>
      <c r="I362" s="132"/>
      <c r="J362" s="133"/>
      <c r="K362" s="202"/>
      <c r="L362" s="5"/>
      <c r="M362" s="132"/>
      <c r="N362" s="133"/>
      <c r="O362" s="202"/>
      <c r="Q362" s="41"/>
      <c r="R362" s="42"/>
      <c r="S362" s="166"/>
      <c r="T362" s="167"/>
    </row>
    <row r="363" spans="1:20" s="198" customFormat="1">
      <c r="A363" s="150" t="s">
        <v>209</v>
      </c>
      <c r="B363" s="202"/>
      <c r="C363" s="4"/>
      <c r="D363" s="201"/>
      <c r="E363" s="201"/>
      <c r="F363" s="201"/>
      <c r="G363" s="21"/>
      <c r="H363" s="5"/>
      <c r="I363" s="115"/>
      <c r="J363" s="5"/>
      <c r="K363" s="21"/>
      <c r="L363" s="5"/>
      <c r="M363" s="115"/>
      <c r="N363" s="5"/>
      <c r="O363" s="21"/>
      <c r="Q363" s="89" t="s">
        <v>15</v>
      </c>
      <c r="R363" s="17">
        <f>O367</f>
        <v>16325.084999999999</v>
      </c>
      <c r="S363" s="166"/>
      <c r="T363" s="167"/>
    </row>
    <row r="364" spans="1:20" s="198" customFormat="1">
      <c r="A364" s="239" t="s">
        <v>210</v>
      </c>
      <c r="B364" s="202"/>
      <c r="C364" s="4">
        <v>29744</v>
      </c>
      <c r="D364" s="201"/>
      <c r="E364" s="14">
        <v>5.5</v>
      </c>
      <c r="F364" s="124"/>
      <c r="G364" s="15">
        <f>ROUND(C364*E364,0)</f>
        <v>163592</v>
      </c>
      <c r="H364" s="5"/>
      <c r="I364" s="151"/>
      <c r="J364" s="5"/>
      <c r="K364" s="15"/>
      <c r="L364" s="5"/>
      <c r="M364" s="151"/>
      <c r="N364" s="5"/>
      <c r="O364" s="15"/>
      <c r="Q364" s="90" t="s">
        <v>17</v>
      </c>
      <c r="R364" s="18">
        <f>'Exhibit-RMP(JRS-1)'!T45*1000</f>
        <v>16331.934570879706</v>
      </c>
      <c r="S364" s="166"/>
      <c r="T364" s="167"/>
    </row>
    <row r="365" spans="1:20" s="198" customFormat="1">
      <c r="A365" s="239" t="s">
        <v>207</v>
      </c>
      <c r="B365" s="202"/>
      <c r="C365" s="4">
        <v>5662763</v>
      </c>
      <c r="D365" s="201"/>
      <c r="E365" s="141">
        <v>8.4048999999999996</v>
      </c>
      <c r="F365" s="126" t="s">
        <v>12</v>
      </c>
      <c r="G365" s="15">
        <f>ROUND(C365*E365/100,0)</f>
        <v>475950</v>
      </c>
      <c r="H365" s="5"/>
      <c r="I365" s="31">
        <v>2.01E-2</v>
      </c>
      <c r="J365" s="126"/>
      <c r="K365" s="15">
        <f t="shared" ref="K365" si="179">$G365*I365</f>
        <v>9566.5949999999993</v>
      </c>
      <c r="L365" s="5"/>
      <c r="M365" s="31">
        <f>R367</f>
        <v>3.4299999999999997E-2</v>
      </c>
      <c r="N365" s="126"/>
      <c r="O365" s="15">
        <f t="shared" ref="O365" si="180">$G365*M365</f>
        <v>16325.084999999999</v>
      </c>
      <c r="Q365" s="91" t="s">
        <v>19</v>
      </c>
      <c r="R365" s="19">
        <f>R364-R363</f>
        <v>6.8495708797072439</v>
      </c>
      <c r="S365" s="166">
        <f t="shared" ref="S365" si="181">G365*I365-K365</f>
        <v>0</v>
      </c>
      <c r="T365" s="167">
        <f t="shared" ref="T365" si="182">G365*M365-O365</f>
        <v>0</v>
      </c>
    </row>
    <row r="366" spans="1:20" s="198" customFormat="1">
      <c r="A366" s="239" t="s">
        <v>208</v>
      </c>
      <c r="B366" s="202"/>
      <c r="C366" s="23">
        <v>0</v>
      </c>
      <c r="D366" s="201"/>
      <c r="E366" s="202"/>
      <c r="F366" s="201"/>
      <c r="G366" s="24">
        <v>0</v>
      </c>
      <c r="H366" s="5"/>
      <c r="I366" s="115"/>
      <c r="J366" s="5"/>
      <c r="K366" s="24"/>
      <c r="L366" s="5"/>
      <c r="M366" s="115"/>
      <c r="N366" s="5"/>
      <c r="O366" s="24"/>
      <c r="Q366" s="93"/>
      <c r="R366" s="105"/>
      <c r="S366" s="166"/>
      <c r="T366" s="167"/>
    </row>
    <row r="367" spans="1:20" s="198" customFormat="1" ht="16.5" thickBot="1">
      <c r="A367" s="202" t="s">
        <v>157</v>
      </c>
      <c r="B367" s="202"/>
      <c r="C367" s="29">
        <v>5662763</v>
      </c>
      <c r="D367" s="201"/>
      <c r="E367" s="209"/>
      <c r="F367" s="201"/>
      <c r="G367" s="28">
        <f>SUM(G364:G366)</f>
        <v>639542</v>
      </c>
      <c r="H367" s="5"/>
      <c r="I367" s="137"/>
      <c r="J367" s="5"/>
      <c r="K367" s="28">
        <f>SUM(K364:K366)</f>
        <v>9566.5949999999993</v>
      </c>
      <c r="L367" s="5"/>
      <c r="M367" s="137"/>
      <c r="N367" s="5"/>
      <c r="O367" s="28">
        <f>SUM(O364:O366)</f>
        <v>16325.084999999999</v>
      </c>
      <c r="Q367" s="95" t="s">
        <v>22</v>
      </c>
      <c r="R367" s="96">
        <f>ROUND(R364/SUM(G365),$R$11)</f>
        <v>3.4299999999999997E-2</v>
      </c>
      <c r="S367" s="166"/>
      <c r="T367" s="167"/>
    </row>
    <row r="368" spans="1:20" s="198" customFormat="1" ht="16.5" thickTop="1">
      <c r="A368" s="239"/>
      <c r="B368" s="202"/>
      <c r="C368" s="4"/>
      <c r="D368" s="201"/>
      <c r="E368" s="132"/>
      <c r="F368" s="133"/>
      <c r="G368" s="21"/>
      <c r="H368" s="5"/>
      <c r="I368" s="245"/>
      <c r="J368" s="245"/>
      <c r="K368" s="21"/>
      <c r="L368" s="5"/>
      <c r="M368" s="245"/>
      <c r="N368" s="245"/>
      <c r="O368" s="21"/>
    </row>
    <row r="369" spans="1:20" s="198" customFormat="1">
      <c r="A369" s="238" t="s">
        <v>211</v>
      </c>
      <c r="B369" s="202"/>
      <c r="C369" s="4"/>
      <c r="D369" s="201"/>
      <c r="E369" s="202"/>
      <c r="F369" s="201"/>
      <c r="G369" s="202"/>
      <c r="H369" s="5"/>
      <c r="I369" s="245"/>
      <c r="J369" s="245"/>
      <c r="K369" s="202"/>
      <c r="L369" s="5"/>
      <c r="M369" s="245"/>
      <c r="N369" s="245"/>
      <c r="O369" s="202"/>
    </row>
    <row r="370" spans="1:20" s="198" customFormat="1">
      <c r="A370" s="248" t="s">
        <v>212</v>
      </c>
      <c r="B370" s="202"/>
      <c r="C370" s="4"/>
      <c r="D370" s="201"/>
      <c r="E370" s="202"/>
      <c r="F370" s="201"/>
      <c r="G370" s="202"/>
      <c r="H370" s="5"/>
      <c r="I370" s="132"/>
      <c r="J370" s="133"/>
      <c r="K370" s="202"/>
      <c r="L370" s="5"/>
      <c r="M370" s="132"/>
      <c r="N370" s="133"/>
      <c r="O370" s="202"/>
      <c r="Q370" s="41"/>
      <c r="R370" s="41"/>
      <c r="S370" s="166"/>
      <c r="T370" s="167"/>
    </row>
    <row r="371" spans="1:20" s="198" customFormat="1">
      <c r="A371" s="239" t="s">
        <v>8</v>
      </c>
      <c r="B371" s="202"/>
      <c r="C371" s="16">
        <v>36</v>
      </c>
      <c r="D371" s="201"/>
      <c r="E371" s="14">
        <v>121</v>
      </c>
      <c r="F371" s="124"/>
      <c r="G371" s="15">
        <f>ROUND(E371*$C371,0)</f>
        <v>4356</v>
      </c>
      <c r="H371" s="5"/>
      <c r="I371" s="132"/>
      <c r="J371" s="133"/>
      <c r="K371" s="15"/>
      <c r="L371" s="5"/>
      <c r="M371" s="132"/>
      <c r="N371" s="133"/>
      <c r="O371" s="15"/>
      <c r="Q371" s="41"/>
      <c r="R371" s="2"/>
      <c r="S371" s="166"/>
      <c r="T371" s="167"/>
    </row>
    <row r="372" spans="1:20">
      <c r="A372" s="239" t="s">
        <v>213</v>
      </c>
      <c r="C372" s="16">
        <v>9527</v>
      </c>
      <c r="E372" s="14">
        <v>4.0999999999999996</v>
      </c>
      <c r="F372" s="124"/>
      <c r="G372" s="15">
        <f>ROUND(E372*$C372,0)</f>
        <v>39061</v>
      </c>
      <c r="K372" s="15"/>
      <c r="O372" s="15"/>
      <c r="Q372" s="44"/>
      <c r="R372" s="2"/>
      <c r="S372" s="166"/>
      <c r="T372" s="167"/>
    </row>
    <row r="373" spans="1:20">
      <c r="A373" s="239" t="s">
        <v>214</v>
      </c>
      <c r="C373" s="16">
        <v>491863</v>
      </c>
      <c r="E373" s="152">
        <v>6.5263999999999998</v>
      </c>
      <c r="F373" s="126" t="s">
        <v>12</v>
      </c>
      <c r="G373" s="15">
        <f>ROUND(E373*$C373/100,0)</f>
        <v>32101</v>
      </c>
      <c r="I373" s="153">
        <v>4.0500000000000001E-2</v>
      </c>
      <c r="J373" s="126"/>
      <c r="K373" s="15">
        <f t="shared" ref="K373" si="183">$G373*I373</f>
        <v>1300.0905</v>
      </c>
      <c r="M373" s="153">
        <f>$R$377</f>
        <v>8.5999999999999993E-2</v>
      </c>
      <c r="N373" s="126"/>
      <c r="O373" s="15">
        <f t="shared" ref="O373:O374" si="184">$G373*M373</f>
        <v>2760.6859999999997</v>
      </c>
      <c r="Q373" s="89" t="s">
        <v>15</v>
      </c>
      <c r="R373" s="17">
        <f>O384</f>
        <v>14817.885999999999</v>
      </c>
      <c r="S373" s="166">
        <f t="shared" si="177"/>
        <v>0</v>
      </c>
      <c r="T373" s="167">
        <f t="shared" si="178"/>
        <v>0</v>
      </c>
    </row>
    <row r="374" spans="1:20">
      <c r="A374" s="239" t="s">
        <v>106</v>
      </c>
      <c r="C374" s="16">
        <v>0</v>
      </c>
      <c r="E374" s="152">
        <v>5.4798999999999998</v>
      </c>
      <c r="F374" s="126" t="s">
        <v>12</v>
      </c>
      <c r="G374" s="15">
        <f>ROUND(E374*$C374/100,0)</f>
        <v>0</v>
      </c>
      <c r="I374" s="153">
        <v>4.0500000000000001E-2</v>
      </c>
      <c r="J374" s="126"/>
      <c r="K374" s="15">
        <f t="shared" ref="K374" si="185">$G374*I374</f>
        <v>0</v>
      </c>
      <c r="M374" s="153">
        <f>$R$377</f>
        <v>8.5999999999999993E-2</v>
      </c>
      <c r="N374" s="126"/>
      <c r="O374" s="15">
        <f t="shared" si="184"/>
        <v>0</v>
      </c>
      <c r="Q374" s="90" t="s">
        <v>17</v>
      </c>
      <c r="R374" s="18">
        <f>'Exhibit-RMP(JRS-1)'!T31*1000</f>
        <v>14812.560814405901</v>
      </c>
      <c r="S374" s="166">
        <f t="shared" si="177"/>
        <v>0</v>
      </c>
      <c r="T374" s="167">
        <f t="shared" si="178"/>
        <v>0</v>
      </c>
    </row>
    <row r="375" spans="1:20">
      <c r="A375" s="239" t="s">
        <v>25</v>
      </c>
      <c r="C375" s="23">
        <v>0</v>
      </c>
      <c r="E375" s="152"/>
      <c r="F375" s="148"/>
      <c r="G375" s="24">
        <v>0</v>
      </c>
      <c r="I375" s="153"/>
      <c r="J375" s="148"/>
      <c r="K375" s="24"/>
      <c r="M375" s="153"/>
      <c r="N375" s="148"/>
      <c r="O375" s="24"/>
      <c r="Q375" s="91" t="s">
        <v>19</v>
      </c>
      <c r="R375" s="19">
        <f>R374-R373</f>
        <v>-5.3251855940980022</v>
      </c>
      <c r="S375" s="166"/>
      <c r="T375" s="167"/>
    </row>
    <row r="376" spans="1:20">
      <c r="A376" s="239" t="s">
        <v>215</v>
      </c>
      <c r="C376" s="4">
        <v>491863</v>
      </c>
      <c r="E376" s="30"/>
      <c r="F376" s="139"/>
      <c r="G376" s="15">
        <f>SUM(G371:G375)</f>
        <v>75518</v>
      </c>
      <c r="I376" s="130"/>
      <c r="J376" s="139"/>
      <c r="K376" s="15">
        <f>SUM(K371:K375)</f>
        <v>1300.0905</v>
      </c>
      <c r="M376" s="130"/>
      <c r="N376" s="139"/>
      <c r="O376" s="15">
        <f>SUM(O371:O375)</f>
        <v>2760.6859999999997</v>
      </c>
      <c r="Q376" s="93"/>
      <c r="R376" s="105"/>
      <c r="S376" s="166"/>
      <c r="T376" s="167"/>
    </row>
    <row r="377" spans="1:20">
      <c r="A377" s="248" t="s">
        <v>216</v>
      </c>
      <c r="C377" s="16"/>
      <c r="E377" s="30"/>
      <c r="F377" s="139"/>
      <c r="I377" s="130"/>
      <c r="J377" s="139"/>
      <c r="K377" s="202"/>
      <c r="M377" s="130"/>
      <c r="N377" s="139"/>
      <c r="O377" s="202"/>
      <c r="Q377" s="95" t="s">
        <v>22</v>
      </c>
      <c r="R377" s="96">
        <f>ROUND(R374/SUM(G373:G374,G380:G381),$R$11)</f>
        <v>8.5999999999999993E-2</v>
      </c>
      <c r="S377" s="166"/>
      <c r="T377" s="167"/>
    </row>
    <row r="378" spans="1:20">
      <c r="A378" s="239" t="s">
        <v>8</v>
      </c>
      <c r="C378" s="16">
        <v>24</v>
      </c>
      <c r="E378" s="14">
        <v>121</v>
      </c>
      <c r="F378" s="124"/>
      <c r="G378" s="15">
        <f>ROUND(E378*$C378,0)</f>
        <v>2904</v>
      </c>
      <c r="I378" s="31"/>
      <c r="J378" s="124"/>
      <c r="K378" s="15"/>
      <c r="M378" s="31"/>
      <c r="N378" s="124"/>
      <c r="O378" s="15"/>
      <c r="Q378" s="8"/>
      <c r="R378" s="22"/>
      <c r="S378" s="166"/>
      <c r="T378" s="167"/>
    </row>
    <row r="379" spans="1:20">
      <c r="A379" s="239" t="s">
        <v>213</v>
      </c>
      <c r="C379" s="16">
        <v>38097</v>
      </c>
      <c r="E379" s="14">
        <v>4.0999999999999996</v>
      </c>
      <c r="F379" s="124"/>
      <c r="G379" s="15">
        <f>ROUND(E379*$C379,0)</f>
        <v>156198</v>
      </c>
      <c r="I379" s="31"/>
      <c r="J379" s="124"/>
      <c r="K379" s="15"/>
      <c r="M379" s="31"/>
      <c r="N379" s="124"/>
      <c r="O379" s="15"/>
      <c r="Q379" s="8"/>
      <c r="R379" s="2"/>
      <c r="S379" s="166"/>
      <c r="T379" s="167"/>
    </row>
    <row r="380" spans="1:20">
      <c r="A380" s="239" t="s">
        <v>214</v>
      </c>
      <c r="C380" s="16">
        <v>2267423</v>
      </c>
      <c r="E380" s="152">
        <v>5.1345999999999998</v>
      </c>
      <c r="F380" s="126" t="s">
        <v>12</v>
      </c>
      <c r="G380" s="15">
        <f>ROUND(E380*$C380/100,0)</f>
        <v>116423</v>
      </c>
      <c r="I380" s="153">
        <v>4.0500000000000001E-2</v>
      </c>
      <c r="J380" s="126"/>
      <c r="K380" s="15">
        <f t="shared" ref="K380:K381" si="186">$G380*I380</f>
        <v>4715.1315000000004</v>
      </c>
      <c r="M380" s="153">
        <f t="shared" ref="M380:M381" si="187">$R$377</f>
        <v>8.5999999999999993E-2</v>
      </c>
      <c r="N380" s="126"/>
      <c r="O380" s="15">
        <f t="shared" ref="O380:O381" si="188">$G380*M380</f>
        <v>10012.377999999999</v>
      </c>
      <c r="Q380" s="3"/>
      <c r="R380" s="2"/>
      <c r="S380" s="166">
        <f t="shared" si="177"/>
        <v>0</v>
      </c>
      <c r="T380" s="167">
        <f t="shared" si="178"/>
        <v>0</v>
      </c>
    </row>
    <row r="381" spans="1:20">
      <c r="A381" s="239" t="s">
        <v>106</v>
      </c>
      <c r="C381" s="16">
        <v>528653</v>
      </c>
      <c r="E381" s="152">
        <v>4.4977</v>
      </c>
      <c r="F381" s="126" t="s">
        <v>12</v>
      </c>
      <c r="G381" s="15">
        <f>ROUND(E381*$C381/100,0)</f>
        <v>23777</v>
      </c>
      <c r="I381" s="153">
        <v>4.0500000000000001E-2</v>
      </c>
      <c r="J381" s="126"/>
      <c r="K381" s="15">
        <f t="shared" si="186"/>
        <v>962.96850000000006</v>
      </c>
      <c r="M381" s="153">
        <f t="shared" si="187"/>
        <v>8.5999999999999993E-2</v>
      </c>
      <c r="N381" s="126"/>
      <c r="O381" s="15">
        <f t="shared" si="188"/>
        <v>2044.8219999999999</v>
      </c>
      <c r="Q381" s="3"/>
      <c r="R381" s="2"/>
      <c r="S381" s="166">
        <f t="shared" si="177"/>
        <v>0</v>
      </c>
      <c r="T381" s="167">
        <f t="shared" si="178"/>
        <v>0</v>
      </c>
    </row>
    <row r="382" spans="1:20">
      <c r="A382" s="239" t="s">
        <v>25</v>
      </c>
      <c r="C382" s="23">
        <v>0</v>
      </c>
      <c r="E382" s="152"/>
      <c r="F382" s="148"/>
      <c r="G382" s="24">
        <v>0</v>
      </c>
      <c r="I382" s="153"/>
      <c r="J382" s="148"/>
      <c r="K382" s="24"/>
      <c r="M382" s="153"/>
      <c r="N382" s="148"/>
      <c r="O382" s="24"/>
      <c r="Q382" s="3"/>
      <c r="R382" s="2"/>
      <c r="S382" s="166"/>
      <c r="T382" s="167"/>
    </row>
    <row r="383" spans="1:20">
      <c r="A383" s="239" t="s">
        <v>215</v>
      </c>
      <c r="C383" s="4">
        <v>2796076</v>
      </c>
      <c r="E383" s="30"/>
      <c r="F383" s="139"/>
      <c r="G383" s="15">
        <f>SUM(G378:G382)</f>
        <v>299302</v>
      </c>
      <c r="I383" s="130"/>
      <c r="J383" s="139"/>
      <c r="K383" s="15">
        <f>SUM(K378:K382)</f>
        <v>5678.1</v>
      </c>
      <c r="M383" s="130"/>
      <c r="N383" s="139"/>
      <c r="O383" s="15">
        <f>SUM(O378:O382)</f>
        <v>12057.199999999999</v>
      </c>
      <c r="Q383" s="3"/>
      <c r="R383" s="2"/>
      <c r="S383" s="166"/>
      <c r="T383" s="167"/>
    </row>
    <row r="384" spans="1:20" ht="16.5" thickBot="1">
      <c r="A384" s="239" t="s">
        <v>26</v>
      </c>
      <c r="C384" s="29">
        <v>3287939</v>
      </c>
      <c r="E384" s="209"/>
      <c r="G384" s="28">
        <f>G383+G376</f>
        <v>374820</v>
      </c>
      <c r="I384" s="137"/>
      <c r="K384" s="28">
        <f>K383+K376</f>
        <v>6978.1905000000006</v>
      </c>
      <c r="M384" s="137"/>
      <c r="O384" s="28">
        <f>O383+O376</f>
        <v>14817.885999999999</v>
      </c>
      <c r="Q384" s="3"/>
      <c r="R384" s="2"/>
      <c r="S384" s="166"/>
      <c r="T384" s="167"/>
    </row>
    <row r="385" spans="1:20" ht="16.5" thickTop="1">
      <c r="C385" s="4"/>
      <c r="K385" s="202"/>
      <c r="O385" s="202"/>
      <c r="Q385" s="3"/>
      <c r="R385" s="49"/>
      <c r="S385" s="166"/>
      <c r="T385" s="167"/>
    </row>
    <row r="386" spans="1:20">
      <c r="A386" s="238" t="s">
        <v>217</v>
      </c>
      <c r="C386" s="4"/>
      <c r="K386" s="202"/>
      <c r="O386" s="202"/>
      <c r="Q386" s="3"/>
      <c r="R386" s="50"/>
      <c r="S386" s="166"/>
      <c r="T386" s="167"/>
    </row>
    <row r="387" spans="1:20">
      <c r="A387" s="239" t="s">
        <v>8</v>
      </c>
      <c r="C387" s="4">
        <v>936624</v>
      </c>
      <c r="E387" s="14">
        <v>10</v>
      </c>
      <c r="F387" s="124"/>
      <c r="G387" s="15">
        <f>ROUND(E387*$C387,0)</f>
        <v>9366240</v>
      </c>
      <c r="K387" s="15"/>
      <c r="O387" s="15"/>
      <c r="Q387" s="89" t="s">
        <v>15</v>
      </c>
      <c r="R387" s="17">
        <f>O397</f>
        <v>3820682.2615999999</v>
      </c>
      <c r="S387" s="166"/>
      <c r="T387" s="167"/>
    </row>
    <row r="388" spans="1:20">
      <c r="A388" s="239" t="s">
        <v>33</v>
      </c>
      <c r="C388" s="4">
        <v>375308</v>
      </c>
      <c r="E388" s="14">
        <v>8.5500000000000007</v>
      </c>
      <c r="F388" s="124"/>
      <c r="G388" s="15">
        <f>ROUND(E388*$C388,0)</f>
        <v>3208883</v>
      </c>
      <c r="I388" s="31">
        <v>1.5699999999999999E-2</v>
      </c>
      <c r="J388" s="124"/>
      <c r="K388" s="15">
        <f t="shared" ref="K388" si="189">$G388*I388</f>
        <v>50379.463099999994</v>
      </c>
      <c r="M388" s="31">
        <f>$R$391</f>
        <v>2.93E-2</v>
      </c>
      <c r="N388" s="124"/>
      <c r="O388" s="15">
        <f t="shared" ref="O388:O389" si="190">$G388*M388</f>
        <v>94020.271899999992</v>
      </c>
      <c r="Q388" s="90" t="s">
        <v>17</v>
      </c>
      <c r="R388" s="18">
        <f>'Exhibit-RMP(JRS-1)'!T32*1000</f>
        <v>3815685.4440755323</v>
      </c>
      <c r="S388" s="166">
        <f t="shared" ref="S388:S394" si="191">G388*I388-K388</f>
        <v>0</v>
      </c>
      <c r="T388" s="167">
        <f t="shared" ref="T388:T394" si="192">G388*M388-O388</f>
        <v>0</v>
      </c>
    </row>
    <row r="389" spans="1:20">
      <c r="A389" s="239" t="s">
        <v>34</v>
      </c>
      <c r="C389" s="4">
        <v>363172</v>
      </c>
      <c r="E389" s="14">
        <v>8.6</v>
      </c>
      <c r="F389" s="124"/>
      <c r="G389" s="15">
        <f>ROUND(E389*$C389,0)</f>
        <v>3123279</v>
      </c>
      <c r="I389" s="31">
        <v>1.5699999999999999E-2</v>
      </c>
      <c r="J389" s="124"/>
      <c r="K389" s="15">
        <f t="shared" ref="K389" si="193">$G389*I389</f>
        <v>49035.480299999996</v>
      </c>
      <c r="M389" s="31">
        <f>$R$391</f>
        <v>2.93E-2</v>
      </c>
      <c r="N389" s="124"/>
      <c r="O389" s="15">
        <f t="shared" si="190"/>
        <v>91512.074699999997</v>
      </c>
      <c r="Q389" s="91" t="s">
        <v>19</v>
      </c>
      <c r="R389" s="19">
        <f>R388-R387</f>
        <v>-4996.8175244675949</v>
      </c>
      <c r="S389" s="166">
        <f t="shared" si="191"/>
        <v>0</v>
      </c>
      <c r="T389" s="167">
        <f t="shared" si="192"/>
        <v>0</v>
      </c>
    </row>
    <row r="390" spans="1:20">
      <c r="A390" s="239" t="s">
        <v>35</v>
      </c>
      <c r="C390" s="4">
        <v>9858</v>
      </c>
      <c r="E390" s="14">
        <v>-0.48</v>
      </c>
      <c r="F390" s="124"/>
      <c r="G390" s="15">
        <f>ROUND(E390*$C390,0)</f>
        <v>-4732</v>
      </c>
      <c r="I390" s="31"/>
      <c r="J390" s="124"/>
      <c r="K390" s="15"/>
      <c r="M390" s="31"/>
      <c r="N390" s="124"/>
      <c r="O390" s="15"/>
      <c r="Q390" s="93"/>
      <c r="R390" s="105"/>
      <c r="S390" s="166"/>
      <c r="T390" s="167"/>
    </row>
    <row r="391" spans="1:20">
      <c r="A391" s="239" t="s">
        <v>36</v>
      </c>
      <c r="C391" s="4">
        <v>307226245</v>
      </c>
      <c r="E391" s="128">
        <v>11.6096</v>
      </c>
      <c r="F391" s="126" t="s">
        <v>12</v>
      </c>
      <c r="G391" s="15">
        <f>ROUND(E391*$C391/100,0)</f>
        <v>35667738</v>
      </c>
      <c r="I391" s="31">
        <v>1.5699999999999999E-2</v>
      </c>
      <c r="J391" s="124"/>
      <c r="K391" s="15">
        <f t="shared" ref="K391:K394" si="194">$G391*I391</f>
        <v>559983.48659999995</v>
      </c>
      <c r="M391" s="31">
        <f t="shared" ref="M391:M394" si="195">$R$391</f>
        <v>2.93E-2</v>
      </c>
      <c r="N391" s="124"/>
      <c r="O391" s="15">
        <f t="shared" ref="O391:O394" si="196">$G391*M391</f>
        <v>1045064.7234</v>
      </c>
      <c r="Q391" s="95" t="s">
        <v>22</v>
      </c>
      <c r="R391" s="96">
        <f>ROUND(R388/SUM(G388:G389,G391:G394),$R$11)+R394</f>
        <v>2.93E-2</v>
      </c>
      <c r="S391" s="166">
        <f t="shared" si="191"/>
        <v>0</v>
      </c>
      <c r="T391" s="167">
        <f t="shared" si="192"/>
        <v>0</v>
      </c>
    </row>
    <row r="392" spans="1:20">
      <c r="A392" s="239" t="s">
        <v>37</v>
      </c>
      <c r="C392" s="4">
        <v>310947215</v>
      </c>
      <c r="E392" s="128">
        <v>6.5087999999999999</v>
      </c>
      <c r="F392" s="126" t="s">
        <v>12</v>
      </c>
      <c r="G392" s="15">
        <f>ROUND(E392*$C392/100,0)</f>
        <v>20238932</v>
      </c>
      <c r="I392" s="31">
        <v>1.5699999999999999E-2</v>
      </c>
      <c r="J392" s="124"/>
      <c r="K392" s="15">
        <f t="shared" si="194"/>
        <v>317751.23239999998</v>
      </c>
      <c r="M392" s="31">
        <f t="shared" si="195"/>
        <v>2.93E-2</v>
      </c>
      <c r="N392" s="124"/>
      <c r="O392" s="15">
        <f t="shared" si="196"/>
        <v>593000.70759999997</v>
      </c>
      <c r="Q392" s="32" t="s">
        <v>48</v>
      </c>
      <c r="R392" s="33">
        <f>'Table A'!S51</f>
        <v>60203.284102618039</v>
      </c>
      <c r="S392" s="166">
        <f t="shared" si="191"/>
        <v>0</v>
      </c>
      <c r="T392" s="167">
        <f t="shared" si="192"/>
        <v>0</v>
      </c>
    </row>
    <row r="393" spans="1:20">
      <c r="A393" s="239" t="s">
        <v>38</v>
      </c>
      <c r="C393" s="4">
        <v>429169061</v>
      </c>
      <c r="E393" s="128">
        <v>10.6859</v>
      </c>
      <c r="F393" s="126" t="s">
        <v>12</v>
      </c>
      <c r="G393" s="15">
        <f>ROUND(E393*$C393/100,0)</f>
        <v>45860577</v>
      </c>
      <c r="I393" s="31">
        <v>1.5699999999999999E-2</v>
      </c>
      <c r="J393" s="124"/>
      <c r="K393" s="15">
        <f t="shared" si="194"/>
        <v>720011.05889999995</v>
      </c>
      <c r="M393" s="31">
        <f t="shared" si="195"/>
        <v>2.93E-2</v>
      </c>
      <c r="N393" s="124"/>
      <c r="O393" s="15">
        <f t="shared" si="196"/>
        <v>1343714.9061</v>
      </c>
      <c r="Q393" s="32" t="s">
        <v>49</v>
      </c>
      <c r="R393" s="33">
        <f>'Exhibit-RMP(JRS-1)'!T51</f>
        <v>59739.435394071312</v>
      </c>
      <c r="S393" s="166">
        <f t="shared" si="191"/>
        <v>0</v>
      </c>
      <c r="T393" s="167">
        <f t="shared" si="192"/>
        <v>0</v>
      </c>
    </row>
    <row r="394" spans="1:20">
      <c r="A394" s="239" t="s">
        <v>39</v>
      </c>
      <c r="C394" s="4">
        <v>371983628.63277793</v>
      </c>
      <c r="E394" s="128">
        <v>5.9947000000000008</v>
      </c>
      <c r="F394" s="126" t="s">
        <v>12</v>
      </c>
      <c r="G394" s="15">
        <f>ROUND(E394*$C394/100,0)</f>
        <v>22299303</v>
      </c>
      <c r="I394" s="31">
        <v>1.5699999999999999E-2</v>
      </c>
      <c r="J394" s="124"/>
      <c r="K394" s="15">
        <f t="shared" si="194"/>
        <v>350099.05709999998</v>
      </c>
      <c r="M394" s="31">
        <f t="shared" si="195"/>
        <v>2.93E-2</v>
      </c>
      <c r="N394" s="124"/>
      <c r="O394" s="15">
        <f t="shared" si="196"/>
        <v>653369.57790000003</v>
      </c>
      <c r="Q394" s="34" t="s">
        <v>27</v>
      </c>
      <c r="R394" s="35">
        <v>0</v>
      </c>
      <c r="S394" s="166">
        <f t="shared" si="191"/>
        <v>0</v>
      </c>
      <c r="T394" s="167">
        <f t="shared" si="192"/>
        <v>0</v>
      </c>
    </row>
    <row r="395" spans="1:20">
      <c r="A395" s="239" t="s">
        <v>40</v>
      </c>
      <c r="C395" s="4">
        <v>0</v>
      </c>
      <c r="E395" s="14">
        <v>120</v>
      </c>
      <c r="F395" s="124"/>
      <c r="G395" s="15">
        <f>ROUND(E395*$C395,0)</f>
        <v>0</v>
      </c>
      <c r="I395" s="31"/>
      <c r="J395" s="124"/>
      <c r="K395" s="15"/>
      <c r="M395" s="31"/>
      <c r="N395" s="124"/>
      <c r="O395" s="15"/>
    </row>
    <row r="396" spans="1:20">
      <c r="A396" s="239" t="s">
        <v>25</v>
      </c>
      <c r="C396" s="23">
        <v>0</v>
      </c>
      <c r="G396" s="24">
        <v>0</v>
      </c>
      <c r="K396" s="24"/>
      <c r="O396" s="24"/>
    </row>
    <row r="397" spans="1:20" ht="16.5" thickBot="1">
      <c r="A397" s="239" t="s">
        <v>26</v>
      </c>
      <c r="C397" s="29">
        <v>1419326149.6327779</v>
      </c>
      <c r="E397" s="209"/>
      <c r="G397" s="28">
        <f>SUM(G387:G396)</f>
        <v>139760220</v>
      </c>
      <c r="I397" s="137"/>
      <c r="K397" s="28">
        <f>SUM(K387:K396)</f>
        <v>2047259.7783999997</v>
      </c>
      <c r="M397" s="137"/>
      <c r="O397" s="28">
        <f>SUM(O387:O396)</f>
        <v>3820682.2615999999</v>
      </c>
    </row>
    <row r="398" spans="1:20" ht="16.5" thickTop="1">
      <c r="C398" s="4"/>
      <c r="K398" s="202"/>
      <c r="O398" s="202"/>
    </row>
    <row r="399" spans="1:20">
      <c r="A399" s="238" t="s">
        <v>359</v>
      </c>
      <c r="C399" s="4"/>
      <c r="E399" s="30"/>
      <c r="F399" s="139"/>
      <c r="K399" s="202"/>
      <c r="O399" s="202"/>
    </row>
    <row r="400" spans="1:20">
      <c r="A400" s="248" t="s">
        <v>218</v>
      </c>
      <c r="C400" s="4"/>
      <c r="K400" s="202"/>
      <c r="O400" s="202"/>
    </row>
    <row r="401" spans="1:15">
      <c r="A401" s="239" t="s">
        <v>219</v>
      </c>
      <c r="B401" s="239"/>
      <c r="C401" s="4">
        <v>0</v>
      </c>
      <c r="E401" s="14">
        <v>127</v>
      </c>
      <c r="F401" s="124"/>
      <c r="G401" s="15">
        <f>ROUND(E401*$C401,0)</f>
        <v>0</v>
      </c>
      <c r="I401" s="135"/>
      <c r="J401" s="124"/>
      <c r="K401" s="15"/>
      <c r="M401" s="135"/>
      <c r="N401" s="124"/>
      <c r="O401" s="15"/>
    </row>
    <row r="402" spans="1:15">
      <c r="A402" s="239" t="s">
        <v>220</v>
      </c>
      <c r="B402" s="239"/>
      <c r="C402" s="4">
        <v>0</v>
      </c>
      <c r="E402" s="14">
        <v>4.66</v>
      </c>
      <c r="F402" s="124"/>
      <c r="G402" s="15">
        <f>ROUND(E402*$C402,0)</f>
        <v>0</v>
      </c>
      <c r="I402" s="135"/>
      <c r="J402" s="124"/>
      <c r="K402" s="15"/>
      <c r="M402" s="135"/>
      <c r="N402" s="124"/>
      <c r="O402" s="15"/>
    </row>
    <row r="403" spans="1:15">
      <c r="A403" s="239" t="s">
        <v>221</v>
      </c>
      <c r="B403" s="239"/>
      <c r="C403" s="4"/>
      <c r="E403" s="129"/>
      <c r="F403" s="20"/>
      <c r="G403" s="15"/>
      <c r="I403" s="135"/>
      <c r="J403" s="124"/>
      <c r="K403" s="15"/>
      <c r="M403" s="135"/>
      <c r="N403" s="124"/>
      <c r="O403" s="15"/>
    </row>
    <row r="404" spans="1:15">
      <c r="A404" s="239" t="s">
        <v>222</v>
      </c>
      <c r="B404" s="239"/>
      <c r="C404" s="4">
        <v>0</v>
      </c>
      <c r="E404" s="154">
        <v>0.64190000000000003</v>
      </c>
      <c r="F404" s="155"/>
      <c r="G404" s="15">
        <f>ROUND(E404*$C404,0)</f>
        <v>0</v>
      </c>
      <c r="I404" s="135"/>
      <c r="J404" s="124"/>
      <c r="K404" s="15"/>
      <c r="M404" s="135"/>
      <c r="N404" s="124"/>
      <c r="O404" s="15"/>
    </row>
    <row r="405" spans="1:15">
      <c r="A405" s="239" t="s">
        <v>223</v>
      </c>
      <c r="B405" s="239"/>
      <c r="C405" s="4">
        <v>0</v>
      </c>
      <c r="E405" s="156">
        <v>0.32100000000000001</v>
      </c>
      <c r="F405" s="157"/>
      <c r="G405" s="15">
        <f>ROUND(E405*$C405,0)</f>
        <v>0</v>
      </c>
      <c r="I405" s="135"/>
      <c r="J405" s="124"/>
      <c r="K405" s="15"/>
      <c r="M405" s="135"/>
      <c r="N405" s="124"/>
      <c r="O405" s="15"/>
    </row>
    <row r="406" spans="1:15">
      <c r="A406" s="239" t="s">
        <v>224</v>
      </c>
      <c r="B406" s="239"/>
      <c r="C406" s="4">
        <v>0</v>
      </c>
      <c r="E406" s="14">
        <v>60.48</v>
      </c>
      <c r="F406" s="124"/>
      <c r="G406" s="15">
        <f>ROUND(E406*$C406,0)</f>
        <v>0</v>
      </c>
      <c r="I406" s="135"/>
      <c r="J406" s="124"/>
      <c r="K406" s="15"/>
      <c r="M406" s="135"/>
      <c r="N406" s="124"/>
      <c r="O406" s="15"/>
    </row>
    <row r="407" spans="1:15">
      <c r="A407" s="248" t="s">
        <v>225</v>
      </c>
      <c r="C407" s="4"/>
      <c r="I407" s="135"/>
      <c r="J407" s="124"/>
      <c r="K407" s="202"/>
      <c r="M407" s="135"/>
      <c r="N407" s="124"/>
      <c r="O407" s="202"/>
    </row>
    <row r="408" spans="1:15">
      <c r="A408" s="239" t="s">
        <v>219</v>
      </c>
      <c r="C408" s="4">
        <v>34.559999165216908</v>
      </c>
      <c r="E408" s="14">
        <v>577</v>
      </c>
      <c r="F408" s="124"/>
      <c r="G408" s="15">
        <f>ROUND(E408*$C408,0)</f>
        <v>19941</v>
      </c>
      <c r="I408" s="135"/>
      <c r="J408" s="20"/>
      <c r="K408" s="15"/>
      <c r="M408" s="135"/>
      <c r="N408" s="20"/>
      <c r="O408" s="15"/>
    </row>
    <row r="409" spans="1:15">
      <c r="A409" s="239" t="s">
        <v>220</v>
      </c>
      <c r="C409" s="4">
        <v>166568</v>
      </c>
      <c r="E409" s="14">
        <v>3.66</v>
      </c>
      <c r="F409" s="124"/>
      <c r="G409" s="15">
        <f>ROUND(E409*$C409,0)</f>
        <v>609639</v>
      </c>
      <c r="I409" s="151"/>
      <c r="K409" s="15"/>
      <c r="M409" s="151"/>
      <c r="O409" s="15"/>
    </row>
    <row r="410" spans="1:15">
      <c r="A410" s="239" t="s">
        <v>221</v>
      </c>
      <c r="C410" s="4"/>
      <c r="E410" s="129"/>
      <c r="F410" s="124"/>
      <c r="G410" s="15"/>
      <c r="I410" s="135"/>
      <c r="J410" s="124"/>
      <c r="K410" s="15"/>
      <c r="M410" s="135"/>
      <c r="N410" s="124"/>
      <c r="O410" s="15"/>
    </row>
    <row r="411" spans="1:15">
      <c r="A411" s="239" t="s">
        <v>222</v>
      </c>
      <c r="C411" s="4">
        <v>1073035</v>
      </c>
      <c r="E411" s="154">
        <v>0.62480000000000002</v>
      </c>
      <c r="F411" s="155"/>
      <c r="G411" s="15">
        <f>ROUND(E411*$C411,0)</f>
        <v>670432</v>
      </c>
      <c r="I411" s="135"/>
      <c r="J411" s="124"/>
      <c r="K411" s="15"/>
      <c r="M411" s="135"/>
      <c r="N411" s="124"/>
      <c r="O411" s="15"/>
    </row>
    <row r="412" spans="1:15">
      <c r="A412" s="239" t="s">
        <v>223</v>
      </c>
      <c r="C412" s="4">
        <v>79254</v>
      </c>
      <c r="E412" s="156">
        <v>0.31240000000000001</v>
      </c>
      <c r="F412" s="157"/>
      <c r="G412" s="15">
        <f>ROUND(E412*$C412,0)</f>
        <v>24759</v>
      </c>
      <c r="I412" s="135"/>
      <c r="J412" s="124"/>
      <c r="K412" s="15"/>
      <c r="M412" s="135"/>
      <c r="N412" s="124"/>
      <c r="O412" s="15"/>
    </row>
    <row r="413" spans="1:15">
      <c r="A413" s="239" t="s">
        <v>224</v>
      </c>
      <c r="C413" s="4">
        <v>0</v>
      </c>
      <c r="E413" s="14">
        <v>43.59</v>
      </c>
      <c r="F413" s="124"/>
      <c r="G413" s="15">
        <f>ROUND(E413*$C413,0)</f>
        <v>0</v>
      </c>
      <c r="I413" s="135"/>
      <c r="J413" s="124"/>
      <c r="K413" s="15"/>
      <c r="M413" s="135"/>
      <c r="N413" s="124"/>
      <c r="O413" s="15"/>
    </row>
    <row r="414" spans="1:15">
      <c r="A414" s="248" t="s">
        <v>226</v>
      </c>
      <c r="C414" s="4"/>
      <c r="I414" s="149"/>
      <c r="J414" s="124"/>
      <c r="K414" s="202"/>
      <c r="M414" s="149"/>
      <c r="N414" s="124"/>
      <c r="O414" s="202"/>
    </row>
    <row r="415" spans="1:15">
      <c r="A415" s="239" t="s">
        <v>219</v>
      </c>
      <c r="C415" s="4">
        <v>13.440000834783092</v>
      </c>
      <c r="E415" s="14">
        <v>646</v>
      </c>
      <c r="F415" s="124"/>
      <c r="G415" s="15">
        <f>ROUND(E415*$C415,0)</f>
        <v>8682</v>
      </c>
      <c r="I415" s="149"/>
      <c r="J415" s="124"/>
      <c r="K415" s="15"/>
      <c r="M415" s="149"/>
      <c r="N415" s="124"/>
      <c r="O415" s="15"/>
    </row>
    <row r="416" spans="1:15">
      <c r="A416" s="239" t="s">
        <v>220</v>
      </c>
      <c r="C416" s="4">
        <v>71234</v>
      </c>
      <c r="E416" s="14">
        <v>2.08</v>
      </c>
      <c r="F416" s="124"/>
      <c r="G416" s="15">
        <f>ROUND(E416*$C416,0)</f>
        <v>148167</v>
      </c>
      <c r="I416" s="149"/>
      <c r="J416" s="124"/>
      <c r="K416" s="15"/>
      <c r="M416" s="149"/>
      <c r="N416" s="124"/>
      <c r="O416" s="15"/>
    </row>
    <row r="417" spans="1:20">
      <c r="A417" s="239" t="s">
        <v>221</v>
      </c>
      <c r="C417" s="4"/>
      <c r="E417" s="129"/>
      <c r="F417" s="20"/>
      <c r="G417" s="15"/>
      <c r="I417" s="135"/>
      <c r="J417" s="124"/>
      <c r="K417" s="15"/>
      <c r="M417" s="135"/>
      <c r="N417" s="124"/>
      <c r="O417" s="15"/>
    </row>
    <row r="418" spans="1:20">
      <c r="A418" s="239" t="s">
        <v>222</v>
      </c>
      <c r="C418" s="4">
        <v>90487</v>
      </c>
      <c r="E418" s="154">
        <v>0.49059999999999998</v>
      </c>
      <c r="F418" s="155"/>
      <c r="G418" s="15">
        <f>ROUND(E418*$C418,0)</f>
        <v>44393</v>
      </c>
      <c r="I418" s="151"/>
      <c r="K418" s="15"/>
      <c r="M418" s="151"/>
      <c r="O418" s="15"/>
    </row>
    <row r="419" spans="1:20">
      <c r="A419" s="239" t="s">
        <v>223</v>
      </c>
      <c r="C419" s="4">
        <v>6354</v>
      </c>
      <c r="E419" s="156">
        <v>0.24529999999999999</v>
      </c>
      <c r="F419" s="157"/>
      <c r="G419" s="15">
        <f>ROUND(E419*$C419,0)</f>
        <v>1559</v>
      </c>
      <c r="I419" s="151"/>
      <c r="K419" s="15"/>
      <c r="M419" s="151"/>
      <c r="O419" s="15"/>
    </row>
    <row r="420" spans="1:20">
      <c r="A420" s="239" t="s">
        <v>224</v>
      </c>
      <c r="C420" s="48">
        <v>0</v>
      </c>
      <c r="E420" s="14">
        <v>41.97</v>
      </c>
      <c r="F420" s="124"/>
      <c r="G420" s="37">
        <f>ROUND(E420*$C420,0)</f>
        <v>0</v>
      </c>
      <c r="I420" s="151"/>
      <c r="K420" s="37"/>
      <c r="M420" s="151"/>
      <c r="O420" s="37"/>
    </row>
    <row r="421" spans="1:20">
      <c r="A421" s="239" t="s">
        <v>215</v>
      </c>
      <c r="C421" s="45"/>
      <c r="E421" s="30"/>
      <c r="F421" s="139"/>
      <c r="G421" s="24">
        <f>SUM(G401:G420)</f>
        <v>1527572</v>
      </c>
      <c r="I421" s="214"/>
      <c r="J421" s="146"/>
      <c r="K421" s="24">
        <f>SUM(K401:K420)</f>
        <v>0</v>
      </c>
      <c r="M421" s="214"/>
      <c r="N421" s="146"/>
      <c r="O421" s="24">
        <f>SUM(O401:O420)</f>
        <v>0</v>
      </c>
    </row>
    <row r="422" spans="1:20">
      <c r="A422" s="248" t="s">
        <v>227</v>
      </c>
      <c r="K422" s="202"/>
      <c r="O422" s="202"/>
    </row>
    <row r="423" spans="1:20">
      <c r="A423" s="238" t="s">
        <v>228</v>
      </c>
      <c r="C423" s="4"/>
      <c r="E423" s="129"/>
      <c r="F423" s="20"/>
      <c r="G423" s="15"/>
      <c r="I423" s="132"/>
      <c r="J423" s="133"/>
      <c r="K423" s="15"/>
      <c r="M423" s="132"/>
      <c r="N423" s="133"/>
      <c r="O423" s="15"/>
    </row>
    <row r="424" spans="1:20">
      <c r="A424" s="239" t="s">
        <v>91</v>
      </c>
      <c r="C424" s="4">
        <v>58046</v>
      </c>
      <c r="E424" s="129">
        <v>4.62</v>
      </c>
      <c r="F424" s="20"/>
      <c r="G424" s="15">
        <f>ROUND(E424*$C424,0)</f>
        <v>268173</v>
      </c>
      <c r="I424" s="151"/>
      <c r="K424" s="15"/>
      <c r="M424" s="151"/>
      <c r="O424" s="15"/>
    </row>
    <row r="425" spans="1:20">
      <c r="A425" s="239" t="s">
        <v>92</v>
      </c>
      <c r="C425" s="4">
        <v>0</v>
      </c>
      <c r="E425" s="129">
        <v>15.1</v>
      </c>
      <c r="F425" s="20"/>
      <c r="G425" s="15">
        <f>ROUND(E425*$C425,0)</f>
        <v>0</v>
      </c>
      <c r="I425" s="115">
        <v>2.0199999999999999E-2</v>
      </c>
      <c r="K425" s="15">
        <f t="shared" ref="K425" si="197">$G425*I425</f>
        <v>0</v>
      </c>
      <c r="M425" s="31">
        <f t="shared" ref="M425:M426" si="198">$R$151</f>
        <v>3.8899999999999997E-2</v>
      </c>
      <c r="O425" s="15">
        <f t="shared" ref="O425:O426" si="199">$G425*M425</f>
        <v>0</v>
      </c>
      <c r="S425" s="166">
        <f t="shared" ref="S425:S437" si="200">G425*I425-K425</f>
        <v>0</v>
      </c>
      <c r="T425" s="167">
        <f t="shared" ref="T425:T437" si="201">G425*M425-O425</f>
        <v>0</v>
      </c>
    </row>
    <row r="426" spans="1:20">
      <c r="A426" s="239" t="s">
        <v>93</v>
      </c>
      <c r="C426" s="4">
        <v>58046</v>
      </c>
      <c r="E426" s="129">
        <v>10.87</v>
      </c>
      <c r="F426" s="20"/>
      <c r="G426" s="15">
        <f>ROUND(E426*$C426,0)</f>
        <v>630960</v>
      </c>
      <c r="I426" s="115">
        <v>2.0199999999999999E-2</v>
      </c>
      <c r="K426" s="15">
        <f t="shared" ref="K426" si="202">$G426*I426</f>
        <v>12745.392</v>
      </c>
      <c r="M426" s="31">
        <f t="shared" si="198"/>
        <v>3.8899999999999997E-2</v>
      </c>
      <c r="O426" s="15">
        <f t="shared" si="199"/>
        <v>24544.343999999997</v>
      </c>
      <c r="S426" s="166">
        <f t="shared" si="200"/>
        <v>0</v>
      </c>
      <c r="T426" s="167">
        <f t="shared" si="201"/>
        <v>0</v>
      </c>
    </row>
    <row r="427" spans="1:20">
      <c r="A427" s="239" t="s">
        <v>35</v>
      </c>
      <c r="C427" s="4">
        <v>58046</v>
      </c>
      <c r="E427" s="129">
        <v>-1.1000000000000001</v>
      </c>
      <c r="F427" s="20"/>
      <c r="G427" s="15">
        <f>ROUND(E427*$C427,0)</f>
        <v>-63851</v>
      </c>
      <c r="I427" s="31"/>
      <c r="J427" s="124"/>
      <c r="K427" s="15"/>
      <c r="M427" s="31"/>
      <c r="N427" s="124"/>
      <c r="O427" s="15"/>
      <c r="S427" s="166"/>
      <c r="T427" s="167"/>
    </row>
    <row r="428" spans="1:20">
      <c r="A428" s="239" t="s">
        <v>30</v>
      </c>
      <c r="C428" s="4">
        <v>4826571</v>
      </c>
      <c r="E428" s="30">
        <v>4.8998999999999997</v>
      </c>
      <c r="F428" s="126" t="s">
        <v>12</v>
      </c>
      <c r="G428" s="15">
        <f>ROUND(E428*$C428/100,0)</f>
        <v>236497</v>
      </c>
      <c r="I428" s="115">
        <v>2.0199999999999999E-2</v>
      </c>
      <c r="K428" s="15">
        <f t="shared" ref="K428:K430" si="203">$G428*I428</f>
        <v>4777.2393999999995</v>
      </c>
      <c r="M428" s="31">
        <f t="shared" ref="M428:M430" si="204">$R$151</f>
        <v>3.8899999999999997E-2</v>
      </c>
      <c r="O428" s="15">
        <f t="shared" ref="O428:O430" si="205">$G428*M428</f>
        <v>9199.7332999999999</v>
      </c>
      <c r="S428" s="166">
        <f t="shared" si="200"/>
        <v>0</v>
      </c>
      <c r="T428" s="167">
        <f t="shared" si="201"/>
        <v>0</v>
      </c>
    </row>
    <row r="429" spans="1:20">
      <c r="A429" s="239" t="s">
        <v>55</v>
      </c>
      <c r="C429" s="4">
        <v>17172547</v>
      </c>
      <c r="E429" s="30">
        <v>3.8355999999999999</v>
      </c>
      <c r="F429" s="126" t="s">
        <v>12</v>
      </c>
      <c r="G429" s="15">
        <f>ROUND(E429*$C429/100,0)</f>
        <v>658670</v>
      </c>
      <c r="I429" s="115">
        <v>2.0199999999999999E-2</v>
      </c>
      <c r="K429" s="15">
        <f t="shared" si="203"/>
        <v>13305.134</v>
      </c>
      <c r="M429" s="31">
        <f t="shared" si="204"/>
        <v>3.8899999999999997E-2</v>
      </c>
      <c r="O429" s="15">
        <f t="shared" si="205"/>
        <v>25622.262999999999</v>
      </c>
      <c r="S429" s="166">
        <f t="shared" si="200"/>
        <v>0</v>
      </c>
      <c r="T429" s="167">
        <f t="shared" si="201"/>
        <v>0</v>
      </c>
    </row>
    <row r="430" spans="1:20">
      <c r="A430" s="239" t="s">
        <v>94</v>
      </c>
      <c r="C430" s="4">
        <v>22120759.026000001</v>
      </c>
      <c r="E430" s="30">
        <v>3.3018999999999998</v>
      </c>
      <c r="F430" s="126" t="s">
        <v>12</v>
      </c>
      <c r="G430" s="15">
        <f>ROUND(E430*$C430/100,0)</f>
        <v>730405</v>
      </c>
      <c r="I430" s="115">
        <v>2.0199999999999999E-2</v>
      </c>
      <c r="K430" s="15">
        <f t="shared" si="203"/>
        <v>14754.180999999999</v>
      </c>
      <c r="M430" s="31">
        <f t="shared" si="204"/>
        <v>3.8899999999999997E-2</v>
      </c>
      <c r="O430" s="15">
        <f t="shared" si="205"/>
        <v>28412.754499999999</v>
      </c>
      <c r="S430" s="166">
        <f t="shared" si="200"/>
        <v>0</v>
      </c>
      <c r="T430" s="167">
        <f t="shared" si="201"/>
        <v>0</v>
      </c>
    </row>
    <row r="431" spans="1:20">
      <c r="A431" s="238" t="s">
        <v>229</v>
      </c>
      <c r="C431" s="4"/>
      <c r="E431" s="129"/>
      <c r="F431" s="20"/>
      <c r="G431" s="15"/>
      <c r="K431" s="15"/>
      <c r="O431" s="15"/>
      <c r="S431" s="166"/>
      <c r="T431" s="167"/>
    </row>
    <row r="432" spans="1:20">
      <c r="A432" s="239" t="s">
        <v>91</v>
      </c>
      <c r="C432" s="4">
        <v>52999</v>
      </c>
      <c r="E432" s="129">
        <v>2.12</v>
      </c>
      <c r="F432" s="20"/>
      <c r="G432" s="15">
        <f>ROUND(E432*$C432,0)</f>
        <v>112358</v>
      </c>
      <c r="K432" s="15"/>
      <c r="O432" s="15"/>
      <c r="S432" s="166"/>
      <c r="T432" s="167"/>
    </row>
    <row r="433" spans="1:21">
      <c r="A433" s="239" t="s">
        <v>92</v>
      </c>
      <c r="C433" s="4">
        <v>52999</v>
      </c>
      <c r="E433" s="129">
        <v>13.32</v>
      </c>
      <c r="F433" s="20"/>
      <c r="G433" s="15">
        <f>ROUND(E433*$C433,0)</f>
        <v>705947</v>
      </c>
      <c r="I433" s="115">
        <v>2.23E-2</v>
      </c>
      <c r="J433" s="133"/>
      <c r="K433" s="15">
        <f t="shared" ref="K433" si="206">$G433*I433</f>
        <v>15742.6181</v>
      </c>
      <c r="M433" s="31">
        <f t="shared" ref="M433:M437" si="207">$R$163</f>
        <v>4.4900000000000002E-2</v>
      </c>
      <c r="N433" s="133"/>
      <c r="O433" s="15">
        <f t="shared" ref="O433:O437" si="208">$G433*M433</f>
        <v>31697.0203</v>
      </c>
      <c r="S433" s="166">
        <f t="shared" si="200"/>
        <v>0</v>
      </c>
      <c r="T433" s="167">
        <f t="shared" si="201"/>
        <v>0</v>
      </c>
    </row>
    <row r="434" spans="1:21">
      <c r="A434" s="239" t="s">
        <v>93</v>
      </c>
      <c r="C434" s="4">
        <v>0</v>
      </c>
      <c r="E434" s="129">
        <v>9.0299999999999994</v>
      </c>
      <c r="F434" s="20"/>
      <c r="G434" s="15">
        <f>ROUND(E434*$C434,0)</f>
        <v>0</v>
      </c>
      <c r="I434" s="115">
        <v>2.23E-2</v>
      </c>
      <c r="K434" s="15">
        <f t="shared" ref="K434:K437" si="209">$G434*I434</f>
        <v>0</v>
      </c>
      <c r="M434" s="31">
        <f t="shared" si="207"/>
        <v>4.4900000000000002E-2</v>
      </c>
      <c r="O434" s="15">
        <f t="shared" si="208"/>
        <v>0</v>
      </c>
      <c r="S434" s="166">
        <f t="shared" si="200"/>
        <v>0</v>
      </c>
      <c r="T434" s="167">
        <f t="shared" si="201"/>
        <v>0</v>
      </c>
    </row>
    <row r="435" spans="1:21">
      <c r="A435" s="239" t="s">
        <v>96</v>
      </c>
      <c r="C435" s="4">
        <v>4903975</v>
      </c>
      <c r="E435" s="143">
        <v>4.4379</v>
      </c>
      <c r="F435" s="126" t="s">
        <v>12</v>
      </c>
      <c r="G435" s="15">
        <f>ROUND(E435*$C435/100,0)</f>
        <v>217634</v>
      </c>
      <c r="I435" s="151">
        <v>2.23E-2</v>
      </c>
      <c r="K435" s="15">
        <f t="shared" si="209"/>
        <v>4853.2381999999998</v>
      </c>
      <c r="M435" s="31">
        <f t="shared" si="207"/>
        <v>4.4900000000000002E-2</v>
      </c>
      <c r="O435" s="15">
        <f t="shared" si="208"/>
        <v>9771.7666000000008</v>
      </c>
      <c r="S435" s="166">
        <f t="shared" si="200"/>
        <v>0</v>
      </c>
      <c r="T435" s="167">
        <f t="shared" si="201"/>
        <v>0</v>
      </c>
    </row>
    <row r="436" spans="1:21">
      <c r="A436" s="239" t="s">
        <v>97</v>
      </c>
      <c r="C436" s="4">
        <v>213357</v>
      </c>
      <c r="E436" s="143">
        <v>3.3371</v>
      </c>
      <c r="F436" s="126" t="s">
        <v>12</v>
      </c>
      <c r="G436" s="15">
        <f>ROUND(E436*$C436/100,0)</f>
        <v>7120</v>
      </c>
      <c r="I436" s="31">
        <v>2.23E-2</v>
      </c>
      <c r="J436" s="124"/>
      <c r="K436" s="15">
        <f t="shared" si="209"/>
        <v>158.77600000000001</v>
      </c>
      <c r="M436" s="31">
        <f t="shared" si="207"/>
        <v>4.4900000000000002E-2</v>
      </c>
      <c r="N436" s="124"/>
      <c r="O436" s="15">
        <f t="shared" si="208"/>
        <v>319.68800000000005</v>
      </c>
      <c r="S436" s="166">
        <f t="shared" si="200"/>
        <v>0</v>
      </c>
      <c r="T436" s="167">
        <f t="shared" si="201"/>
        <v>0</v>
      </c>
    </row>
    <row r="437" spans="1:21">
      <c r="A437" s="239" t="s">
        <v>94</v>
      </c>
      <c r="C437" s="48">
        <v>10541630</v>
      </c>
      <c r="E437" s="212">
        <v>2.7873000000000001</v>
      </c>
      <c r="F437" s="126" t="s">
        <v>12</v>
      </c>
      <c r="G437" s="37">
        <f>ROUND(E437*$C437/100,0)</f>
        <v>293827</v>
      </c>
      <c r="I437" s="31">
        <v>2.23E-2</v>
      </c>
      <c r="J437" s="126"/>
      <c r="K437" s="37">
        <f t="shared" si="209"/>
        <v>6552.3420999999998</v>
      </c>
      <c r="M437" s="31">
        <f t="shared" si="207"/>
        <v>4.4900000000000002E-2</v>
      </c>
      <c r="N437" s="126"/>
      <c r="O437" s="37">
        <f t="shared" si="208"/>
        <v>13192.8323</v>
      </c>
      <c r="S437" s="166">
        <f t="shared" si="200"/>
        <v>0</v>
      </c>
      <c r="T437" s="167">
        <f t="shared" si="201"/>
        <v>0</v>
      </c>
    </row>
    <row r="438" spans="1:21">
      <c r="A438" s="239" t="s">
        <v>215</v>
      </c>
      <c r="C438" s="16"/>
      <c r="E438" s="212"/>
      <c r="F438" s="126"/>
      <c r="G438" s="21">
        <f>SUM(G424:G437)</f>
        <v>3797740</v>
      </c>
      <c r="I438" s="151"/>
      <c r="K438" s="21">
        <f>SUM(K424:K437)</f>
        <v>72888.920799999993</v>
      </c>
      <c r="M438" s="151"/>
      <c r="O438" s="21">
        <f>SUM(O424:O437)</f>
        <v>142760.402</v>
      </c>
    </row>
    <row r="439" spans="1:21">
      <c r="A439" s="202" t="s">
        <v>87</v>
      </c>
      <c r="C439" s="45">
        <v>0</v>
      </c>
      <c r="E439" s="30"/>
      <c r="F439" s="139"/>
      <c r="G439" s="24">
        <v>0</v>
      </c>
      <c r="I439" s="151"/>
      <c r="K439" s="24"/>
      <c r="M439" s="151"/>
      <c r="O439" s="24"/>
    </row>
    <row r="440" spans="1:21" ht="16.5" thickBot="1">
      <c r="A440" s="239" t="s">
        <v>230</v>
      </c>
      <c r="C440" s="29">
        <v>59778839.026000001</v>
      </c>
      <c r="E440" s="209"/>
      <c r="G440" s="28">
        <f>G421+G438+G439</f>
        <v>5325312</v>
      </c>
      <c r="I440" s="133"/>
      <c r="J440" s="133"/>
      <c r="K440" s="28">
        <f>K421+K438+K439</f>
        <v>72888.920799999993</v>
      </c>
      <c r="M440" s="133"/>
      <c r="N440" s="133"/>
      <c r="O440" s="28">
        <f>O421+O438+O439</f>
        <v>142760.402</v>
      </c>
    </row>
    <row r="441" spans="1:21" ht="16.5" thickTop="1">
      <c r="I441" s="133"/>
      <c r="J441" s="133"/>
      <c r="K441" s="202"/>
      <c r="M441" s="133"/>
      <c r="N441" s="133"/>
      <c r="O441" s="202"/>
    </row>
    <row r="442" spans="1:21">
      <c r="A442" s="238" t="s">
        <v>294</v>
      </c>
      <c r="C442" s="4"/>
      <c r="K442" s="202"/>
      <c r="O442" s="202"/>
      <c r="U442" s="470" t="s">
        <v>511</v>
      </c>
    </row>
    <row r="443" spans="1:21">
      <c r="A443" s="239" t="s">
        <v>510</v>
      </c>
      <c r="C443" s="4">
        <v>12</v>
      </c>
      <c r="E443" s="30"/>
      <c r="F443" s="139"/>
      <c r="G443" s="51">
        <f>U443*$G$448/$U$448</f>
        <v>2856.4913680181376</v>
      </c>
      <c r="K443" s="51"/>
      <c r="O443" s="51"/>
      <c r="U443" s="471">
        <v>2412.7199999999998</v>
      </c>
    </row>
    <row r="444" spans="1:21">
      <c r="A444" s="239" t="s">
        <v>8</v>
      </c>
      <c r="C444" s="4">
        <v>879806</v>
      </c>
      <c r="E444" s="30"/>
      <c r="F444" s="139"/>
      <c r="G444" s="51">
        <f t="shared" ref="G444:G447" si="210">U444*$G$448/$U$448</f>
        <v>1572416.1439295735</v>
      </c>
      <c r="I444" s="31"/>
      <c r="J444" s="124"/>
      <c r="K444" s="51"/>
      <c r="M444" s="31"/>
      <c r="N444" s="124"/>
      <c r="O444" s="51"/>
      <c r="Q444" s="89" t="s">
        <v>15</v>
      </c>
      <c r="R444" s="17">
        <f>O448</f>
        <v>811165.79138445482</v>
      </c>
      <c r="S444" s="166"/>
      <c r="T444" s="167"/>
      <c r="U444" s="471">
        <v>1328132.8</v>
      </c>
    </row>
    <row r="445" spans="1:21">
      <c r="A445" s="239" t="s">
        <v>231</v>
      </c>
      <c r="C445" s="4">
        <v>1294638</v>
      </c>
      <c r="E445" s="30"/>
      <c r="F445" s="139"/>
      <c r="G445" s="51">
        <f t="shared" si="210"/>
        <v>8420564.1359255593</v>
      </c>
      <c r="I445" s="31">
        <v>1.7399999999999999E-2</v>
      </c>
      <c r="J445" s="126"/>
      <c r="K445" s="15">
        <f>$G445*I445</f>
        <v>146517.81596510473</v>
      </c>
      <c r="M445" s="31">
        <f>$R$448</f>
        <v>3.3099999999999997E-2</v>
      </c>
      <c r="N445" s="126"/>
      <c r="O445" s="15">
        <f>$G445*M445</f>
        <v>278720.67289913597</v>
      </c>
      <c r="Q445" s="90" t="s">
        <v>17</v>
      </c>
      <c r="R445" s="18">
        <f>'Exhibit-RMP(JRS-1)'!T34*1000+K448</f>
        <v>810017.39135850105</v>
      </c>
      <c r="S445" s="166">
        <f t="shared" ref="S445:S447" si="211">G445*I445-K445</f>
        <v>0</v>
      </c>
      <c r="T445" s="167">
        <f t="shared" ref="T445:T447" si="212">G445*M445-O445</f>
        <v>0</v>
      </c>
      <c r="U445" s="471">
        <v>7112384</v>
      </c>
    </row>
    <row r="446" spans="1:21">
      <c r="A446" s="239" t="s">
        <v>232</v>
      </c>
      <c r="C446" s="4">
        <v>231454981</v>
      </c>
      <c r="E446" s="158"/>
      <c r="F446" s="159"/>
      <c r="G446" s="51">
        <f t="shared" si="210"/>
        <v>8027542.2054822976</v>
      </c>
      <c r="I446" s="31">
        <v>1.7399999999999999E-2</v>
      </c>
      <c r="J446" s="126"/>
      <c r="K446" s="51">
        <f t="shared" ref="K446:K447" si="213">$G446*I446</f>
        <v>139679.23437539197</v>
      </c>
      <c r="M446" s="31">
        <f t="shared" ref="M446:M447" si="214">$R$448</f>
        <v>3.3099999999999997E-2</v>
      </c>
      <c r="N446" s="126"/>
      <c r="O446" s="51">
        <f t="shared" ref="O446:O447" si="215">$G446*M446</f>
        <v>265711.64700146404</v>
      </c>
      <c r="Q446" s="91" t="s">
        <v>19</v>
      </c>
      <c r="R446" s="19">
        <f>R445-R444</f>
        <v>-1148.4000259537715</v>
      </c>
      <c r="S446" s="166">
        <f t="shared" si="211"/>
        <v>0</v>
      </c>
      <c r="T446" s="167">
        <f t="shared" si="212"/>
        <v>0</v>
      </c>
      <c r="U446" s="471">
        <v>6780420.1500000004</v>
      </c>
    </row>
    <row r="447" spans="1:21">
      <c r="A447" s="239" t="s">
        <v>233</v>
      </c>
      <c r="C447" s="23">
        <v>312515610</v>
      </c>
      <c r="G447" s="24">
        <f t="shared" si="210"/>
        <v>8058413.0357660046</v>
      </c>
      <c r="I447" s="31">
        <v>1.7399999999999999E-2</v>
      </c>
      <c r="J447" s="126"/>
      <c r="K447" s="24">
        <f t="shared" si="213"/>
        <v>140216.38682232847</v>
      </c>
      <c r="M447" s="31">
        <f t="shared" si="214"/>
        <v>3.3099999999999997E-2</v>
      </c>
      <c r="N447" s="126"/>
      <c r="O447" s="24">
        <f t="shared" si="215"/>
        <v>266733.47148385475</v>
      </c>
      <c r="Q447" s="93"/>
      <c r="R447" s="94"/>
      <c r="S447" s="166">
        <f t="shared" si="211"/>
        <v>0</v>
      </c>
      <c r="T447" s="167">
        <f t="shared" si="212"/>
        <v>0</v>
      </c>
      <c r="U447" s="472">
        <v>6806495.0299999993</v>
      </c>
    </row>
    <row r="448" spans="1:21" ht="16.5" thickBot="1">
      <c r="A448" s="239" t="s">
        <v>26</v>
      </c>
      <c r="C448" s="29">
        <v>543970591</v>
      </c>
      <c r="E448" s="138"/>
      <c r="F448" s="139"/>
      <c r="G448" s="28">
        <v>26081792.012471452</v>
      </c>
      <c r="I448" s="153"/>
      <c r="J448" s="148"/>
      <c r="K448" s="28">
        <f>SUM(K445:K447)</f>
        <v>426413.43716282514</v>
      </c>
      <c r="M448" s="153"/>
      <c r="N448" s="148"/>
      <c r="O448" s="28">
        <f>SUM(O445:O447)</f>
        <v>811165.79138445482</v>
      </c>
      <c r="Q448" s="95" t="s">
        <v>22</v>
      </c>
      <c r="R448" s="96">
        <f>ROUND(R445/SUM(G445:G447),$R$11)</f>
        <v>3.3099999999999997E-2</v>
      </c>
      <c r="S448" s="166"/>
      <c r="T448" s="167"/>
      <c r="U448" s="473">
        <v>22029844.699999999</v>
      </c>
    </row>
    <row r="449" spans="1:20" ht="16.5" thickTop="1">
      <c r="C449" s="4"/>
      <c r="G449" s="30"/>
      <c r="I449" s="130"/>
      <c r="J449" s="139"/>
      <c r="K449" s="30"/>
      <c r="M449" s="130"/>
      <c r="N449" s="139"/>
      <c r="O449" s="30"/>
    </row>
    <row r="450" spans="1:20">
      <c r="A450" s="249" t="s">
        <v>295</v>
      </c>
      <c r="B450" s="201"/>
      <c r="C450" s="4"/>
      <c r="E450" s="30"/>
      <c r="F450" s="139"/>
      <c r="I450" s="130"/>
      <c r="J450" s="139"/>
      <c r="K450" s="202"/>
      <c r="M450" s="130"/>
      <c r="N450" s="139"/>
      <c r="O450" s="202"/>
      <c r="Q450" s="89" t="s">
        <v>15</v>
      </c>
      <c r="R450" s="17">
        <f>O453</f>
        <v>981686.12363357912</v>
      </c>
      <c r="S450" s="166"/>
      <c r="T450" s="167"/>
    </row>
    <row r="451" spans="1:20">
      <c r="A451" s="244" t="s">
        <v>8</v>
      </c>
      <c r="B451" s="201"/>
      <c r="C451" s="4">
        <v>12</v>
      </c>
      <c r="I451" s="31"/>
      <c r="J451" s="124"/>
      <c r="K451" s="202"/>
      <c r="M451" s="31"/>
      <c r="N451" s="124"/>
      <c r="O451" s="202"/>
      <c r="Q451" s="90" t="s">
        <v>17</v>
      </c>
      <c r="R451" s="18">
        <f>'Exhibit-RMP(JRS-1)'!T35*1000</f>
        <v>983183.74166392488</v>
      </c>
      <c r="S451" s="166"/>
      <c r="T451" s="167"/>
    </row>
    <row r="452" spans="1:20">
      <c r="A452" s="244" t="s">
        <v>360</v>
      </c>
      <c r="B452" s="201"/>
      <c r="C452" s="4">
        <v>717800151.75</v>
      </c>
      <c r="E452" s="160"/>
      <c r="F452" s="161"/>
      <c r="G452" s="37">
        <v>30487146.696695004</v>
      </c>
      <c r="I452" s="115">
        <v>7.7999999999999996E-3</v>
      </c>
      <c r="J452" s="133"/>
      <c r="K452" s="15">
        <f t="shared" ref="K452" si="216">$G452*I452</f>
        <v>237799.74423422103</v>
      </c>
      <c r="M452" s="115">
        <f>R453</f>
        <v>3.2199999999999999E-2</v>
      </c>
      <c r="N452" s="133"/>
      <c r="O452" s="15">
        <f>$G452*M452</f>
        <v>981686.12363357912</v>
      </c>
      <c r="Q452" s="91" t="s">
        <v>19</v>
      </c>
      <c r="R452" s="19">
        <f>R451-R450</f>
        <v>1497.6180303457659</v>
      </c>
      <c r="S452" s="166">
        <f t="shared" ref="S452" si="217">G452*I452-K452</f>
        <v>0</v>
      </c>
      <c r="T452" s="167">
        <f t="shared" ref="T452" si="218">G452*M452-O452</f>
        <v>0</v>
      </c>
    </row>
    <row r="453" spans="1:20" ht="16.5" thickBot="1">
      <c r="A453" s="239" t="s">
        <v>26</v>
      </c>
      <c r="B453" s="201"/>
      <c r="C453" s="52">
        <v>717800151.75</v>
      </c>
      <c r="E453" s="162"/>
      <c r="F453" s="139"/>
      <c r="G453" s="26">
        <v>30487146.696695004</v>
      </c>
      <c r="I453" s="149"/>
      <c r="J453" s="126"/>
      <c r="K453" s="26">
        <f>K452</f>
        <v>237799.74423422103</v>
      </c>
      <c r="M453" s="149"/>
      <c r="N453" s="126"/>
      <c r="O453" s="26">
        <f>O452</f>
        <v>981686.12363357912</v>
      </c>
      <c r="Q453" s="95" t="s">
        <v>22</v>
      </c>
      <c r="R453" s="96">
        <f>ROUND(R451/G452,$R$11)</f>
        <v>3.2199999999999999E-2</v>
      </c>
      <c r="S453" s="166"/>
      <c r="T453" s="167"/>
    </row>
    <row r="454" spans="1:20" ht="16.5" thickTop="1">
      <c r="A454" s="244"/>
      <c r="B454" s="201"/>
      <c r="C454" s="16"/>
      <c r="E454" s="133"/>
      <c r="F454" s="133"/>
      <c r="G454" s="21"/>
      <c r="I454" s="149"/>
      <c r="J454" s="126"/>
      <c r="K454" s="21"/>
      <c r="M454" s="149"/>
      <c r="N454" s="126"/>
      <c r="O454" s="21"/>
      <c r="R454" s="302"/>
    </row>
    <row r="455" spans="1:20">
      <c r="A455" s="238" t="s">
        <v>361</v>
      </c>
      <c r="C455" s="4"/>
      <c r="E455" s="30"/>
      <c r="F455" s="139"/>
      <c r="I455" s="149"/>
      <c r="J455" s="148"/>
      <c r="K455" s="202"/>
      <c r="M455" s="149"/>
      <c r="N455" s="148"/>
      <c r="O455" s="202"/>
    </row>
    <row r="456" spans="1:20">
      <c r="A456" s="239" t="s">
        <v>8</v>
      </c>
      <c r="C456" s="4">
        <v>12</v>
      </c>
      <c r="E456" s="14">
        <v>646</v>
      </c>
      <c r="F456" s="139"/>
      <c r="G456" s="15">
        <f>ROUND(E456*$C456,0)</f>
        <v>7752</v>
      </c>
      <c r="I456" s="145"/>
      <c r="J456" s="139"/>
      <c r="K456" s="15"/>
      <c r="M456" s="145"/>
      <c r="N456" s="139"/>
      <c r="O456" s="15"/>
    </row>
    <row r="457" spans="1:20">
      <c r="A457" s="239" t="s">
        <v>362</v>
      </c>
      <c r="C457" s="4">
        <v>693457</v>
      </c>
      <c r="E457" s="14">
        <v>2.08</v>
      </c>
      <c r="F457" s="139"/>
      <c r="G457" s="15">
        <f>ROUND(E457*$C457,0)</f>
        <v>1442391</v>
      </c>
      <c r="I457" s="151"/>
      <c r="K457" s="15"/>
      <c r="M457" s="151"/>
      <c r="O457" s="15"/>
    </row>
    <row r="458" spans="1:20">
      <c r="A458" s="239" t="s">
        <v>234</v>
      </c>
      <c r="C458" s="4"/>
      <c r="E458" s="129"/>
      <c r="F458" s="163"/>
      <c r="G458" s="51"/>
      <c r="I458" s="133"/>
      <c r="J458" s="133"/>
      <c r="K458" s="51"/>
      <c r="M458" s="133"/>
      <c r="N458" s="133"/>
      <c r="O458" s="51"/>
    </row>
    <row r="459" spans="1:20">
      <c r="A459" s="239" t="s">
        <v>222</v>
      </c>
      <c r="C459" s="4">
        <v>6274249</v>
      </c>
      <c r="E459" s="154">
        <v>0.49059999999999998</v>
      </c>
      <c r="F459" s="139"/>
      <c r="G459" s="15">
        <f t="shared" ref="G459:G461" si="219">ROUND(E459*$C459,0)</f>
        <v>3078147</v>
      </c>
      <c r="K459" s="15"/>
      <c r="O459" s="15"/>
    </row>
    <row r="460" spans="1:20">
      <c r="A460" s="239" t="s">
        <v>223</v>
      </c>
      <c r="C460" s="4">
        <v>0</v>
      </c>
      <c r="E460" s="156">
        <v>0.24529999999999999</v>
      </c>
      <c r="F460" s="139"/>
      <c r="G460" s="15">
        <f t="shared" si="219"/>
        <v>0</v>
      </c>
      <c r="K460" s="15"/>
      <c r="O460" s="15"/>
    </row>
    <row r="461" spans="1:20">
      <c r="A461" s="239" t="s">
        <v>235</v>
      </c>
      <c r="C461" s="4">
        <v>0</v>
      </c>
      <c r="E461" s="14">
        <v>41.97</v>
      </c>
      <c r="F461" s="139"/>
      <c r="G461" s="15">
        <f t="shared" si="219"/>
        <v>0</v>
      </c>
      <c r="I461" s="31"/>
      <c r="J461" s="124"/>
      <c r="K461" s="15"/>
      <c r="M461" s="31"/>
      <c r="N461" s="124"/>
      <c r="O461" s="15"/>
    </row>
    <row r="462" spans="1:20">
      <c r="A462" s="239" t="s">
        <v>236</v>
      </c>
      <c r="C462" s="4"/>
      <c r="E462" s="142"/>
      <c r="F462" s="163"/>
      <c r="G462" s="51"/>
      <c r="I462" s="31"/>
      <c r="J462" s="124"/>
      <c r="K462" s="51"/>
      <c r="M462" s="31"/>
      <c r="N462" s="124"/>
      <c r="O462" s="51"/>
    </row>
    <row r="463" spans="1:20">
      <c r="A463" s="239" t="s">
        <v>237</v>
      </c>
      <c r="C463" s="4">
        <v>334617</v>
      </c>
      <c r="E463" s="129">
        <v>13.32</v>
      </c>
      <c r="F463" s="20"/>
      <c r="G463" s="15">
        <f>ROUND(E463*$C463,0)</f>
        <v>4457098</v>
      </c>
      <c r="I463" s="31">
        <v>2.23E-2</v>
      </c>
      <c r="J463" s="124"/>
      <c r="K463" s="15">
        <f t="shared" ref="K463" si="220">$G463*I463</f>
        <v>99393.285400000008</v>
      </c>
      <c r="M463" s="31">
        <f t="shared" ref="M463:M464" si="221">$R$163</f>
        <v>4.4900000000000002E-2</v>
      </c>
      <c r="N463" s="124"/>
      <c r="O463" s="15">
        <f t="shared" ref="O463:O464" si="222">$G463*M463</f>
        <v>200123.70020000002</v>
      </c>
      <c r="S463" s="166">
        <f t="shared" ref="S463:S468" si="223">G463*I463-K463</f>
        <v>0</v>
      </c>
      <c r="T463" s="167">
        <f t="shared" ref="T463:T468" si="224">G463*M463-O463</f>
        <v>0</v>
      </c>
    </row>
    <row r="464" spans="1:20">
      <c r="A464" s="239" t="s">
        <v>238</v>
      </c>
      <c r="C464" s="4">
        <v>1495903</v>
      </c>
      <c r="E464" s="129">
        <v>9.0299999999999994</v>
      </c>
      <c r="F464" s="20"/>
      <c r="G464" s="15">
        <f>ROUND(E464*$C464,0)</f>
        <v>13508004</v>
      </c>
      <c r="I464" s="31">
        <v>2.23E-2</v>
      </c>
      <c r="J464" s="124"/>
      <c r="K464" s="15">
        <f t="shared" ref="K464" si="225">$G464*I464</f>
        <v>301228.48920000001</v>
      </c>
      <c r="M464" s="31">
        <f t="shared" si="221"/>
        <v>4.4900000000000002E-2</v>
      </c>
      <c r="N464" s="124"/>
      <c r="O464" s="15">
        <f t="shared" si="222"/>
        <v>606509.37959999999</v>
      </c>
      <c r="S464" s="166">
        <f t="shared" si="223"/>
        <v>0</v>
      </c>
      <c r="T464" s="167">
        <f t="shared" si="224"/>
        <v>0</v>
      </c>
    </row>
    <row r="465" spans="1:20">
      <c r="A465" s="239" t="s">
        <v>239</v>
      </c>
      <c r="C465" s="16"/>
      <c r="E465" s="163"/>
      <c r="F465" s="163"/>
      <c r="G465" s="21"/>
      <c r="I465" s="31"/>
      <c r="J465" s="124"/>
      <c r="K465" s="21"/>
      <c r="M465" s="31"/>
      <c r="N465" s="124"/>
      <c r="O465" s="21"/>
      <c r="S465" s="166"/>
      <c r="T465" s="167"/>
    </row>
    <row r="466" spans="1:20">
      <c r="A466" s="239" t="s">
        <v>240</v>
      </c>
      <c r="C466" s="4">
        <v>83697066</v>
      </c>
      <c r="E466" s="143">
        <v>4.4379</v>
      </c>
      <c r="F466" s="126" t="s">
        <v>12</v>
      </c>
      <c r="G466" s="15">
        <f>ROUND(E466*$C466/100,0)</f>
        <v>3714392</v>
      </c>
      <c r="I466" s="31">
        <v>2.23E-2</v>
      </c>
      <c r="J466" s="124"/>
      <c r="K466" s="15">
        <f t="shared" ref="K466:K468" si="226">$G466*I466</f>
        <v>82830.941600000006</v>
      </c>
      <c r="M466" s="31">
        <f t="shared" ref="M466:M468" si="227">$R$163</f>
        <v>4.4900000000000002E-2</v>
      </c>
      <c r="N466" s="124"/>
      <c r="O466" s="15">
        <f t="shared" ref="O466:O468" si="228">$G466*M466</f>
        <v>166776.20080000002</v>
      </c>
      <c r="S466" s="166">
        <f t="shared" si="223"/>
        <v>0</v>
      </c>
      <c r="T466" s="167">
        <f t="shared" si="224"/>
        <v>0</v>
      </c>
    </row>
    <row r="467" spans="1:20">
      <c r="A467" s="239" t="s">
        <v>241</v>
      </c>
      <c r="C467" s="4">
        <v>449581129</v>
      </c>
      <c r="E467" s="143">
        <v>3.3371</v>
      </c>
      <c r="F467" s="126" t="s">
        <v>12</v>
      </c>
      <c r="G467" s="15">
        <f t="shared" ref="G467:G468" si="229">ROUND(E467*$C467/100,0)</f>
        <v>15002972</v>
      </c>
      <c r="I467" s="31">
        <v>2.23E-2</v>
      </c>
      <c r="J467" s="124"/>
      <c r="K467" s="15">
        <f t="shared" si="226"/>
        <v>334566.27559999999</v>
      </c>
      <c r="M467" s="31">
        <f t="shared" si="227"/>
        <v>4.4900000000000002E-2</v>
      </c>
      <c r="N467" s="124"/>
      <c r="O467" s="15">
        <f t="shared" si="228"/>
        <v>673633.44280000008</v>
      </c>
      <c r="S467" s="166">
        <f t="shared" si="223"/>
        <v>0</v>
      </c>
      <c r="T467" s="167">
        <f t="shared" si="224"/>
        <v>0</v>
      </c>
    </row>
    <row r="468" spans="1:20">
      <c r="A468" s="239" t="s">
        <v>242</v>
      </c>
      <c r="C468" s="48">
        <v>838320905</v>
      </c>
      <c r="E468" s="212">
        <v>2.7873000000000001</v>
      </c>
      <c r="F468" s="126" t="s">
        <v>12</v>
      </c>
      <c r="G468" s="37">
        <f t="shared" si="229"/>
        <v>23366519</v>
      </c>
      <c r="I468" s="31">
        <v>2.23E-2</v>
      </c>
      <c r="J468" s="124"/>
      <c r="K468" s="37">
        <f t="shared" si="226"/>
        <v>521073.3737</v>
      </c>
      <c r="M468" s="31">
        <f t="shared" si="227"/>
        <v>4.4900000000000002E-2</v>
      </c>
      <c r="N468" s="124"/>
      <c r="O468" s="37">
        <f t="shared" si="228"/>
        <v>1049156.7031</v>
      </c>
      <c r="S468" s="166">
        <f t="shared" si="223"/>
        <v>0</v>
      </c>
      <c r="T468" s="167">
        <f t="shared" si="224"/>
        <v>0</v>
      </c>
    </row>
    <row r="469" spans="1:20" ht="16.5" thickBot="1">
      <c r="A469" s="239" t="s">
        <v>243</v>
      </c>
      <c r="C469" s="29">
        <v>1371599100</v>
      </c>
      <c r="E469" s="138"/>
      <c r="F469" s="139"/>
      <c r="G469" s="28">
        <f>SUM(G456:G468)</f>
        <v>64577275</v>
      </c>
      <c r="I469" s="31"/>
      <c r="J469" s="124"/>
      <c r="K469" s="28">
        <f>SUM(K456:K468)</f>
        <v>1339092.3654999998</v>
      </c>
      <c r="M469" s="31"/>
      <c r="N469" s="124"/>
      <c r="O469" s="28">
        <f>SUM(O456:O468)</f>
        <v>2696199.4265000001</v>
      </c>
    </row>
    <row r="470" spans="1:20" ht="16.5" thickTop="1">
      <c r="C470" s="4"/>
      <c r="E470" s="30"/>
      <c r="F470" s="139"/>
      <c r="K470" s="202"/>
      <c r="O470" s="202"/>
    </row>
    <row r="471" spans="1:20">
      <c r="A471" s="238" t="s">
        <v>244</v>
      </c>
      <c r="C471" s="4"/>
      <c r="E471" s="30"/>
      <c r="F471" s="139"/>
      <c r="I471" s="151"/>
      <c r="K471" s="201"/>
      <c r="M471" s="151"/>
      <c r="O471" s="201"/>
    </row>
    <row r="472" spans="1:20">
      <c r="A472" s="244" t="s">
        <v>245</v>
      </c>
      <c r="B472" s="201"/>
      <c r="C472" s="4">
        <v>1</v>
      </c>
      <c r="E472" s="14"/>
      <c r="F472" s="124"/>
      <c r="G472" s="15"/>
      <c r="I472" s="132"/>
      <c r="J472" s="133"/>
      <c r="K472" s="15"/>
      <c r="M472" s="132"/>
      <c r="N472" s="133"/>
      <c r="O472" s="15"/>
    </row>
    <row r="473" spans="1:20">
      <c r="A473" s="244" t="s">
        <v>246</v>
      </c>
      <c r="B473" s="201"/>
      <c r="C473" s="4">
        <v>972</v>
      </c>
      <c r="E473" s="154">
        <v>17.775099999999998</v>
      </c>
      <c r="F473" s="155"/>
      <c r="G473" s="15">
        <f>ROUND(E473*$C473,0)</f>
        <v>17277</v>
      </c>
      <c r="K473" s="15"/>
      <c r="O473" s="15"/>
    </row>
    <row r="474" spans="1:20">
      <c r="A474" s="244" t="s">
        <v>32</v>
      </c>
      <c r="B474" s="201"/>
      <c r="C474" s="4">
        <v>135421</v>
      </c>
      <c r="E474" s="134"/>
      <c r="F474" s="126"/>
      <c r="G474" s="15"/>
      <c r="I474" s="130"/>
      <c r="J474" s="139"/>
      <c r="K474" s="15"/>
      <c r="M474" s="130"/>
      <c r="N474" s="139"/>
      <c r="O474" s="15"/>
    </row>
    <row r="475" spans="1:20">
      <c r="A475" s="202" t="s">
        <v>87</v>
      </c>
      <c r="C475" s="45">
        <v>0</v>
      </c>
      <c r="E475" s="30"/>
      <c r="F475" s="139"/>
      <c r="G475" s="24">
        <v>0</v>
      </c>
      <c r="K475" s="24"/>
      <c r="O475" s="24"/>
    </row>
    <row r="476" spans="1:20" ht="16.5" thickBot="1">
      <c r="A476" s="244" t="s">
        <v>26</v>
      </c>
      <c r="B476" s="201"/>
      <c r="C476" s="29">
        <v>135421</v>
      </c>
      <c r="E476" s="138"/>
      <c r="F476" s="139"/>
      <c r="G476" s="28">
        <f>SUM(G472:G475)</f>
        <v>17277</v>
      </c>
      <c r="I476" s="31"/>
      <c r="J476" s="124"/>
      <c r="K476" s="28">
        <f>SUM(K472:K475)</f>
        <v>0</v>
      </c>
      <c r="M476" s="31"/>
      <c r="N476" s="124"/>
      <c r="O476" s="28">
        <f>SUM(O472:O475)</f>
        <v>0</v>
      </c>
    </row>
    <row r="477" spans="1:20" ht="16.5" thickTop="1">
      <c r="A477" s="244"/>
      <c r="B477" s="201"/>
      <c r="C477" s="16"/>
      <c r="E477" s="139"/>
      <c r="F477" s="139"/>
      <c r="G477" s="21"/>
      <c r="I477" s="31"/>
      <c r="J477" s="124"/>
      <c r="K477" s="21"/>
      <c r="M477" s="31"/>
      <c r="N477" s="124"/>
      <c r="O477" s="21"/>
    </row>
    <row r="478" spans="1:20">
      <c r="A478" s="238" t="s">
        <v>247</v>
      </c>
      <c r="C478" s="4"/>
      <c r="I478" s="130"/>
      <c r="J478" s="20"/>
      <c r="K478" s="202"/>
      <c r="M478" s="130"/>
      <c r="N478" s="20"/>
      <c r="O478" s="202"/>
    </row>
    <row r="479" spans="1:20">
      <c r="A479" s="239" t="s">
        <v>248</v>
      </c>
      <c r="C479" s="4">
        <v>62</v>
      </c>
      <c r="E479" s="14">
        <v>2.1800000000000002</v>
      </c>
      <c r="F479" s="124"/>
      <c r="G479" s="15">
        <f>ROUND(E479*$C479,0)</f>
        <v>135</v>
      </c>
      <c r="I479" s="31"/>
      <c r="J479" s="155"/>
      <c r="K479" s="15"/>
      <c r="M479" s="31"/>
      <c r="N479" s="155"/>
      <c r="O479" s="15"/>
    </row>
    <row r="480" spans="1:20">
      <c r="A480" s="239" t="s">
        <v>249</v>
      </c>
      <c r="C480" s="48">
        <v>213</v>
      </c>
      <c r="E480" s="213">
        <v>2.1858</v>
      </c>
      <c r="F480" s="126"/>
      <c r="G480" s="37">
        <f>ROUND(E480*$C480,0)</f>
        <v>466</v>
      </c>
      <c r="I480" s="130"/>
      <c r="J480" s="157"/>
      <c r="K480" s="37"/>
      <c r="M480" s="130"/>
      <c r="N480" s="157"/>
      <c r="O480" s="37"/>
    </row>
    <row r="481" spans="1:17">
      <c r="A481" s="239" t="s">
        <v>156</v>
      </c>
      <c r="C481" s="16">
        <v>275</v>
      </c>
      <c r="E481" s="201"/>
      <c r="G481" s="21">
        <f>SUM(G479:G480)</f>
        <v>601</v>
      </c>
      <c r="I481" s="31"/>
      <c r="J481" s="124"/>
      <c r="K481" s="21">
        <f>SUM(K479:K480)</f>
        <v>0</v>
      </c>
      <c r="M481" s="31"/>
      <c r="N481" s="124"/>
      <c r="O481" s="21">
        <f>SUM(O479:O480)</f>
        <v>0</v>
      </c>
    </row>
    <row r="482" spans="1:17">
      <c r="A482" s="239" t="s">
        <v>250</v>
      </c>
      <c r="C482" s="47">
        <v>7972.13</v>
      </c>
      <c r="E482" s="201"/>
      <c r="G482" s="201"/>
      <c r="I482" s="151"/>
      <c r="K482" s="201"/>
      <c r="M482" s="151"/>
      <c r="O482" s="201"/>
    </row>
    <row r="483" spans="1:17">
      <c r="A483" s="239" t="s">
        <v>88</v>
      </c>
      <c r="C483" s="13">
        <v>5</v>
      </c>
      <c r="I483" s="31"/>
      <c r="J483" s="124"/>
      <c r="K483" s="202"/>
      <c r="M483" s="31"/>
      <c r="N483" s="124"/>
      <c r="O483" s="202"/>
    </row>
    <row r="484" spans="1:17">
      <c r="A484" s="239" t="s">
        <v>87</v>
      </c>
      <c r="C484" s="45">
        <v>0</v>
      </c>
      <c r="E484" s="211"/>
      <c r="G484" s="24">
        <v>0</v>
      </c>
      <c r="I484" s="31"/>
      <c r="J484" s="124"/>
      <c r="K484" s="24"/>
      <c r="M484" s="31"/>
      <c r="N484" s="124"/>
      <c r="O484" s="24"/>
    </row>
    <row r="485" spans="1:17" ht="16.5" thickBot="1">
      <c r="A485" s="239" t="s">
        <v>157</v>
      </c>
      <c r="C485" s="43">
        <v>7972.13</v>
      </c>
      <c r="E485" s="46"/>
      <c r="F485" s="146"/>
      <c r="G485" s="46">
        <f>G484+G481</f>
        <v>601</v>
      </c>
      <c r="I485" s="130"/>
      <c r="J485" s="124"/>
      <c r="K485" s="46">
        <f>K484+K481</f>
        <v>0</v>
      </c>
      <c r="M485" s="130"/>
      <c r="N485" s="124"/>
      <c r="O485" s="46">
        <f>O484+O481</f>
        <v>0</v>
      </c>
    </row>
    <row r="486" spans="1:17" ht="16.5" thickTop="1">
      <c r="C486" s="4"/>
      <c r="I486" s="31"/>
      <c r="J486" s="155"/>
      <c r="K486" s="202"/>
      <c r="M486" s="31"/>
      <c r="N486" s="155"/>
      <c r="O486" s="202"/>
    </row>
    <row r="487" spans="1:17">
      <c r="A487" s="249" t="s">
        <v>251</v>
      </c>
      <c r="B487" s="201"/>
      <c r="E487" s="30"/>
      <c r="F487" s="139"/>
      <c r="I487" s="130"/>
      <c r="J487" s="157"/>
      <c r="K487" s="202"/>
      <c r="M487" s="130"/>
      <c r="N487" s="157"/>
      <c r="O487" s="202"/>
    </row>
    <row r="488" spans="1:17">
      <c r="A488" s="244" t="s">
        <v>252</v>
      </c>
      <c r="B488" s="201"/>
      <c r="C488" s="53"/>
      <c r="E488" s="30"/>
      <c r="F488" s="139"/>
      <c r="G488" s="15">
        <v>36561</v>
      </c>
      <c r="I488" s="31"/>
      <c r="J488" s="124"/>
      <c r="K488" s="15"/>
      <c r="M488" s="31"/>
      <c r="N488" s="124"/>
      <c r="O488" s="15"/>
    </row>
    <row r="489" spans="1:17">
      <c r="A489" s="244" t="s">
        <v>253</v>
      </c>
      <c r="B489" s="201"/>
      <c r="C489" s="53"/>
      <c r="E489" s="30"/>
      <c r="F489" s="139"/>
      <c r="G489" s="15">
        <v>3441281.67</v>
      </c>
      <c r="K489" s="15"/>
      <c r="O489" s="15"/>
    </row>
    <row r="490" spans="1:17">
      <c r="A490" s="244" t="s">
        <v>254</v>
      </c>
      <c r="B490" s="201"/>
      <c r="C490" s="53"/>
      <c r="E490" s="30"/>
      <c r="F490" s="139"/>
      <c r="G490" s="15">
        <v>842690.75999999989</v>
      </c>
      <c r="I490" s="31"/>
      <c r="J490" s="124"/>
      <c r="K490" s="15"/>
      <c r="M490" s="31"/>
      <c r="N490" s="124"/>
      <c r="O490" s="15"/>
    </row>
    <row r="491" spans="1:17">
      <c r="A491" s="244" t="s">
        <v>255</v>
      </c>
      <c r="B491" s="201"/>
      <c r="C491" s="53"/>
      <c r="E491" s="30"/>
      <c r="F491" s="139"/>
      <c r="G491" s="15">
        <v>206452.67</v>
      </c>
      <c r="I491" s="31"/>
      <c r="J491" s="124"/>
      <c r="K491" s="15"/>
      <c r="M491" s="31"/>
      <c r="N491" s="124"/>
      <c r="O491" s="15"/>
    </row>
    <row r="492" spans="1:17">
      <c r="A492" s="244" t="s">
        <v>256</v>
      </c>
      <c r="B492" s="201"/>
      <c r="C492" s="53"/>
      <c r="E492" s="30"/>
      <c r="F492" s="139"/>
      <c r="G492" s="15">
        <v>4661.6400000000003</v>
      </c>
      <c r="I492" s="130"/>
      <c r="J492" s="20"/>
      <c r="K492" s="15"/>
      <c r="M492" s="130"/>
      <c r="N492" s="20"/>
      <c r="O492" s="15"/>
    </row>
    <row r="493" spans="1:17">
      <c r="A493" s="244" t="s">
        <v>257</v>
      </c>
      <c r="B493" s="201"/>
      <c r="C493" s="53"/>
      <c r="E493" s="30"/>
      <c r="F493" s="139"/>
      <c r="G493" s="15">
        <v>0</v>
      </c>
      <c r="I493" s="31"/>
      <c r="J493" s="155"/>
      <c r="K493" s="15"/>
      <c r="M493" s="31"/>
      <c r="N493" s="155"/>
      <c r="O493" s="15"/>
    </row>
    <row r="494" spans="1:17" ht="16.5" thickBot="1">
      <c r="A494" s="244" t="s">
        <v>258</v>
      </c>
      <c r="B494" s="201"/>
      <c r="C494" s="54"/>
      <c r="E494" s="162"/>
      <c r="F494" s="139"/>
      <c r="G494" s="26">
        <f>SUM(G488:G493)</f>
        <v>4531647.7399999993</v>
      </c>
      <c r="I494" s="130"/>
      <c r="J494" s="157"/>
      <c r="K494" s="26">
        <f>SUM(K488:K493)</f>
        <v>0</v>
      </c>
      <c r="M494" s="130"/>
      <c r="N494" s="157"/>
      <c r="O494" s="26">
        <f>SUM(O488:O493)</f>
        <v>0</v>
      </c>
    </row>
    <row r="495" spans="1:17" ht="16.5" thickTop="1">
      <c r="A495" s="201"/>
      <c r="B495" s="201"/>
      <c r="E495" s="30"/>
      <c r="F495" s="139"/>
      <c r="G495" s="15"/>
      <c r="I495" s="31"/>
      <c r="J495" s="124"/>
      <c r="K495" s="15"/>
      <c r="M495" s="31"/>
      <c r="N495" s="124"/>
      <c r="O495" s="15"/>
    </row>
    <row r="496" spans="1:17" ht="16.5" thickBot="1">
      <c r="A496" s="208" t="s">
        <v>259</v>
      </c>
      <c r="B496" s="208"/>
      <c r="C496" s="54">
        <v>23734642546.710003</v>
      </c>
      <c r="E496" s="208"/>
      <c r="G496" s="26">
        <f>G27+G46+G67+G79+G91+G103+G143+G155+G166+G174+G190+G206+G258+G352+G361+G367+G384+G397+G440+G448+G453+G469+G476+G485+G494</f>
        <v>1926847722.4491665</v>
      </c>
      <c r="I496" s="130"/>
      <c r="J496" s="139"/>
      <c r="K496" s="26">
        <f>K27+K46+K67+K79+K91+K103+K143+K155+K166+K174+K190+K206+K258+K352+K361+K367+K384+K397+K440+K448+K453+K469+K476+K485+K494</f>
        <v>31857259.286897048</v>
      </c>
      <c r="M496" s="130"/>
      <c r="N496" s="139"/>
      <c r="O496" s="26">
        <f>O27+O46+O67+O79+O91+O103+O143+O155+O166+O174+O190+O206+O258+O352+O361+O367+O384+O397+O440+O448+O453+O469+O476+O485+O494</f>
        <v>60203284.102618046</v>
      </c>
      <c r="Q496" s="463">
        <f>O496/K496-1</f>
        <v>0.88978228040413287</v>
      </c>
    </row>
    <row r="497" spans="9:15" ht="16.5" thickTop="1">
      <c r="I497" s="151"/>
      <c r="K497" s="201"/>
      <c r="M497" s="151"/>
    </row>
    <row r="498" spans="9:15">
      <c r="O498" s="462"/>
    </row>
  </sheetData>
  <printOptions horizontalCentered="1"/>
  <pageMargins left="1" right="0.5" top="1" bottom="0.55000000000000004" header="0.25" footer="0.25"/>
  <pageSetup scale="58" fitToHeight="88" orientation="portrait" r:id="rId1"/>
  <headerFooter alignWithMargins="0">
    <oddFooter>Page &amp;P of &amp;N</oddFooter>
  </headerFooter>
  <rowBreaks count="3" manualBreakCount="3">
    <brk id="68" max="14" man="1"/>
    <brk id="373" max="14" man="1"/>
    <brk id="435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6"/>
  <sheetViews>
    <sheetView view="pageBreakPreview" topLeftCell="A16" zoomScale="60" zoomScaleNormal="70" workbookViewId="0">
      <selection activeCell="W25" sqref="W25"/>
    </sheetView>
  </sheetViews>
  <sheetFormatPr defaultRowHeight="15.75"/>
  <cols>
    <col min="1" max="1" width="4.625" style="174" customWidth="1"/>
    <col min="2" max="2" width="1.625" style="174" customWidth="1"/>
    <col min="3" max="3" width="35.625" style="174" customWidth="1"/>
    <col min="4" max="4" width="1.5" style="176" customWidth="1"/>
    <col min="5" max="5" width="7.5" style="174" bestFit="1" customWidth="1"/>
    <col min="6" max="6" width="2.125" style="176" customWidth="1"/>
    <col min="7" max="7" width="15.25" style="176" customWidth="1"/>
    <col min="8" max="8" width="1.75" style="176" customWidth="1"/>
    <col min="9" max="9" width="12.125" style="227" bestFit="1" customWidth="1"/>
    <col min="10" max="10" width="1.75" style="176" customWidth="1"/>
    <col min="11" max="11" width="9.5" style="176" bestFit="1" customWidth="1"/>
    <col min="12" max="12" width="6.5" style="176" bestFit="1" customWidth="1"/>
    <col min="13" max="13" width="1.875" style="174" customWidth="1"/>
    <col min="14" max="14" width="10.125" style="174" bestFit="1" customWidth="1"/>
    <col min="15" max="15" width="2.25" style="174" customWidth="1"/>
    <col min="16" max="16" width="9" style="174"/>
    <col min="17" max="17" width="2.75" style="174" customWidth="1"/>
    <col min="18" max="18" width="12.625" style="174" customWidth="1"/>
    <col min="19" max="19" width="3" style="174" customWidth="1"/>
    <col min="20" max="16384" width="9" style="174"/>
  </cols>
  <sheetData>
    <row r="1" spans="1:21">
      <c r="A1" s="111" t="s">
        <v>374</v>
      </c>
      <c r="B1" s="111"/>
      <c r="C1" s="111"/>
      <c r="D1" s="172"/>
      <c r="E1" s="111"/>
      <c r="F1" s="172"/>
      <c r="G1" s="173"/>
      <c r="H1" s="172"/>
      <c r="I1" s="220"/>
      <c r="J1" s="172"/>
      <c r="K1" s="173"/>
      <c r="L1" s="172"/>
      <c r="M1" s="175"/>
      <c r="N1" s="175"/>
      <c r="O1" s="175"/>
      <c r="P1" s="175"/>
      <c r="Q1" s="175"/>
      <c r="R1" s="175"/>
    </row>
    <row r="2" spans="1:21" s="55" customFormat="1">
      <c r="A2" s="111" t="s">
        <v>260</v>
      </c>
      <c r="B2" s="111"/>
      <c r="C2" s="111"/>
      <c r="D2" s="172"/>
      <c r="E2" s="111"/>
      <c r="F2" s="172"/>
      <c r="G2" s="173"/>
      <c r="H2" s="172"/>
      <c r="I2" s="220"/>
      <c r="J2" s="172"/>
      <c r="K2" s="173"/>
      <c r="L2" s="172"/>
      <c r="M2" s="175"/>
      <c r="N2" s="175"/>
      <c r="O2" s="175"/>
      <c r="P2" s="175"/>
      <c r="Q2" s="175"/>
      <c r="R2" s="175"/>
    </row>
    <row r="3" spans="1:21" s="55" customFormat="1">
      <c r="A3" s="111" t="s">
        <v>343</v>
      </c>
      <c r="B3" s="111"/>
      <c r="C3" s="111"/>
      <c r="D3" s="172"/>
      <c r="E3" s="111"/>
      <c r="F3" s="172"/>
      <c r="G3" s="173"/>
      <c r="H3" s="172"/>
      <c r="I3" s="220"/>
      <c r="J3" s="172"/>
      <c r="K3" s="173"/>
      <c r="L3" s="172"/>
      <c r="M3" s="175"/>
      <c r="N3" s="175"/>
      <c r="O3" s="175"/>
      <c r="P3" s="175"/>
      <c r="Q3" s="175"/>
      <c r="R3" s="175"/>
    </row>
    <row r="4" spans="1:21" s="55" customFormat="1">
      <c r="A4" s="111" t="s">
        <v>261</v>
      </c>
      <c r="B4" s="111"/>
      <c r="C4" s="111"/>
      <c r="D4" s="172"/>
      <c r="E4" s="111"/>
      <c r="F4" s="172"/>
      <c r="G4" s="173"/>
      <c r="H4" s="172"/>
      <c r="I4" s="220"/>
      <c r="J4" s="172"/>
      <c r="K4" s="173"/>
      <c r="L4" s="172"/>
      <c r="M4" s="175"/>
      <c r="N4" s="175"/>
      <c r="O4" s="175"/>
      <c r="P4" s="175"/>
      <c r="Q4" s="175"/>
      <c r="R4" s="175"/>
    </row>
    <row r="5" spans="1:21" s="55" customFormat="1">
      <c r="A5" s="111" t="s">
        <v>363</v>
      </c>
      <c r="B5" s="111"/>
      <c r="C5" s="111"/>
      <c r="D5" s="172"/>
      <c r="E5" s="111"/>
      <c r="F5" s="172"/>
      <c r="G5" s="173"/>
      <c r="H5" s="172"/>
      <c r="I5" s="220"/>
      <c r="J5" s="172"/>
      <c r="K5" s="173"/>
      <c r="L5" s="172"/>
      <c r="M5" s="175"/>
      <c r="N5" s="175"/>
      <c r="O5" s="175"/>
      <c r="P5" s="175"/>
      <c r="Q5" s="175"/>
      <c r="R5" s="175"/>
    </row>
    <row r="6" spans="1:21">
      <c r="A6" s="111" t="s">
        <v>364</v>
      </c>
      <c r="B6" s="111"/>
      <c r="C6" s="111"/>
      <c r="D6" s="172"/>
      <c r="E6" s="111"/>
      <c r="F6" s="172"/>
      <c r="G6" s="173"/>
      <c r="H6" s="172"/>
      <c r="I6" s="220"/>
      <c r="J6" s="172"/>
      <c r="K6" s="173"/>
      <c r="L6" s="172"/>
      <c r="M6" s="175"/>
      <c r="N6" s="175"/>
      <c r="O6" s="175"/>
      <c r="P6" s="175"/>
      <c r="Q6" s="175"/>
      <c r="R6" s="175"/>
    </row>
    <row r="7" spans="1:21">
      <c r="A7" s="111"/>
      <c r="B7" s="111"/>
      <c r="C7" s="111"/>
      <c r="D7" s="172"/>
      <c r="E7" s="111"/>
      <c r="F7" s="172"/>
      <c r="G7" s="173"/>
      <c r="H7" s="172"/>
      <c r="I7" s="221"/>
      <c r="J7" s="172"/>
      <c r="K7" s="216"/>
      <c r="L7" s="108"/>
    </row>
    <row r="8" spans="1:21">
      <c r="A8" s="111"/>
      <c r="B8" s="111"/>
      <c r="C8" s="111"/>
      <c r="D8" s="172"/>
      <c r="E8" s="111"/>
      <c r="F8" s="172"/>
      <c r="G8" s="172" t="s">
        <v>366</v>
      </c>
      <c r="H8" s="215"/>
      <c r="I8" s="222" t="s">
        <v>2</v>
      </c>
      <c r="J8" s="215"/>
      <c r="K8" s="108"/>
      <c r="L8" s="108"/>
    </row>
    <row r="9" spans="1:21">
      <c r="D9" s="107"/>
      <c r="E9" s="177"/>
      <c r="F9" s="107"/>
      <c r="G9" s="106" t="s">
        <v>365</v>
      </c>
      <c r="H9" s="107"/>
      <c r="I9" s="223" t="s">
        <v>438</v>
      </c>
      <c r="J9" s="107"/>
      <c r="K9" s="108"/>
      <c r="L9" s="108"/>
      <c r="N9" s="218" t="s">
        <v>368</v>
      </c>
      <c r="O9" s="218"/>
      <c r="P9" s="218"/>
    </row>
    <row r="10" spans="1:21" s="110" customFormat="1">
      <c r="A10" s="110" t="s">
        <v>262</v>
      </c>
      <c r="D10" s="107"/>
      <c r="E10" s="177" t="s">
        <v>263</v>
      </c>
      <c r="F10" s="107"/>
      <c r="G10" s="107" t="s">
        <v>345</v>
      </c>
      <c r="H10" s="106"/>
      <c r="I10" s="110" t="s">
        <v>439</v>
      </c>
      <c r="J10" s="106"/>
      <c r="K10" s="164" t="s">
        <v>367</v>
      </c>
      <c r="L10" s="164"/>
      <c r="N10" s="230" t="s">
        <v>369</v>
      </c>
      <c r="O10" s="231"/>
      <c r="P10" s="230" t="s">
        <v>370</v>
      </c>
      <c r="R10" s="164" t="s">
        <v>371</v>
      </c>
      <c r="T10" s="110" t="s">
        <v>447</v>
      </c>
    </row>
    <row r="11" spans="1:21" s="110" customFormat="1">
      <c r="A11" s="110" t="s">
        <v>265</v>
      </c>
      <c r="C11" s="177" t="s">
        <v>266</v>
      </c>
      <c r="E11" s="178" t="s">
        <v>265</v>
      </c>
      <c r="G11" s="109" t="s">
        <v>268</v>
      </c>
      <c r="I11" s="224" t="s">
        <v>268</v>
      </c>
      <c r="K11" s="224" t="s">
        <v>268</v>
      </c>
      <c r="L11" s="72" t="s">
        <v>311</v>
      </c>
      <c r="N11" s="224" t="s">
        <v>268</v>
      </c>
      <c r="P11" s="224" t="s">
        <v>268</v>
      </c>
      <c r="R11" s="224" t="s">
        <v>268</v>
      </c>
      <c r="T11" s="224" t="s">
        <v>268</v>
      </c>
      <c r="U11" s="72" t="s">
        <v>311</v>
      </c>
    </row>
    <row r="12" spans="1:21" s="110" customFormat="1">
      <c r="C12" s="56">
        <v>-1</v>
      </c>
      <c r="D12" s="57"/>
      <c r="E12" s="56">
        <v>-2</v>
      </c>
      <c r="F12" s="57"/>
      <c r="G12" s="56">
        <v>-3</v>
      </c>
      <c r="H12" s="57"/>
      <c r="I12" s="225">
        <v>-4</v>
      </c>
      <c r="J12" s="57"/>
      <c r="K12" s="56">
        <v>-5</v>
      </c>
      <c r="L12" s="57"/>
      <c r="N12" s="56">
        <v>-6</v>
      </c>
      <c r="P12" s="56">
        <v>-7</v>
      </c>
      <c r="R12" s="56">
        <v>-8</v>
      </c>
      <c r="T12" s="315" t="s">
        <v>448</v>
      </c>
    </row>
    <row r="13" spans="1:21" s="110" customFormat="1">
      <c r="D13" s="179"/>
      <c r="F13" s="179"/>
      <c r="G13" s="179"/>
      <c r="H13" s="179"/>
      <c r="I13" s="226"/>
      <c r="J13" s="179"/>
      <c r="K13" s="107"/>
      <c r="L13" s="179"/>
      <c r="N13" s="107"/>
      <c r="P13" s="107"/>
      <c r="R13" s="107"/>
    </row>
    <row r="14" spans="1:21" ht="18.75" customHeight="1">
      <c r="C14" s="110" t="s">
        <v>269</v>
      </c>
      <c r="N14" s="176"/>
      <c r="P14" s="176"/>
      <c r="R14" s="176"/>
    </row>
    <row r="15" spans="1:21">
      <c r="A15" s="174">
        <v>1</v>
      </c>
      <c r="C15" s="174" t="s">
        <v>269</v>
      </c>
      <c r="E15" s="180" t="s">
        <v>270</v>
      </c>
      <c r="G15" s="59">
        <v>710370.59199999995</v>
      </c>
      <c r="H15" s="60"/>
      <c r="I15" s="228"/>
      <c r="J15" s="60"/>
      <c r="K15" s="59">
        <v>2248.116550068919</v>
      </c>
      <c r="L15" s="74">
        <v>3.1647094845797322E-3</v>
      </c>
      <c r="N15" s="59">
        <v>7822.8132083930159</v>
      </c>
      <c r="P15" s="59">
        <v>1525.4485756366382</v>
      </c>
      <c r="R15" s="59">
        <v>11596.378334098572</v>
      </c>
      <c r="T15" s="59">
        <v>2248.1165500689176</v>
      </c>
      <c r="U15" s="74">
        <v>3.1236038048039292E-3</v>
      </c>
    </row>
    <row r="16" spans="1:21">
      <c r="A16" s="174">
        <v>2</v>
      </c>
      <c r="C16" s="174" t="s">
        <v>271</v>
      </c>
      <c r="E16" s="181">
        <v>2</v>
      </c>
      <c r="G16" s="59">
        <v>340.04900000000004</v>
      </c>
      <c r="H16" s="60"/>
      <c r="I16" s="228"/>
      <c r="J16" s="60"/>
      <c r="K16" s="59">
        <v>1.0761562955217414</v>
      </c>
      <c r="L16" s="232">
        <v>3.1647094845794026E-3</v>
      </c>
      <c r="N16" s="59">
        <v>3.7447211901207993</v>
      </c>
      <c r="P16" s="59">
        <v>0.73022063207349674</v>
      </c>
      <c r="R16" s="59">
        <v>5.5510981177160375</v>
      </c>
      <c r="T16" s="59">
        <v>1.0761562955217414</v>
      </c>
      <c r="U16" s="74">
        <v>3.1236038048036031E-3</v>
      </c>
    </row>
    <row r="17" spans="1:21">
      <c r="A17" s="174">
        <v>3</v>
      </c>
      <c r="C17" s="182" t="s">
        <v>272</v>
      </c>
      <c r="E17" s="183" t="s">
        <v>273</v>
      </c>
      <c r="G17" s="61">
        <v>36.561</v>
      </c>
      <c r="H17" s="60"/>
      <c r="I17" s="229"/>
      <c r="J17" s="60"/>
      <c r="K17" s="61"/>
      <c r="L17" s="233"/>
      <c r="N17" s="61"/>
      <c r="P17" s="61"/>
      <c r="R17" s="61"/>
      <c r="T17" s="59"/>
      <c r="U17" s="74">
        <v>0</v>
      </c>
    </row>
    <row r="18" spans="1:21">
      <c r="A18" s="174">
        <v>4</v>
      </c>
      <c r="C18" s="110" t="s">
        <v>274</v>
      </c>
      <c r="G18" s="59">
        <v>710747.20199999993</v>
      </c>
      <c r="H18" s="60"/>
      <c r="I18" s="228">
        <v>186766.54276300658</v>
      </c>
      <c r="J18" s="60"/>
      <c r="K18" s="59">
        <v>2249.1927063644407</v>
      </c>
      <c r="L18" s="232">
        <v>3.1645466911939262E-3</v>
      </c>
      <c r="N18" s="59">
        <v>7826.5579295831367</v>
      </c>
      <c r="P18" s="59">
        <v>1526.1787962687117</v>
      </c>
      <c r="R18" s="59">
        <v>11601.929432216288</v>
      </c>
      <c r="T18" s="59">
        <v>2249.1927063644393</v>
      </c>
      <c r="U18" s="74">
        <v>3.1234452128188922E-3</v>
      </c>
    </row>
    <row r="19" spans="1:21" ht="24.75" customHeight="1">
      <c r="C19" s="110" t="s">
        <v>275</v>
      </c>
      <c r="G19" s="184"/>
      <c r="H19" s="60"/>
      <c r="I19" s="228"/>
      <c r="J19" s="60"/>
      <c r="K19" s="184"/>
      <c r="L19" s="232"/>
      <c r="N19" s="184"/>
      <c r="P19" s="184"/>
      <c r="R19" s="184"/>
      <c r="T19" s="59"/>
      <c r="U19" s="74"/>
    </row>
    <row r="20" spans="1:21">
      <c r="A20" s="174">
        <v>5</v>
      </c>
      <c r="C20" s="174" t="s">
        <v>276</v>
      </c>
      <c r="E20" s="185">
        <v>6</v>
      </c>
      <c r="G20" s="59">
        <v>477241.516</v>
      </c>
      <c r="H20" s="60"/>
      <c r="I20" s="228"/>
      <c r="J20" s="60"/>
      <c r="K20" s="59">
        <v>1872.0702254266487</v>
      </c>
      <c r="L20" s="232">
        <v>3.9226893777335346E-3</v>
      </c>
      <c r="N20" s="59">
        <v>4641.3106676857678</v>
      </c>
      <c r="P20" s="59">
        <v>905.05558019872467</v>
      </c>
      <c r="R20" s="59">
        <v>7418.4364733111415</v>
      </c>
      <c r="T20" s="59">
        <v>1872.0702254266489</v>
      </c>
      <c r="U20" s="74">
        <v>3.8776247173193256E-3</v>
      </c>
    </row>
    <row r="21" spans="1:21">
      <c r="A21" s="174">
        <v>6</v>
      </c>
      <c r="C21" s="174" t="s">
        <v>277</v>
      </c>
      <c r="E21" s="181" t="s">
        <v>278</v>
      </c>
      <c r="G21" s="59">
        <v>32125.921000000002</v>
      </c>
      <c r="H21" s="60"/>
      <c r="I21" s="228"/>
      <c r="J21" s="60"/>
      <c r="K21" s="59">
        <v>126.0200090566067</v>
      </c>
      <c r="L21" s="232">
        <v>3.9226893777335346E-3</v>
      </c>
      <c r="N21" s="59">
        <v>312.43379892065019</v>
      </c>
      <c r="P21" s="59">
        <v>60.924590789526782</v>
      </c>
      <c r="R21" s="59">
        <v>499.37839876678368</v>
      </c>
      <c r="T21" s="59">
        <v>126.02000905660671</v>
      </c>
      <c r="U21" s="74">
        <v>3.8776247173193251E-3</v>
      </c>
    </row>
    <row r="22" spans="1:21">
      <c r="A22" s="174">
        <v>7</v>
      </c>
      <c r="C22" s="174" t="s">
        <v>279</v>
      </c>
      <c r="E22" s="181" t="s">
        <v>280</v>
      </c>
      <c r="G22" s="61">
        <v>1783.15</v>
      </c>
      <c r="H22" s="60"/>
      <c r="I22" s="229"/>
      <c r="J22" s="60"/>
      <c r="K22" s="61">
        <v>6.9947435639056579</v>
      </c>
      <c r="L22" s="233">
        <v>3.9226893777335936E-3</v>
      </c>
      <c r="N22" s="61">
        <v>17.341645350661054</v>
      </c>
      <c r="P22" s="61">
        <v>3.381620843378947</v>
      </c>
      <c r="R22" s="61">
        <v>27.718009757945659</v>
      </c>
      <c r="T22" s="59">
        <v>6.9947435639056579</v>
      </c>
      <c r="U22" s="74">
        <v>3.8776247173193837E-3</v>
      </c>
    </row>
    <row r="23" spans="1:21">
      <c r="A23" s="174">
        <v>8</v>
      </c>
      <c r="C23" s="186" t="s">
        <v>281</v>
      </c>
      <c r="G23" s="59">
        <v>511150.587</v>
      </c>
      <c r="H23" s="60"/>
      <c r="I23" s="228">
        <v>166496.53372796826</v>
      </c>
      <c r="J23" s="60"/>
      <c r="K23" s="59">
        <v>2005.084978047161</v>
      </c>
      <c r="L23" s="232">
        <v>3.9226893777335346E-3</v>
      </c>
      <c r="N23" s="59">
        <v>4971.0861119570791</v>
      </c>
      <c r="P23" s="59">
        <v>969.3617918316304</v>
      </c>
      <c r="R23" s="59">
        <v>7945.5328818358712</v>
      </c>
      <c r="T23" s="59">
        <v>2005.0849780471617</v>
      </c>
      <c r="U23" s="74">
        <v>3.8776247173193264E-3</v>
      </c>
    </row>
    <row r="24" spans="1:21" ht="23.1" customHeight="1">
      <c r="A24" s="174">
        <v>9</v>
      </c>
      <c r="C24" s="182" t="s">
        <v>282</v>
      </c>
      <c r="E24" s="174">
        <v>8</v>
      </c>
      <c r="F24" s="58"/>
      <c r="G24" s="59">
        <v>154784.87599999999</v>
      </c>
      <c r="H24" s="60"/>
      <c r="I24" s="228">
        <v>55469.240109993545</v>
      </c>
      <c r="J24" s="60"/>
      <c r="K24" s="59">
        <v>668.00513859320165</v>
      </c>
      <c r="L24" s="232">
        <v>4.3157003181189466E-3</v>
      </c>
      <c r="N24" s="59">
        <v>1733.2858494280617</v>
      </c>
      <c r="P24" s="59">
        <v>337.99074063847206</v>
      </c>
      <c r="R24" s="59">
        <v>2739.2817286597356</v>
      </c>
      <c r="T24" s="59">
        <v>668.00513859320176</v>
      </c>
      <c r="U24" s="74">
        <v>4.2587117404249376E-3</v>
      </c>
    </row>
    <row r="25" spans="1:21" ht="23.1" customHeight="1">
      <c r="A25" s="174">
        <v>10</v>
      </c>
      <c r="C25" s="174" t="s">
        <v>283</v>
      </c>
      <c r="E25" s="174">
        <v>9</v>
      </c>
      <c r="G25" s="59">
        <v>247563.47500000001</v>
      </c>
      <c r="H25" s="60"/>
      <c r="I25" s="228"/>
      <c r="J25" s="60"/>
      <c r="K25" s="59">
        <v>1389.5408499974642</v>
      </c>
      <c r="L25" s="232">
        <v>5.6128669626949778E-3</v>
      </c>
      <c r="N25" s="59">
        <v>3086.2260924295929</v>
      </c>
      <c r="P25" s="59">
        <v>601.81408802377064</v>
      </c>
      <c r="R25" s="59">
        <v>5077.5810304508277</v>
      </c>
      <c r="T25" s="59">
        <v>1389.5408499974642</v>
      </c>
      <c r="U25" s="74">
        <v>5.5304774938350959E-3</v>
      </c>
    </row>
    <row r="26" spans="1:21">
      <c r="A26" s="174">
        <v>11</v>
      </c>
      <c r="C26" s="174" t="s">
        <v>284</v>
      </c>
      <c r="E26" s="181" t="s">
        <v>285</v>
      </c>
      <c r="G26" s="61">
        <v>3183.89</v>
      </c>
      <c r="H26" s="60"/>
      <c r="I26" s="229"/>
      <c r="J26" s="60"/>
      <c r="K26" s="61">
        <v>17.870750993854926</v>
      </c>
      <c r="L26" s="233">
        <v>5.6128669626949821E-3</v>
      </c>
      <c r="N26" s="61">
        <v>39.691656426399732</v>
      </c>
      <c r="P26" s="61">
        <v>7.7398730031478635</v>
      </c>
      <c r="R26" s="61">
        <v>65.302280423402522</v>
      </c>
      <c r="T26" s="59">
        <v>17.870750993854926</v>
      </c>
      <c r="U26" s="74">
        <v>5.5304774938351002E-3</v>
      </c>
    </row>
    <row r="27" spans="1:21">
      <c r="A27" s="174">
        <v>12</v>
      </c>
      <c r="C27" s="186" t="s">
        <v>286</v>
      </c>
      <c r="G27" s="59">
        <v>250747.36499999999</v>
      </c>
      <c r="H27" s="60"/>
      <c r="I27" s="228">
        <v>116867.44235738491</v>
      </c>
      <c r="J27" s="60"/>
      <c r="K27" s="59">
        <v>1407.4116009913191</v>
      </c>
      <c r="L27" s="232">
        <v>5.6128669626949786E-3</v>
      </c>
      <c r="N27" s="59">
        <v>3125.9177488559926</v>
      </c>
      <c r="P27" s="59">
        <v>609.5539610269185</v>
      </c>
      <c r="R27" s="59">
        <v>5142.8833108742301</v>
      </c>
      <c r="T27" s="59">
        <v>1407.4116009913191</v>
      </c>
      <c r="U27" s="74">
        <v>5.5304774938350959E-3</v>
      </c>
    </row>
    <row r="28" spans="1:21" ht="23.1" customHeight="1">
      <c r="A28" s="174">
        <v>13</v>
      </c>
      <c r="C28" s="174" t="s">
        <v>287</v>
      </c>
      <c r="E28" s="181">
        <v>10</v>
      </c>
      <c r="G28" s="59">
        <v>13111.456</v>
      </c>
      <c r="H28" s="60"/>
      <c r="I28" s="228"/>
      <c r="J28" s="60"/>
      <c r="K28" s="59">
        <v>55.086384170428971</v>
      </c>
      <c r="L28" s="232">
        <v>4.2013933593972302E-3</v>
      </c>
      <c r="N28" s="59">
        <v>134.70434349279628</v>
      </c>
      <c r="P28" s="59">
        <v>26.267346981095272</v>
      </c>
      <c r="R28" s="59">
        <v>216.05807464432053</v>
      </c>
      <c r="T28" s="59">
        <v>55.086384170428971</v>
      </c>
      <c r="U28" s="74">
        <v>4.1504376934723471E-3</v>
      </c>
    </row>
    <row r="29" spans="1:21">
      <c r="A29" s="174">
        <v>14</v>
      </c>
      <c r="C29" s="174" t="s">
        <v>288</v>
      </c>
      <c r="E29" s="181" t="s">
        <v>289</v>
      </c>
      <c r="G29" s="61">
        <v>1294.0040000000001</v>
      </c>
      <c r="H29" s="60"/>
      <c r="I29" s="229"/>
      <c r="J29" s="60"/>
      <c r="K29" s="61">
        <v>5.4366198126334453</v>
      </c>
      <c r="L29" s="233">
        <v>4.2013933593972232E-3</v>
      </c>
      <c r="N29" s="61">
        <v>13.294325153289776</v>
      </c>
      <c r="P29" s="61">
        <v>2.59239340489151</v>
      </c>
      <c r="R29" s="61">
        <v>21.323338370814731</v>
      </c>
      <c r="T29" s="59">
        <v>5.4366198126334453</v>
      </c>
      <c r="U29" s="74">
        <v>4.1504376934723411E-3</v>
      </c>
    </row>
    <row r="30" spans="1:21">
      <c r="A30" s="174">
        <v>15</v>
      </c>
      <c r="C30" s="186" t="s">
        <v>290</v>
      </c>
      <c r="G30" s="59">
        <v>14405.46</v>
      </c>
      <c r="H30" s="60"/>
      <c r="I30" s="228">
        <v>5025.6575079417371</v>
      </c>
      <c r="J30" s="60"/>
      <c r="K30" s="59">
        <v>60.523003983062416</v>
      </c>
      <c r="L30" s="232">
        <v>4.2013933593972302E-3</v>
      </c>
      <c r="N30" s="59">
        <v>147.99866864608606</v>
      </c>
      <c r="P30" s="59">
        <v>28.859740385986782</v>
      </c>
      <c r="R30" s="59">
        <v>237.38141301513525</v>
      </c>
      <c r="T30" s="59">
        <v>60.523003983062409</v>
      </c>
      <c r="U30" s="74">
        <v>4.1504376934723463E-3</v>
      </c>
    </row>
    <row r="31" spans="1:21" ht="23.1" customHeight="1">
      <c r="A31" s="174">
        <v>16</v>
      </c>
      <c r="C31" s="174" t="s">
        <v>291</v>
      </c>
      <c r="E31" s="174">
        <v>21</v>
      </c>
      <c r="G31" s="59">
        <v>374.81999999999994</v>
      </c>
      <c r="H31" s="60"/>
      <c r="I31" s="228"/>
      <c r="J31" s="60"/>
      <c r="K31" s="59">
        <v>2.1038147949573314</v>
      </c>
      <c r="L31" s="232">
        <v>5.6128669626949778E-3</v>
      </c>
      <c r="N31" s="59">
        <v>4.072489976919023</v>
      </c>
      <c r="P31" s="59">
        <v>0.79413554549920939</v>
      </c>
      <c r="R31" s="59">
        <v>6.970440317375564</v>
      </c>
      <c r="T31" s="59">
        <v>2.1038147949573318</v>
      </c>
      <c r="U31" s="74">
        <v>5.5409241557103899E-3</v>
      </c>
    </row>
    <row r="32" spans="1:21">
      <c r="A32" s="174">
        <v>17</v>
      </c>
      <c r="C32" s="174" t="s">
        <v>292</v>
      </c>
      <c r="E32" s="185">
        <v>23</v>
      </c>
      <c r="G32" s="59">
        <v>139759.62600000002</v>
      </c>
      <c r="H32" s="60"/>
      <c r="I32" s="228">
        <v>39440.154378784922</v>
      </c>
      <c r="J32" s="60"/>
      <c r="K32" s="59">
        <v>474.97001472697036</v>
      </c>
      <c r="L32" s="232">
        <v>3.3984780034183142E-3</v>
      </c>
      <c r="N32" s="59">
        <v>1314.0005379964775</v>
      </c>
      <c r="P32" s="59">
        <v>256.23010490931313</v>
      </c>
      <c r="R32" s="59">
        <v>2045.2006576327608</v>
      </c>
      <c r="T32" s="59">
        <v>474.97001472697013</v>
      </c>
      <c r="U32" s="74">
        <v>3.3607195677489692E-3</v>
      </c>
    </row>
    <row r="33" spans="1:21">
      <c r="A33" s="174">
        <v>18</v>
      </c>
      <c r="C33" s="174" t="s">
        <v>293</v>
      </c>
      <c r="E33" s="174">
        <v>31</v>
      </c>
      <c r="G33" s="59">
        <v>5325.0529999999999</v>
      </c>
      <c r="H33" s="60"/>
      <c r="I33" s="228"/>
      <c r="J33" s="60"/>
      <c r="K33" s="59">
        <v>29.888814058299779</v>
      </c>
      <c r="L33" s="232">
        <v>5.6128669626949778E-3</v>
      </c>
      <c r="N33" s="59">
        <v>9.8983714619298127</v>
      </c>
      <c r="P33" s="59">
        <v>1.9301824350763135</v>
      </c>
      <c r="R33" s="59">
        <v>41.717367955305903</v>
      </c>
      <c r="T33" s="59">
        <v>29.888814058299776</v>
      </c>
      <c r="U33" s="74">
        <v>5.6004267204459281E-3</v>
      </c>
    </row>
    <row r="34" spans="1:21">
      <c r="A34" s="174">
        <v>19</v>
      </c>
      <c r="C34" s="182" t="s">
        <v>294</v>
      </c>
      <c r="E34" s="181" t="s">
        <v>273</v>
      </c>
      <c r="G34" s="59">
        <v>26081.792012471451</v>
      </c>
      <c r="H34" s="60"/>
      <c r="I34" s="228">
        <v>13774.886444271626</v>
      </c>
      <c r="J34" s="60"/>
      <c r="K34" s="59"/>
      <c r="L34" s="232">
        <v>0</v>
      </c>
      <c r="N34" s="59"/>
      <c r="P34" s="59"/>
      <c r="R34" s="59"/>
      <c r="T34" s="59">
        <v>0</v>
      </c>
      <c r="U34" s="74">
        <v>0</v>
      </c>
    </row>
    <row r="35" spans="1:21">
      <c r="A35" s="174">
        <v>20</v>
      </c>
      <c r="C35" s="182" t="s">
        <v>295</v>
      </c>
      <c r="E35" s="181" t="s">
        <v>273</v>
      </c>
      <c r="G35" s="59">
        <v>30487.146696695003</v>
      </c>
      <c r="H35" s="60"/>
      <c r="I35" s="228">
        <v>17269.071073591076</v>
      </c>
      <c r="J35" s="60"/>
      <c r="K35" s="59">
        <v>207.96802323260454</v>
      </c>
      <c r="L35" s="232">
        <v>6.8214984269141061E-3</v>
      </c>
      <c r="N35" s="59"/>
      <c r="P35" s="59"/>
      <c r="R35" s="59">
        <v>207.96802323260454</v>
      </c>
      <c r="T35" s="59">
        <v>207.96802323260454</v>
      </c>
      <c r="U35" s="74">
        <v>6.8214984269141061E-3</v>
      </c>
    </row>
    <row r="36" spans="1:21">
      <c r="A36" s="174">
        <v>21</v>
      </c>
      <c r="C36" s="182" t="s">
        <v>296</v>
      </c>
      <c r="E36" s="181" t="s">
        <v>273</v>
      </c>
      <c r="G36" s="59">
        <v>64573.654000000002</v>
      </c>
      <c r="H36" s="60"/>
      <c r="I36" s="228"/>
      <c r="J36" s="60"/>
      <c r="K36" s="59">
        <v>362.44332919709643</v>
      </c>
      <c r="L36" s="232">
        <v>5.6128669626949778E-3</v>
      </c>
      <c r="N36" s="59">
        <v>860.67632480632267</v>
      </c>
      <c r="P36" s="59">
        <v>167.83188333723291</v>
      </c>
      <c r="R36" s="59">
        <v>1390.9515373406521</v>
      </c>
      <c r="T36" s="59">
        <v>362.44332919709649</v>
      </c>
      <c r="U36" s="74">
        <v>5.5248686475779657E-3</v>
      </c>
    </row>
    <row r="37" spans="1:21">
      <c r="A37" s="174">
        <v>22</v>
      </c>
      <c r="C37" s="182" t="s">
        <v>272</v>
      </c>
      <c r="E37" s="183" t="s">
        <v>273</v>
      </c>
      <c r="G37" s="61">
        <v>4490.4250999999995</v>
      </c>
      <c r="H37" s="60"/>
      <c r="I37" s="229"/>
      <c r="J37" s="60"/>
      <c r="K37" s="61"/>
      <c r="L37" s="233"/>
      <c r="N37" s="61"/>
      <c r="P37" s="61"/>
      <c r="R37" s="61"/>
      <c r="T37" s="59">
        <v>0</v>
      </c>
      <c r="U37" s="74">
        <v>0</v>
      </c>
    </row>
    <row r="38" spans="1:21">
      <c r="A38" s="174">
        <v>23</v>
      </c>
      <c r="C38" s="110" t="s">
        <v>297</v>
      </c>
      <c r="G38" s="59">
        <v>1202180.8048091668</v>
      </c>
      <c r="H38" s="60"/>
      <c r="I38" s="59">
        <v>414342.98559993604</v>
      </c>
      <c r="J38" s="60"/>
      <c r="K38" s="59">
        <v>5218.3987176246728</v>
      </c>
      <c r="L38" s="232">
        <v>4.3407769419950412E-3</v>
      </c>
      <c r="N38" s="59">
        <v>12166.93610312887</v>
      </c>
      <c r="P38" s="59">
        <v>2372.552540110129</v>
      </c>
      <c r="R38" s="59">
        <v>19757.887360863671</v>
      </c>
      <c r="T38" s="59">
        <v>5218.3987176246719</v>
      </c>
      <c r="U38" s="74">
        <v>4.2889057951171579E-3</v>
      </c>
    </row>
    <row r="39" spans="1:21" ht="31.5">
      <c r="A39" s="174">
        <v>24</v>
      </c>
      <c r="C39" s="187" t="s">
        <v>442</v>
      </c>
      <c r="G39" s="59">
        <v>1171608.5876966952</v>
      </c>
      <c r="H39" s="60"/>
      <c r="I39" s="59">
        <v>400568.09915566444</v>
      </c>
      <c r="J39" s="60"/>
      <c r="K39" s="59">
        <v>5218.3987176246728</v>
      </c>
      <c r="L39" s="232">
        <v>4.4540461485381381E-3</v>
      </c>
      <c r="N39" s="59">
        <v>12166.93610312887</v>
      </c>
      <c r="P39" s="59">
        <v>2372.552540110129</v>
      </c>
      <c r="R39" s="59">
        <v>19757.887360863671</v>
      </c>
      <c r="T39" s="59">
        <v>5218.3987176246719</v>
      </c>
      <c r="U39" s="74">
        <v>4.3994496317246888E-3</v>
      </c>
    </row>
    <row r="40" spans="1:21" ht="28.5" customHeight="1">
      <c r="C40" s="110" t="s">
        <v>298</v>
      </c>
      <c r="G40" s="59"/>
      <c r="H40" s="60"/>
      <c r="I40" s="228"/>
      <c r="J40" s="60"/>
      <c r="K40" s="59"/>
      <c r="L40" s="232"/>
      <c r="N40" s="59"/>
      <c r="P40" s="59"/>
      <c r="R40" s="59"/>
      <c r="T40" s="59"/>
      <c r="U40" s="74"/>
    </row>
    <row r="41" spans="1:21">
      <c r="A41" s="174">
        <v>25</v>
      </c>
      <c r="C41" s="174" t="s">
        <v>299</v>
      </c>
      <c r="E41" s="174">
        <v>7</v>
      </c>
      <c r="G41" s="59">
        <v>2964.7280000000001</v>
      </c>
      <c r="H41" s="60"/>
      <c r="I41" s="228">
        <v>521.29961877979133</v>
      </c>
      <c r="J41" s="60"/>
      <c r="K41" s="59">
        <v>6.2779086823805104</v>
      </c>
      <c r="L41" s="232">
        <v>2.1175327660346954E-3</v>
      </c>
      <c r="N41" s="59"/>
      <c r="P41" s="59"/>
      <c r="R41" s="59">
        <v>6.2779086823805104</v>
      </c>
      <c r="T41" s="59">
        <v>6.2779086823805104</v>
      </c>
      <c r="U41" s="74">
        <v>2.1175327660346954E-3</v>
      </c>
    </row>
    <row r="42" spans="1:21">
      <c r="A42" s="174">
        <v>26</v>
      </c>
      <c r="C42" s="174" t="s">
        <v>300</v>
      </c>
      <c r="E42" s="174">
        <v>11</v>
      </c>
      <c r="G42" s="59">
        <v>5089.2430000000004</v>
      </c>
      <c r="H42" s="60"/>
      <c r="I42" s="228">
        <v>894.86132818178316</v>
      </c>
      <c r="J42" s="60"/>
      <c r="K42" s="59">
        <v>10.776638806812713</v>
      </c>
      <c r="L42" s="232">
        <v>2.1175327660346954E-3</v>
      </c>
      <c r="N42" s="59"/>
      <c r="P42" s="59"/>
      <c r="R42" s="59">
        <v>10.776638806812713</v>
      </c>
      <c r="T42" s="59">
        <v>10.776638806812713</v>
      </c>
      <c r="U42" s="74">
        <v>2.1175327660346954E-3</v>
      </c>
    </row>
    <row r="43" spans="1:21">
      <c r="A43" s="174">
        <v>27</v>
      </c>
      <c r="C43" s="174" t="s">
        <v>301</v>
      </c>
      <c r="E43" s="174">
        <v>12</v>
      </c>
      <c r="G43" s="59">
        <v>4058.8130000000001</v>
      </c>
      <c r="H43" s="60"/>
      <c r="I43" s="228">
        <v>713.67682620411074</v>
      </c>
      <c r="J43" s="60"/>
      <c r="K43" s="59">
        <v>8.5946695187075779</v>
      </c>
      <c r="L43" s="232">
        <v>2.117532766034695E-3</v>
      </c>
      <c r="N43" s="59"/>
      <c r="P43" s="59"/>
      <c r="R43" s="59">
        <v>8.5946695187075779</v>
      </c>
      <c r="T43" s="59">
        <v>8.5946695187075779</v>
      </c>
      <c r="U43" s="74">
        <v>2.117532766034695E-3</v>
      </c>
    </row>
    <row r="44" spans="1:21">
      <c r="A44" s="188">
        <v>28</v>
      </c>
      <c r="B44" s="188"/>
      <c r="C44" s="188" t="s">
        <v>302</v>
      </c>
      <c r="D44" s="189"/>
      <c r="E44" s="188">
        <v>15</v>
      </c>
      <c r="F44" s="189"/>
      <c r="G44" s="62">
        <v>1144.626</v>
      </c>
      <c r="H44" s="63"/>
      <c r="I44" s="228">
        <v>394.17625589642319</v>
      </c>
      <c r="J44" s="63"/>
      <c r="K44" s="62">
        <v>4.7469870495449653</v>
      </c>
      <c r="L44" s="234">
        <v>4.1471948475265853E-3</v>
      </c>
      <c r="N44" s="62"/>
      <c r="P44" s="62"/>
      <c r="R44" s="62">
        <v>4.7469870495449653</v>
      </c>
      <c r="T44" s="59">
        <v>4.7469870495449653</v>
      </c>
      <c r="U44" s="74">
        <v>4.1471948475265853E-3</v>
      </c>
    </row>
    <row r="45" spans="1:21">
      <c r="A45" s="174">
        <v>29</v>
      </c>
      <c r="C45" s="174" t="s">
        <v>303</v>
      </c>
      <c r="E45" s="174">
        <v>15</v>
      </c>
      <c r="G45" s="61">
        <v>639.54199999999992</v>
      </c>
      <c r="H45" s="60"/>
      <c r="I45" s="229">
        <v>150.30424006263303</v>
      </c>
      <c r="J45" s="60"/>
      <c r="K45" s="61">
        <v>1.8100843731604659</v>
      </c>
      <c r="L45" s="233">
        <v>2.8302822538011046E-3</v>
      </c>
      <c r="N45" s="61">
        <v>6.505967287990619</v>
      </c>
      <c r="P45" s="61">
        <v>1.2686636211581708</v>
      </c>
      <c r="R45" s="61">
        <v>9.5847152823092561</v>
      </c>
      <c r="T45" s="59">
        <v>1.8100843731604663</v>
      </c>
      <c r="U45" s="74">
        <v>2.7962889978868973E-3</v>
      </c>
    </row>
    <row r="46" spans="1:21">
      <c r="A46" s="174">
        <v>30</v>
      </c>
      <c r="C46" s="186" t="s">
        <v>304</v>
      </c>
      <c r="D46" s="64"/>
      <c r="F46" s="64"/>
      <c r="G46" s="59">
        <v>13896.951999999999</v>
      </c>
      <c r="H46" s="59"/>
      <c r="I46" s="228">
        <v>2674.3182691247421</v>
      </c>
      <c r="J46" s="59"/>
      <c r="K46" s="59">
        <v>32.206288430606236</v>
      </c>
      <c r="L46" s="232">
        <v>2.3175073520154805E-3</v>
      </c>
      <c r="N46" s="59">
        <v>6.505967287990619</v>
      </c>
      <c r="P46" s="59">
        <v>1.2686636211581708</v>
      </c>
      <c r="R46" s="59">
        <v>39.980919339755026</v>
      </c>
      <c r="T46" s="59">
        <v>32.206288430606236</v>
      </c>
      <c r="U46" s="74">
        <v>2.3162115506114383E-3</v>
      </c>
    </row>
    <row r="47" spans="1:21" ht="23.1" customHeight="1">
      <c r="A47" s="174">
        <v>31</v>
      </c>
      <c r="C47" s="182" t="s">
        <v>305</v>
      </c>
      <c r="E47" s="181" t="s">
        <v>273</v>
      </c>
      <c r="G47" s="59">
        <v>0.60099999999999998</v>
      </c>
      <c r="H47" s="60"/>
      <c r="I47" s="228">
        <v>0</v>
      </c>
      <c r="J47" s="60"/>
      <c r="K47" s="59"/>
      <c r="L47" s="232"/>
      <c r="N47" s="59"/>
      <c r="P47" s="59"/>
      <c r="R47" s="59"/>
      <c r="T47" s="59">
        <v>0</v>
      </c>
      <c r="U47" s="74">
        <v>0</v>
      </c>
    </row>
    <row r="48" spans="1:21">
      <c r="A48" s="174">
        <v>32</v>
      </c>
      <c r="C48" s="190" t="s">
        <v>306</v>
      </c>
      <c r="E48" s="181" t="s">
        <v>273</v>
      </c>
      <c r="G48" s="59">
        <v>17.277000000000001</v>
      </c>
      <c r="H48" s="60"/>
      <c r="I48" s="228">
        <v>0</v>
      </c>
      <c r="J48" s="60"/>
      <c r="K48" s="59"/>
      <c r="L48" s="232"/>
      <c r="N48" s="59"/>
      <c r="P48" s="59"/>
      <c r="R48" s="59"/>
      <c r="T48" s="59">
        <v>0</v>
      </c>
      <c r="U48" s="74">
        <v>0</v>
      </c>
    </row>
    <row r="49" spans="1:21">
      <c r="A49" s="174">
        <v>33</v>
      </c>
      <c r="C49" s="182" t="s">
        <v>272</v>
      </c>
      <c r="D49" s="65"/>
      <c r="E49" s="183" t="s">
        <v>273</v>
      </c>
      <c r="F49" s="65"/>
      <c r="G49" s="61">
        <v>4.6616400000000002</v>
      </c>
      <c r="H49" s="60"/>
      <c r="I49" s="229">
        <v>0</v>
      </c>
      <c r="J49" s="60"/>
      <c r="K49" s="61"/>
      <c r="L49" s="233"/>
      <c r="N49" s="61"/>
      <c r="P49" s="61"/>
      <c r="R49" s="61"/>
      <c r="T49" s="59">
        <v>0</v>
      </c>
      <c r="U49" s="74">
        <v>0</v>
      </c>
    </row>
    <row r="50" spans="1:21">
      <c r="A50" s="174">
        <v>34</v>
      </c>
      <c r="C50" s="110" t="s">
        <v>307</v>
      </c>
      <c r="E50" s="188"/>
      <c r="G50" s="61">
        <v>13919.49164</v>
      </c>
      <c r="H50" s="60"/>
      <c r="I50" s="61">
        <v>2674.3182691247421</v>
      </c>
      <c r="J50" s="60"/>
      <c r="K50" s="61">
        <v>32.206288430606236</v>
      </c>
      <c r="L50" s="233">
        <v>2.3137546444624494E-3</v>
      </c>
      <c r="N50" s="61">
        <v>6.505967287990619</v>
      </c>
      <c r="P50" s="61">
        <v>1.2686636211581708</v>
      </c>
      <c r="R50" s="61">
        <v>39.980919339755026</v>
      </c>
      <c r="T50" s="59">
        <v>32.206288430606236</v>
      </c>
      <c r="U50" s="74">
        <v>2.3124630350378058E-3</v>
      </c>
    </row>
    <row r="51" spans="1:21" ht="27.75" customHeight="1" thickBot="1">
      <c r="A51" s="174">
        <v>35</v>
      </c>
      <c r="C51" s="110" t="s">
        <v>308</v>
      </c>
      <c r="E51" s="188"/>
      <c r="G51" s="66">
        <v>1926847.4984491668</v>
      </c>
      <c r="H51" s="60"/>
      <c r="I51" s="217">
        <v>603783.84663206735</v>
      </c>
      <c r="J51" s="60"/>
      <c r="K51" s="217">
        <v>7499.7977124197196</v>
      </c>
      <c r="L51" s="235">
        <v>3.8922632530368753E-3</v>
      </c>
      <c r="N51" s="217">
        <v>19999.999999999996</v>
      </c>
      <c r="O51" s="219"/>
      <c r="P51" s="217">
        <v>3899.9999999999991</v>
      </c>
      <c r="Q51" s="219"/>
      <c r="R51" s="217">
        <v>31399.797712419717</v>
      </c>
      <c r="T51" s="59">
        <v>7499.7977124197214</v>
      </c>
      <c r="U51" s="74">
        <v>3.8445763577203192E-3</v>
      </c>
    </row>
    <row r="52" spans="1:21" ht="56.25" customHeight="1" thickTop="1" thickBot="1">
      <c r="A52" s="174">
        <v>36</v>
      </c>
      <c r="C52" s="191" t="s">
        <v>441</v>
      </c>
      <c r="E52" s="188"/>
      <c r="G52" s="66">
        <v>1896216.1806966951</v>
      </c>
      <c r="H52" s="60"/>
      <c r="I52" s="66">
        <v>590008.96018779569</v>
      </c>
      <c r="J52" s="60"/>
      <c r="K52" s="66">
        <v>7500</v>
      </c>
      <c r="L52" s="235">
        <v>3.9552452280226828E-3</v>
      </c>
      <c r="N52" s="66">
        <v>19999.999999999996</v>
      </c>
      <c r="P52" s="66">
        <v>3899.9999999999991</v>
      </c>
      <c r="R52" s="66">
        <v>31399.797712419717</v>
      </c>
      <c r="T52" s="59">
        <v>7499.7977124197214</v>
      </c>
      <c r="U52" s="74">
        <v>3.9059082923297351E-3</v>
      </c>
    </row>
    <row r="53" spans="1:21" ht="16.5" thickTop="1">
      <c r="C53" s="110"/>
      <c r="E53" s="188"/>
    </row>
    <row r="54" spans="1:21" s="176" customFormat="1">
      <c r="A54" s="174"/>
      <c r="B54" s="174"/>
      <c r="C54" s="174"/>
      <c r="E54" s="174"/>
      <c r="G54" s="62"/>
      <c r="I54" s="308" t="s">
        <v>17</v>
      </c>
      <c r="J54" s="309"/>
      <c r="K54" s="310">
        <v>7500</v>
      </c>
      <c r="N54" s="304" t="s">
        <v>446</v>
      </c>
      <c r="O54" s="304"/>
      <c r="P54" s="304"/>
      <c r="Q54" s="304"/>
      <c r="R54" s="304"/>
    </row>
    <row r="55" spans="1:21">
      <c r="I55" s="311" t="s">
        <v>27</v>
      </c>
      <c r="J55" s="303"/>
      <c r="K55" s="312">
        <v>0.96950000000000003</v>
      </c>
      <c r="N55" s="305" t="s">
        <v>443</v>
      </c>
      <c r="O55" s="306"/>
      <c r="P55" s="306" t="s">
        <v>444</v>
      </c>
      <c r="Q55" s="306"/>
      <c r="R55" s="306" t="s">
        <v>445</v>
      </c>
    </row>
    <row r="56" spans="1:21">
      <c r="I56" s="313" t="s">
        <v>440</v>
      </c>
      <c r="J56" s="314"/>
      <c r="K56" s="318">
        <v>15000</v>
      </c>
      <c r="N56" s="307">
        <v>0.64119354969846953</v>
      </c>
      <c r="O56" s="307"/>
      <c r="P56" s="307">
        <v>0.12503274219120156</v>
      </c>
      <c r="Q56" s="307"/>
      <c r="R56" s="307">
        <v>0.23377370811032891</v>
      </c>
    </row>
  </sheetData>
  <printOptions horizontalCentered="1"/>
  <pageMargins left="0.25" right="0.25" top="1" bottom="0.5" header="0.25" footer="0.25"/>
  <pageSetup scale="55" orientation="landscape" r:id="rId1"/>
  <headerFooter scaleWithDoc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59"/>
  <sheetViews>
    <sheetView topLeftCell="A13" workbookViewId="0">
      <selection activeCell="U47" sqref="U47"/>
    </sheetView>
  </sheetViews>
  <sheetFormatPr defaultColWidth="8" defaultRowHeight="12.75"/>
  <cols>
    <col min="1" max="1" width="7" style="337" customWidth="1"/>
    <col min="2" max="2" width="1.75" style="327" customWidth="1"/>
    <col min="3" max="3" width="7.875" style="338" bestFit="1" customWidth="1"/>
    <col min="4" max="4" width="1.5" style="327" customWidth="1"/>
    <col min="5" max="5" width="9" style="338" bestFit="1" customWidth="1"/>
    <col min="6" max="6" width="1.375" style="327" customWidth="1"/>
    <col min="7" max="7" width="8" style="345" bestFit="1" customWidth="1"/>
    <col min="8" max="8" width="1.375" style="327" customWidth="1"/>
    <col min="9" max="9" width="6.25" style="327" bestFit="1" customWidth="1"/>
    <col min="10" max="10" width="2.125" style="327" customWidth="1"/>
    <col min="11" max="11" width="7.875" style="338" bestFit="1" customWidth="1"/>
    <col min="12" max="12" width="0.875" style="327" customWidth="1"/>
    <col min="13" max="13" width="9" style="338" bestFit="1" customWidth="1"/>
    <col min="14" max="14" width="1.875" style="327" customWidth="1"/>
    <col min="15" max="15" width="7.375" style="345" bestFit="1" customWidth="1"/>
    <col min="16" max="16" width="0.75" style="327" customWidth="1"/>
    <col min="17" max="17" width="6.25" style="327" bestFit="1" customWidth="1"/>
    <col min="18" max="18" width="3.125" style="327" customWidth="1"/>
    <col min="19" max="19" width="10" style="327" bestFit="1" customWidth="1"/>
    <col min="20" max="20" width="7.625" style="327" bestFit="1" customWidth="1"/>
    <col min="21" max="21" width="9.75" style="327" customWidth="1"/>
    <col min="22" max="22" width="5.625" style="327" bestFit="1" customWidth="1"/>
    <col min="23" max="23" width="6.875" style="327" bestFit="1" customWidth="1"/>
    <col min="24" max="24" width="8.375" style="327" bestFit="1" customWidth="1"/>
    <col min="25" max="25" width="6.75" style="327" bestFit="1" customWidth="1"/>
    <col min="26" max="26" width="8.25" style="327" bestFit="1" customWidth="1"/>
    <col min="27" max="29" width="8.125" style="327" bestFit="1" customWidth="1"/>
    <col min="30" max="16384" width="8" style="327"/>
  </cols>
  <sheetData>
    <row r="1" spans="1:26" ht="16.5">
      <c r="A1" s="319" t="s">
        <v>260</v>
      </c>
      <c r="B1" s="320"/>
      <c r="C1" s="321"/>
      <c r="D1" s="320"/>
      <c r="E1" s="321"/>
      <c r="F1" s="320"/>
      <c r="G1" s="322"/>
      <c r="H1" s="320"/>
      <c r="I1" s="320"/>
      <c r="J1" s="320"/>
      <c r="K1" s="321"/>
      <c r="L1" s="320"/>
      <c r="M1" s="321"/>
      <c r="N1" s="320"/>
      <c r="O1" s="322"/>
      <c r="P1" s="320"/>
      <c r="Q1" s="323"/>
      <c r="R1" s="324"/>
      <c r="S1" s="324"/>
      <c r="T1" s="325"/>
      <c r="U1" s="326"/>
    </row>
    <row r="2" spans="1:26" ht="16.5">
      <c r="A2" s="319" t="s">
        <v>450</v>
      </c>
      <c r="B2" s="320"/>
      <c r="C2" s="321"/>
      <c r="D2" s="320"/>
      <c r="E2" s="321"/>
      <c r="F2" s="320"/>
      <c r="G2" s="322"/>
      <c r="H2" s="320"/>
      <c r="I2" s="320"/>
      <c r="J2" s="320"/>
      <c r="K2" s="321"/>
      <c r="L2" s="320"/>
      <c r="M2" s="321"/>
      <c r="N2" s="320"/>
      <c r="O2" s="322"/>
      <c r="P2" s="320"/>
      <c r="Q2" s="323"/>
      <c r="R2" s="324"/>
      <c r="S2" s="324"/>
      <c r="T2" s="325"/>
      <c r="U2" s="328"/>
    </row>
    <row r="3" spans="1:26" ht="16.5">
      <c r="A3" s="319" t="s">
        <v>451</v>
      </c>
      <c r="B3" s="320"/>
      <c r="C3" s="321"/>
      <c r="D3" s="320"/>
      <c r="E3" s="321"/>
      <c r="F3" s="320"/>
      <c r="G3" s="322"/>
      <c r="H3" s="320"/>
      <c r="I3" s="320"/>
      <c r="J3" s="320"/>
      <c r="K3" s="321"/>
      <c r="L3" s="320"/>
      <c r="M3" s="321"/>
      <c r="N3" s="320"/>
      <c r="O3" s="322"/>
      <c r="P3" s="320"/>
      <c r="Q3" s="323"/>
      <c r="R3" s="324"/>
      <c r="S3" s="324"/>
      <c r="T3" s="325"/>
      <c r="U3" s="326"/>
    </row>
    <row r="4" spans="1:26" ht="16.5">
      <c r="A4" s="319" t="s">
        <v>452</v>
      </c>
      <c r="B4" s="320"/>
      <c r="C4" s="321"/>
      <c r="D4" s="320"/>
      <c r="E4" s="321"/>
      <c r="F4" s="320"/>
      <c r="G4" s="322"/>
      <c r="H4" s="320"/>
      <c r="I4" s="320"/>
      <c r="J4" s="320"/>
      <c r="K4" s="321"/>
      <c r="L4" s="320"/>
      <c r="M4" s="321"/>
      <c r="N4" s="320"/>
      <c r="O4" s="322"/>
      <c r="P4" s="320"/>
      <c r="Q4" s="323"/>
      <c r="R4" s="324"/>
      <c r="S4" s="324"/>
      <c r="T4" s="329"/>
      <c r="U4" s="330"/>
    </row>
    <row r="5" spans="1:26" ht="17.25">
      <c r="A5" s="331"/>
      <c r="B5" s="323"/>
      <c r="C5" s="332"/>
      <c r="D5" s="333"/>
      <c r="E5" s="334"/>
      <c r="F5" s="333"/>
      <c r="G5" s="333"/>
      <c r="H5" s="335"/>
      <c r="I5" s="335"/>
      <c r="K5" s="336"/>
      <c r="L5" s="335"/>
      <c r="M5" s="336"/>
      <c r="N5" s="335"/>
      <c r="O5" s="335"/>
      <c r="P5" s="335"/>
      <c r="Q5" s="335"/>
    </row>
    <row r="6" spans="1:26">
      <c r="G6" s="514"/>
      <c r="H6" s="514"/>
      <c r="I6" s="514"/>
      <c r="K6" s="339"/>
      <c r="L6" s="323"/>
      <c r="M6" s="339"/>
      <c r="O6" s="514"/>
      <c r="P6" s="514"/>
      <c r="Q6" s="514"/>
    </row>
    <row r="7" spans="1:26">
      <c r="C7" s="340" t="s">
        <v>453</v>
      </c>
      <c r="D7" s="341"/>
      <c r="E7" s="342"/>
      <c r="F7" s="343"/>
      <c r="G7" s="344"/>
      <c r="H7" s="343"/>
      <c r="I7" s="343"/>
      <c r="K7" s="340" t="s">
        <v>454</v>
      </c>
      <c r="L7" s="341"/>
      <c r="M7" s="342"/>
      <c r="N7" s="343"/>
      <c r="O7" s="344"/>
      <c r="P7" s="343"/>
      <c r="Q7" s="343"/>
      <c r="W7" s="320"/>
      <c r="X7" s="320"/>
      <c r="Y7" s="320"/>
      <c r="Z7" s="320"/>
    </row>
    <row r="8" spans="1:26" ht="15.75">
      <c r="C8" s="342" t="s">
        <v>455</v>
      </c>
      <c r="D8" s="343"/>
      <c r="E8" s="342"/>
      <c r="G8" s="342" t="s">
        <v>264</v>
      </c>
      <c r="H8" s="343"/>
      <c r="I8" s="342"/>
      <c r="K8" s="342" t="s">
        <v>455</v>
      </c>
      <c r="L8" s="343"/>
      <c r="M8" s="342"/>
      <c r="O8" s="342" t="s">
        <v>264</v>
      </c>
      <c r="P8" s="343"/>
      <c r="Q8" s="342"/>
      <c r="T8" s="345"/>
      <c r="U8" s="345"/>
      <c r="W8" s="320"/>
      <c r="X8" s="320"/>
      <c r="Y8" s="320"/>
      <c r="Z8" s="320"/>
    </row>
    <row r="9" spans="1:26">
      <c r="A9" s="346" t="s">
        <v>456</v>
      </c>
      <c r="C9" s="347" t="s">
        <v>457</v>
      </c>
      <c r="E9" s="348" t="s">
        <v>458</v>
      </c>
      <c r="G9" s="349" t="s">
        <v>459</v>
      </c>
      <c r="I9" s="350" t="s">
        <v>311</v>
      </c>
      <c r="K9" s="347" t="s">
        <v>457</v>
      </c>
      <c r="M9" s="348" t="s">
        <v>458</v>
      </c>
      <c r="O9" s="349" t="s">
        <v>459</v>
      </c>
      <c r="Q9" s="350" t="s">
        <v>311</v>
      </c>
      <c r="W9" s="351"/>
      <c r="X9" s="351"/>
      <c r="Y9" s="351"/>
      <c r="Z9" s="351"/>
    </row>
    <row r="10" spans="1:26">
      <c r="A10" s="337">
        <v>100</v>
      </c>
      <c r="C10" s="338">
        <f t="shared" ref="C10:C16" si="0">ROUND($T$12+((MIN(400,$A10)*($T$13+$T$28)+MAX(0,MIN(600,$A10-400))*($T$14+$T$28)+MAX(0,$A10-1000)*($T$15+$T$28))/100+MAX(0,$T$16-($T$12+(MIN(400,$A10)*($T$13+$T$28)+MAX(0,MIN(600,$A10-400))*($T$14+$T$28)+MAX(0,$A10-1000)*($T$15+$T$28))/100)))*(1+$T$31)*(1+$T$18)+$T$17,2)</f>
        <v>14.59</v>
      </c>
      <c r="E10" s="338">
        <f>ROUND($U$12+((MIN(400,$A10)*($U$13+$U$28)+MAX(0,MIN(600,$A10-400))*($U$14+$U$28)+MAX(0,$A10-1000)*($U$15+$U$28))/100+MAX(0,$U$16-($U$12+(MIN(400,$A10)*($U$13+$U$28)+MAX(0,MIN(600,$A10-400))*($U$14+$U$28)+MAX(0,$A10-1000)*($U$15+$U$28))/100)))*(1+$U$31)*(1+$U$18)+$U$17,2)</f>
        <v>14.7</v>
      </c>
      <c r="F10" s="338"/>
      <c r="G10" s="352">
        <f t="shared" ref="G10:G16" si="1">E10-C10</f>
        <v>0.10999999999999943</v>
      </c>
      <c r="I10" s="353">
        <f t="shared" ref="I10:I16" si="2">ROUND(IF(C10=0,0,E10/C10-1),3)</f>
        <v>8.0000000000000002E-3</v>
      </c>
      <c r="K10" s="338">
        <f>ROUND($T$20+((MIN(400,$A10)*($T$21+$T$28)+MAX(0,MIN(600,$A10-400))*($T$22+$T$28)+MAX(0,$A10-1000)*($T$23+$T$28))/100+MAX(0,$T$24-($T$20+(MIN(400,$A10)*($T$21+$T$28)+MAX(0,MIN(600,$A10-400))*($T$22+$T$28)+MAX(0,$A10-1000)*($T$23+$T$28))/100)))*(1+$T$31)*(1+$T$26)+$T$25,2)</f>
        <v>14.59</v>
      </c>
      <c r="M10" s="338">
        <f>ROUND($U$20+((MIN(400,$A10)*($U$21+$U$28)+MAX(0,MIN(600,$A10-400))*($U$22+$U$28)+MAX(0,$A10-1000)*($U$23+$U$28))/100+MAX(0,$U$24-($U$20+(MIN(400,$A10)*($U$21+$U$28)+MAX(0,MIN(600,$A10-400))*($U$22+$U$28)+MAX(0,$A10-1000)*($U$23+$U$28))/100)))*(1+$U$31)*(1+$U$26)+$U$25,2)</f>
        <v>14.7</v>
      </c>
      <c r="N10" s="338"/>
      <c r="O10" s="352">
        <f t="shared" ref="O10:O31" si="3">M10-K10</f>
        <v>0.10999999999999943</v>
      </c>
      <c r="Q10" s="353">
        <f t="shared" ref="Q10:Q31" si="4">ROUND(IF(K10=0,0,M10/K10-1),3)</f>
        <v>8.0000000000000002E-3</v>
      </c>
      <c r="S10" s="354" t="s">
        <v>402</v>
      </c>
      <c r="T10" s="355" t="s">
        <v>457</v>
      </c>
      <c r="U10" s="356" t="s">
        <v>458</v>
      </c>
      <c r="W10" s="357"/>
      <c r="X10" s="357"/>
      <c r="Y10" s="357"/>
      <c r="Z10" s="357"/>
    </row>
    <row r="11" spans="1:26" ht="13.5">
      <c r="A11" s="337">
        <v>200</v>
      </c>
      <c r="C11" s="338">
        <f t="shared" si="0"/>
        <v>23.91</v>
      </c>
      <c r="E11" s="338">
        <f t="shared" ref="E11:E16" si="5">ROUND($U$12+((MIN(400,$A11)*($U$13+$U$28)+MAX(0,MIN(600,$A11-400))*($U$14+$U$28)+MAX(0,$A11-1000)*($U$15+$U$28))/100+MAX(0,$U$16-($U$12+(MIN(400,$A11)*($U$13+$U$28)+MAX(0,MIN(600,$A11-400))*($U$14+$U$28)+MAX(0,$A11-1000)*($U$15+$U$28))/100)))*(1+$U$31)*(1+$U$18)+$U$17,2)</f>
        <v>24.15</v>
      </c>
      <c r="F11" s="338"/>
      <c r="G11" s="352">
        <f t="shared" si="1"/>
        <v>0.23999999999999844</v>
      </c>
      <c r="I11" s="353">
        <f t="shared" si="2"/>
        <v>0.01</v>
      </c>
      <c r="K11" s="338">
        <f t="shared" ref="K11:K31" si="6">ROUND($T$20+((MIN(400,$A11)*($T$21+$T$28)+MAX(0,MIN(600,$A11-400))*($T$22+$T$28)+MAX(0,$A11-1000)*($T$23+$T$28))/100+MAX(0,$T$24-($T$20+(MIN(400,$A11)*($T$21+$T$28)+MAX(0,MIN(600,$A11-400))*($T$22+$T$28)+MAX(0,$A11-1000)*($T$23+$T$28))/100)))*(1+$T$31)*(1+$T$26)+$T$25,2)</f>
        <v>23.91</v>
      </c>
      <c r="M11" s="338">
        <f t="shared" ref="M11:M31" si="7">ROUND($U$20+((MIN(400,$A11)*($U$21+$U$28)+MAX(0,MIN(600,$A11-400))*($U$22+$U$28)+MAX(0,$A11-1000)*($U$23+$U$28))/100+MAX(0,$U$24-($U$20+(MIN(400,$A11)*($U$21+$U$28)+MAX(0,MIN(600,$A11-400))*($U$22+$U$28)+MAX(0,$A11-1000)*($U$23+$U$28))/100)))*(1+$U$31)*(1+$U$26)+$U$25,2)</f>
        <v>24.15</v>
      </c>
      <c r="N11" s="338"/>
      <c r="O11" s="352">
        <f t="shared" si="3"/>
        <v>0.23999999999999844</v>
      </c>
      <c r="Q11" s="353">
        <f t="shared" si="4"/>
        <v>0.01</v>
      </c>
      <c r="S11" s="358" t="s">
        <v>453</v>
      </c>
      <c r="T11" s="324"/>
      <c r="U11" s="359"/>
      <c r="W11" s="357"/>
      <c r="X11" s="357"/>
      <c r="Y11" s="357"/>
      <c r="Z11" s="357"/>
    </row>
    <row r="12" spans="1:26">
      <c r="A12" s="337">
        <v>300</v>
      </c>
      <c r="C12" s="338">
        <f t="shared" si="0"/>
        <v>33.24</v>
      </c>
      <c r="E12" s="338">
        <f t="shared" si="5"/>
        <v>33.590000000000003</v>
      </c>
      <c r="F12" s="338"/>
      <c r="G12" s="352">
        <f t="shared" si="1"/>
        <v>0.35000000000000142</v>
      </c>
      <c r="I12" s="353">
        <f t="shared" si="2"/>
        <v>1.0999999999999999E-2</v>
      </c>
      <c r="K12" s="338">
        <f t="shared" si="6"/>
        <v>33.24</v>
      </c>
      <c r="M12" s="338">
        <f t="shared" si="7"/>
        <v>33.590000000000003</v>
      </c>
      <c r="N12" s="338"/>
      <c r="O12" s="352">
        <f t="shared" si="3"/>
        <v>0.35000000000000142</v>
      </c>
      <c r="Q12" s="353">
        <f t="shared" si="4"/>
        <v>1.0999999999999999E-2</v>
      </c>
      <c r="S12" s="360" t="s">
        <v>460</v>
      </c>
      <c r="T12" s="361">
        <v>5</v>
      </c>
      <c r="U12" s="362">
        <v>5</v>
      </c>
      <c r="V12" s="363">
        <f>U12/T12-1</f>
        <v>0</v>
      </c>
      <c r="W12" s="357"/>
      <c r="X12" s="357"/>
      <c r="Y12" s="357"/>
      <c r="Z12" s="357"/>
    </row>
    <row r="13" spans="1:26">
      <c r="A13" s="337">
        <v>400</v>
      </c>
      <c r="C13" s="338">
        <f t="shared" si="0"/>
        <v>42.57</v>
      </c>
      <c r="E13" s="338">
        <f t="shared" si="5"/>
        <v>43.03</v>
      </c>
      <c r="F13" s="338"/>
      <c r="G13" s="352">
        <f t="shared" si="1"/>
        <v>0.46000000000000085</v>
      </c>
      <c r="I13" s="353">
        <f t="shared" si="2"/>
        <v>1.0999999999999999E-2</v>
      </c>
      <c r="K13" s="338">
        <f t="shared" si="6"/>
        <v>42.57</v>
      </c>
      <c r="M13" s="338">
        <f t="shared" si="7"/>
        <v>43.03</v>
      </c>
      <c r="N13" s="338"/>
      <c r="O13" s="352">
        <f t="shared" si="3"/>
        <v>0.46000000000000085</v>
      </c>
      <c r="Q13" s="353">
        <f t="shared" si="4"/>
        <v>1.0999999999999999E-2</v>
      </c>
      <c r="S13" s="360" t="s">
        <v>461</v>
      </c>
      <c r="T13" s="364">
        <v>8.8498000000000001</v>
      </c>
      <c r="U13" s="365">
        <v>8.8498000000000001</v>
      </c>
      <c r="V13" s="363">
        <f t="shared" ref="V13:V26" si="8">U13/T13-1</f>
        <v>0</v>
      </c>
      <c r="W13" s="357"/>
      <c r="X13" s="357"/>
      <c r="Y13" s="357"/>
      <c r="Z13" s="357"/>
    </row>
    <row r="14" spans="1:26">
      <c r="A14" s="337">
        <v>500</v>
      </c>
      <c r="C14" s="338">
        <f t="shared" si="0"/>
        <v>54.72</v>
      </c>
      <c r="E14" s="338">
        <f t="shared" si="5"/>
        <v>55.34</v>
      </c>
      <c r="F14" s="338"/>
      <c r="G14" s="352">
        <f t="shared" si="1"/>
        <v>0.62000000000000455</v>
      </c>
      <c r="I14" s="353">
        <f t="shared" si="2"/>
        <v>1.0999999999999999E-2</v>
      </c>
      <c r="K14" s="338">
        <f t="shared" si="6"/>
        <v>52.99</v>
      </c>
      <c r="M14" s="338">
        <f t="shared" si="7"/>
        <v>53.58</v>
      </c>
      <c r="N14" s="338"/>
      <c r="O14" s="352">
        <f t="shared" si="3"/>
        <v>0.58999999999999631</v>
      </c>
      <c r="Q14" s="353">
        <f t="shared" si="4"/>
        <v>1.0999999999999999E-2</v>
      </c>
      <c r="S14" s="360" t="s">
        <v>462</v>
      </c>
      <c r="T14" s="364">
        <v>11.542899999999999</v>
      </c>
      <c r="U14" s="365">
        <v>11.542899999999999</v>
      </c>
      <c r="V14" s="363">
        <f t="shared" si="8"/>
        <v>0</v>
      </c>
      <c r="W14" s="357"/>
      <c r="X14" s="357"/>
      <c r="Y14" s="357"/>
      <c r="Z14" s="357"/>
    </row>
    <row r="15" spans="1:26">
      <c r="A15" s="337">
        <v>600</v>
      </c>
      <c r="C15" s="338">
        <f t="shared" si="0"/>
        <v>66.88</v>
      </c>
      <c r="E15" s="338">
        <f t="shared" si="5"/>
        <v>67.64</v>
      </c>
      <c r="F15" s="338"/>
      <c r="G15" s="352">
        <f t="shared" si="1"/>
        <v>0.76000000000000512</v>
      </c>
      <c r="I15" s="353">
        <f t="shared" si="2"/>
        <v>1.0999999999999999E-2</v>
      </c>
      <c r="K15" s="338">
        <f t="shared" si="6"/>
        <v>63.41</v>
      </c>
      <c r="M15" s="338">
        <f t="shared" si="7"/>
        <v>64.13</v>
      </c>
      <c r="N15" s="338"/>
      <c r="O15" s="352">
        <f t="shared" si="3"/>
        <v>0.71999999999999886</v>
      </c>
      <c r="Q15" s="353">
        <f t="shared" si="4"/>
        <v>1.0999999999999999E-2</v>
      </c>
      <c r="S15" s="360" t="s">
        <v>463</v>
      </c>
      <c r="T15" s="364">
        <v>14.450799999999999</v>
      </c>
      <c r="U15" s="365">
        <v>14.450799999999999</v>
      </c>
      <c r="V15" s="363">
        <f t="shared" si="8"/>
        <v>0</v>
      </c>
      <c r="W15" s="357"/>
      <c r="X15" s="357"/>
      <c r="Y15" s="357"/>
      <c r="Z15" s="357"/>
    </row>
    <row r="16" spans="1:26">
      <c r="A16" s="337">
        <v>700</v>
      </c>
      <c r="C16" s="338">
        <f t="shared" si="0"/>
        <v>79.03</v>
      </c>
      <c r="E16" s="338">
        <f t="shared" si="5"/>
        <v>79.95</v>
      </c>
      <c r="F16" s="338"/>
      <c r="G16" s="352">
        <f t="shared" si="1"/>
        <v>0.92000000000000171</v>
      </c>
      <c r="I16" s="353">
        <f t="shared" si="2"/>
        <v>1.2E-2</v>
      </c>
      <c r="K16" s="338">
        <f t="shared" si="6"/>
        <v>73.83</v>
      </c>
      <c r="M16" s="338">
        <f t="shared" si="7"/>
        <v>74.680000000000007</v>
      </c>
      <c r="N16" s="338"/>
      <c r="O16" s="352">
        <f t="shared" si="3"/>
        <v>0.85000000000000853</v>
      </c>
      <c r="Q16" s="353">
        <f t="shared" si="4"/>
        <v>1.2E-2</v>
      </c>
      <c r="S16" s="360" t="s">
        <v>464</v>
      </c>
      <c r="T16" s="361">
        <v>7</v>
      </c>
      <c r="U16" s="362">
        <v>7</v>
      </c>
      <c r="V16" s="363">
        <f t="shared" si="8"/>
        <v>0</v>
      </c>
      <c r="W16" s="357"/>
      <c r="X16" s="357"/>
      <c r="Y16" s="357"/>
      <c r="Z16" s="357"/>
    </row>
    <row r="17" spans="1:26">
      <c r="A17" s="337">
        <f>T36</f>
        <v>696.22116643869072</v>
      </c>
      <c r="B17" s="327" t="s">
        <v>465</v>
      </c>
      <c r="F17" s="338"/>
      <c r="G17" s="352"/>
      <c r="I17" s="353"/>
      <c r="K17" s="338">
        <f t="shared" si="6"/>
        <v>73.44</v>
      </c>
      <c r="M17" s="338">
        <f t="shared" si="7"/>
        <v>74.28</v>
      </c>
      <c r="N17" s="338"/>
      <c r="O17" s="352">
        <f t="shared" si="3"/>
        <v>0.84000000000000341</v>
      </c>
      <c r="Q17" s="353">
        <f t="shared" si="4"/>
        <v>1.0999999999999999E-2</v>
      </c>
      <c r="S17" s="360" t="s">
        <v>466</v>
      </c>
      <c r="T17" s="361">
        <v>0.26</v>
      </c>
      <c r="U17" s="362">
        <v>0.26</v>
      </c>
      <c r="V17" s="363">
        <f t="shared" si="8"/>
        <v>0</v>
      </c>
      <c r="W17" s="357"/>
      <c r="X17" s="357"/>
      <c r="Y17" s="357"/>
      <c r="Z17" s="357"/>
    </row>
    <row r="18" spans="1:26">
      <c r="A18" s="337">
        <f>T37</f>
        <v>731.50248355152792</v>
      </c>
      <c r="B18" s="327" t="s">
        <v>467</v>
      </c>
      <c r="C18" s="338">
        <f t="shared" ref="C18:C31" si="9">ROUND($T$12+((MIN(400,$A18)*($T$13+$T$28)+MAX(0,MIN(600,$A18-400))*($T$14+$T$28)+MAX(0,$A18-1000)*($T$15+$T$28))/100+MAX(0,$T$16-($T$12+(MIN(400,$A18)*($T$13+$T$28)+MAX(0,MIN(600,$A18-400))*($T$14+$T$28)+MAX(0,$A18-1000)*($T$15+$T$28))/100)))*(1+$T$31)*(1+$T$18)+$T$17,2)</f>
        <v>82.86</v>
      </c>
      <c r="E18" s="338">
        <f t="shared" ref="E18:E31" si="10">ROUND($U$12+((MIN(400,$A18)*($U$13+$U$28)+MAX(0,MIN(600,$A18-400))*($U$14+$U$28)+MAX(0,$A18-1000)*($U$15+$U$28))/100+MAX(0,$U$16-($U$12+(MIN(400,$A18)*($U$13+$U$28)+MAX(0,MIN(600,$A18-400))*($U$14+$U$28)+MAX(0,$A18-1000)*($U$15+$U$28))/100)))*(1+$U$31)*(1+$U$18)+$U$17,2)</f>
        <v>83.82</v>
      </c>
      <c r="F18" s="338"/>
      <c r="G18" s="352">
        <f t="shared" ref="G18:G31" si="11">E18-C18</f>
        <v>0.95999999999999375</v>
      </c>
      <c r="I18" s="353">
        <f t="shared" ref="I18:I31" si="12">ROUND(IF(C18=0,0,E18/C18-1),3)</f>
        <v>1.2E-2</v>
      </c>
      <c r="K18" s="338">
        <f t="shared" si="6"/>
        <v>77.11</v>
      </c>
      <c r="M18" s="338">
        <f t="shared" si="7"/>
        <v>78</v>
      </c>
      <c r="N18" s="338"/>
      <c r="O18" s="352">
        <f t="shared" si="3"/>
        <v>0.89000000000000057</v>
      </c>
      <c r="Q18" s="353">
        <f t="shared" si="4"/>
        <v>1.2E-2</v>
      </c>
      <c r="S18" s="360" t="s">
        <v>468</v>
      </c>
      <c r="T18" s="366">
        <v>3.3799999999999997E-2</v>
      </c>
      <c r="U18" s="367">
        <v>3.3799999999999997E-2</v>
      </c>
      <c r="V18" s="363">
        <f t="shared" si="8"/>
        <v>0</v>
      </c>
      <c r="W18" s="357"/>
      <c r="X18" s="357"/>
      <c r="Y18" s="357"/>
      <c r="Z18" s="357"/>
    </row>
    <row r="19" spans="1:26" ht="13.5">
      <c r="A19" s="337">
        <f>T35</f>
        <v>780.8963275095</v>
      </c>
      <c r="B19" s="327" t="s">
        <v>469</v>
      </c>
      <c r="C19" s="338">
        <f t="shared" si="9"/>
        <v>88.86</v>
      </c>
      <c r="E19" s="338">
        <f t="shared" si="10"/>
        <v>89.9</v>
      </c>
      <c r="F19" s="338"/>
      <c r="G19" s="352">
        <f t="shared" si="11"/>
        <v>1.0400000000000063</v>
      </c>
      <c r="I19" s="353">
        <f t="shared" si="12"/>
        <v>1.2E-2</v>
      </c>
      <c r="N19" s="338"/>
      <c r="O19" s="352"/>
      <c r="Q19" s="353"/>
      <c r="S19" s="358" t="s">
        <v>454</v>
      </c>
      <c r="T19" s="324"/>
      <c r="U19" s="359"/>
      <c r="V19" s="363"/>
      <c r="W19" s="357"/>
      <c r="X19" s="357"/>
      <c r="Y19" s="357"/>
      <c r="Z19" s="357"/>
    </row>
    <row r="20" spans="1:26">
      <c r="A20" s="337">
        <v>800</v>
      </c>
      <c r="C20" s="338">
        <f t="shared" si="9"/>
        <v>91.19</v>
      </c>
      <c r="E20" s="338">
        <f t="shared" si="10"/>
        <v>92.25</v>
      </c>
      <c r="F20" s="338"/>
      <c r="G20" s="352">
        <f t="shared" si="11"/>
        <v>1.0600000000000023</v>
      </c>
      <c r="I20" s="353">
        <f t="shared" si="12"/>
        <v>1.2E-2</v>
      </c>
      <c r="K20" s="338">
        <f t="shared" si="6"/>
        <v>84.25</v>
      </c>
      <c r="M20" s="338">
        <f t="shared" si="7"/>
        <v>85.23</v>
      </c>
      <c r="N20" s="338"/>
      <c r="O20" s="352">
        <f t="shared" si="3"/>
        <v>0.98000000000000398</v>
      </c>
      <c r="Q20" s="353">
        <f t="shared" si="4"/>
        <v>1.2E-2</v>
      </c>
      <c r="S20" s="360" t="s">
        <v>460</v>
      </c>
      <c r="T20" s="368">
        <f>T12</f>
        <v>5</v>
      </c>
      <c r="U20" s="369">
        <v>5</v>
      </c>
      <c r="V20" s="363">
        <f t="shared" si="8"/>
        <v>0</v>
      </c>
      <c r="W20" s="357"/>
      <c r="X20" s="357"/>
      <c r="Y20" s="357"/>
      <c r="Z20" s="357"/>
    </row>
    <row r="21" spans="1:26">
      <c r="A21" s="337">
        <v>900</v>
      </c>
      <c r="C21" s="338">
        <f t="shared" si="9"/>
        <v>103.34</v>
      </c>
      <c r="E21" s="338">
        <f t="shared" si="10"/>
        <v>104.56</v>
      </c>
      <c r="F21" s="338"/>
      <c r="G21" s="352">
        <f t="shared" si="11"/>
        <v>1.2199999999999989</v>
      </c>
      <c r="I21" s="353">
        <f t="shared" si="12"/>
        <v>1.2E-2</v>
      </c>
      <c r="K21" s="338">
        <f t="shared" si="6"/>
        <v>94.67</v>
      </c>
      <c r="M21" s="338">
        <f t="shared" si="7"/>
        <v>95.78</v>
      </c>
      <c r="N21" s="338"/>
      <c r="O21" s="352">
        <f t="shared" si="3"/>
        <v>1.1099999999999994</v>
      </c>
      <c r="Q21" s="353">
        <f t="shared" si="4"/>
        <v>1.2E-2</v>
      </c>
      <c r="S21" s="360" t="s">
        <v>461</v>
      </c>
      <c r="T21" s="370">
        <v>8.8498000000000001</v>
      </c>
      <c r="U21" s="371">
        <v>8.8498000000000001</v>
      </c>
      <c r="V21" s="363">
        <f t="shared" si="8"/>
        <v>0</v>
      </c>
      <c r="W21" s="357"/>
      <c r="X21" s="357"/>
      <c r="Y21" s="357"/>
      <c r="Z21" s="357"/>
    </row>
    <row r="22" spans="1:26">
      <c r="A22" s="337">
        <v>1000</v>
      </c>
      <c r="C22" s="338">
        <f t="shared" si="9"/>
        <v>115.49</v>
      </c>
      <c r="E22" s="338">
        <f t="shared" si="10"/>
        <v>116.86</v>
      </c>
      <c r="F22" s="338"/>
      <c r="G22" s="352">
        <f t="shared" si="11"/>
        <v>1.3700000000000045</v>
      </c>
      <c r="I22" s="353">
        <f t="shared" si="12"/>
        <v>1.2E-2</v>
      </c>
      <c r="K22" s="338">
        <f t="shared" si="6"/>
        <v>105.09</v>
      </c>
      <c r="M22" s="338">
        <f t="shared" si="7"/>
        <v>106.33</v>
      </c>
      <c r="N22" s="338"/>
      <c r="O22" s="352">
        <f t="shared" si="3"/>
        <v>1.2399999999999949</v>
      </c>
      <c r="Q22" s="353">
        <f t="shared" si="4"/>
        <v>1.2E-2</v>
      </c>
      <c r="S22" s="360" t="s">
        <v>462</v>
      </c>
      <c r="T22" s="370">
        <v>9.8912999999999993</v>
      </c>
      <c r="U22" s="371">
        <v>9.8912999999999993</v>
      </c>
      <c r="V22" s="363">
        <f t="shared" si="8"/>
        <v>0</v>
      </c>
      <c r="W22" s="357"/>
      <c r="X22" s="357"/>
      <c r="Y22" s="357"/>
      <c r="Z22" s="357"/>
    </row>
    <row r="23" spans="1:26">
      <c r="A23" s="337">
        <v>1100</v>
      </c>
      <c r="C23" s="338">
        <f t="shared" si="9"/>
        <v>130.69999999999999</v>
      </c>
      <c r="E23" s="338">
        <f t="shared" si="10"/>
        <v>132.26</v>
      </c>
      <c r="F23" s="338"/>
      <c r="G23" s="352">
        <f t="shared" si="11"/>
        <v>1.5600000000000023</v>
      </c>
      <c r="I23" s="353">
        <f t="shared" si="12"/>
        <v>1.2E-2</v>
      </c>
      <c r="K23" s="338">
        <f t="shared" si="6"/>
        <v>115.51</v>
      </c>
      <c r="M23" s="338">
        <f t="shared" si="7"/>
        <v>116.88</v>
      </c>
      <c r="N23" s="338"/>
      <c r="O23" s="352">
        <f t="shared" si="3"/>
        <v>1.3699999999999903</v>
      </c>
      <c r="Q23" s="353">
        <f t="shared" si="4"/>
        <v>1.2E-2</v>
      </c>
      <c r="S23" s="360" t="s">
        <v>463</v>
      </c>
      <c r="T23" s="370">
        <f>T22</f>
        <v>9.8912999999999993</v>
      </c>
      <c r="U23" s="371">
        <v>9.8912999999999993</v>
      </c>
      <c r="V23" s="363">
        <f t="shared" si="8"/>
        <v>0</v>
      </c>
      <c r="W23" s="357"/>
      <c r="X23" s="357"/>
      <c r="Y23" s="357"/>
      <c r="Z23" s="357"/>
    </row>
    <row r="24" spans="1:26">
      <c r="A24" s="337">
        <v>1200</v>
      </c>
      <c r="C24" s="338">
        <f t="shared" si="9"/>
        <v>145.91</v>
      </c>
      <c r="E24" s="338">
        <f t="shared" si="10"/>
        <v>147.65</v>
      </c>
      <c r="F24" s="338"/>
      <c r="G24" s="352">
        <f t="shared" si="11"/>
        <v>1.7400000000000091</v>
      </c>
      <c r="I24" s="353">
        <f t="shared" si="12"/>
        <v>1.2E-2</v>
      </c>
      <c r="K24" s="338">
        <f t="shared" si="6"/>
        <v>125.93</v>
      </c>
      <c r="M24" s="338">
        <f t="shared" si="7"/>
        <v>127.43</v>
      </c>
      <c r="N24" s="338"/>
      <c r="O24" s="352">
        <f t="shared" si="3"/>
        <v>1.5</v>
      </c>
      <c r="Q24" s="353">
        <f t="shared" si="4"/>
        <v>1.2E-2</v>
      </c>
      <c r="S24" s="360" t="s">
        <v>464</v>
      </c>
      <c r="T24" s="368">
        <f>T16</f>
        <v>7</v>
      </c>
      <c r="U24" s="369">
        <v>7</v>
      </c>
      <c r="V24" s="363">
        <f t="shared" si="8"/>
        <v>0</v>
      </c>
      <c r="W24" s="357"/>
      <c r="X24" s="357"/>
      <c r="Y24" s="357"/>
      <c r="Z24" s="357"/>
    </row>
    <row r="25" spans="1:26">
      <c r="A25" s="337">
        <v>1300</v>
      </c>
      <c r="C25" s="338">
        <f t="shared" si="9"/>
        <v>161.11000000000001</v>
      </c>
      <c r="E25" s="338">
        <f t="shared" si="10"/>
        <v>163.05000000000001</v>
      </c>
      <c r="F25" s="338"/>
      <c r="G25" s="352">
        <f t="shared" si="11"/>
        <v>1.9399999999999977</v>
      </c>
      <c r="I25" s="353">
        <f t="shared" si="12"/>
        <v>1.2E-2</v>
      </c>
      <c r="K25" s="338">
        <f t="shared" si="6"/>
        <v>136.35</v>
      </c>
      <c r="M25" s="338">
        <f t="shared" si="7"/>
        <v>137.97999999999999</v>
      </c>
      <c r="N25" s="338"/>
      <c r="O25" s="352">
        <f t="shared" si="3"/>
        <v>1.6299999999999955</v>
      </c>
      <c r="Q25" s="353">
        <f t="shared" si="4"/>
        <v>1.2E-2</v>
      </c>
      <c r="S25" s="360" t="s">
        <v>466</v>
      </c>
      <c r="T25" s="368">
        <f>T17</f>
        <v>0.26</v>
      </c>
      <c r="U25" s="369">
        <v>0.26</v>
      </c>
      <c r="V25" s="363">
        <f t="shared" si="8"/>
        <v>0</v>
      </c>
      <c r="W25" s="357"/>
      <c r="X25" s="357"/>
      <c r="Y25" s="357"/>
      <c r="Z25" s="357"/>
    </row>
    <row r="26" spans="1:26">
      <c r="A26" s="337">
        <v>1400</v>
      </c>
      <c r="C26" s="338">
        <f t="shared" si="9"/>
        <v>176.32</v>
      </c>
      <c r="E26" s="338">
        <f t="shared" si="10"/>
        <v>178.44</v>
      </c>
      <c r="F26" s="338"/>
      <c r="G26" s="352">
        <f t="shared" si="11"/>
        <v>2.1200000000000045</v>
      </c>
      <c r="I26" s="353">
        <f t="shared" si="12"/>
        <v>1.2E-2</v>
      </c>
      <c r="K26" s="338">
        <f t="shared" si="6"/>
        <v>146.77000000000001</v>
      </c>
      <c r="M26" s="338">
        <f t="shared" si="7"/>
        <v>148.53</v>
      </c>
      <c r="N26" s="338"/>
      <c r="O26" s="352">
        <f t="shared" si="3"/>
        <v>1.7599999999999909</v>
      </c>
      <c r="Q26" s="353">
        <f t="shared" si="4"/>
        <v>1.2E-2</v>
      </c>
      <c r="S26" s="372" t="s">
        <v>468</v>
      </c>
      <c r="T26" s="373">
        <f>T18</f>
        <v>3.3799999999999997E-2</v>
      </c>
      <c r="U26" s="374">
        <v>3.3799999999999997E-2</v>
      </c>
      <c r="V26" s="363">
        <f t="shared" si="8"/>
        <v>0</v>
      </c>
      <c r="W26" s="357"/>
      <c r="X26" s="357"/>
      <c r="Y26" s="357"/>
      <c r="Z26" s="357"/>
    </row>
    <row r="27" spans="1:26">
      <c r="A27" s="337">
        <v>1500</v>
      </c>
      <c r="C27" s="338">
        <f t="shared" si="9"/>
        <v>191.53</v>
      </c>
      <c r="E27" s="338">
        <f t="shared" si="10"/>
        <v>193.84</v>
      </c>
      <c r="F27" s="338"/>
      <c r="G27" s="352">
        <f t="shared" si="11"/>
        <v>2.3100000000000023</v>
      </c>
      <c r="I27" s="353">
        <f t="shared" si="12"/>
        <v>1.2E-2</v>
      </c>
      <c r="K27" s="338">
        <f t="shared" si="6"/>
        <v>157.19</v>
      </c>
      <c r="M27" s="338">
        <f t="shared" si="7"/>
        <v>159.08000000000001</v>
      </c>
      <c r="N27" s="338"/>
      <c r="O27" s="352">
        <f t="shared" si="3"/>
        <v>1.8900000000000148</v>
      </c>
      <c r="Q27" s="353">
        <f t="shared" si="4"/>
        <v>1.2E-2</v>
      </c>
      <c r="V27" s="363"/>
      <c r="W27" s="357"/>
      <c r="X27" s="357"/>
      <c r="Y27" s="357"/>
      <c r="Z27" s="357"/>
    </row>
    <row r="28" spans="1:26">
      <c r="A28" s="337">
        <v>2000</v>
      </c>
      <c r="C28" s="338">
        <f t="shared" si="9"/>
        <v>267.56</v>
      </c>
      <c r="E28" s="338">
        <f t="shared" si="10"/>
        <v>270.82</v>
      </c>
      <c r="F28" s="338"/>
      <c r="G28" s="352">
        <f t="shared" si="11"/>
        <v>3.2599999999999909</v>
      </c>
      <c r="I28" s="353">
        <f t="shared" si="12"/>
        <v>1.2E-2</v>
      </c>
      <c r="K28" s="338">
        <f t="shared" si="6"/>
        <v>209.3</v>
      </c>
      <c r="M28" s="338">
        <f t="shared" si="7"/>
        <v>211.83</v>
      </c>
      <c r="N28" s="338"/>
      <c r="O28" s="352">
        <f t="shared" si="3"/>
        <v>2.5300000000000011</v>
      </c>
      <c r="Q28" s="353">
        <f t="shared" si="4"/>
        <v>1.2E-2</v>
      </c>
      <c r="S28" s="327" t="s">
        <v>470</v>
      </c>
      <c r="T28" s="364">
        <v>3.56E-2</v>
      </c>
      <c r="U28" s="364">
        <v>3.56E-2</v>
      </c>
      <c r="V28" s="363">
        <f>U28/T28-1</f>
        <v>0</v>
      </c>
      <c r="W28" s="357"/>
      <c r="X28" s="357"/>
      <c r="Y28" s="357"/>
      <c r="Z28" s="357"/>
    </row>
    <row r="29" spans="1:26">
      <c r="A29" s="337">
        <v>3000</v>
      </c>
      <c r="C29" s="338">
        <f t="shared" si="9"/>
        <v>419.63</v>
      </c>
      <c r="E29" s="338">
        <f t="shared" si="10"/>
        <v>424.77</v>
      </c>
      <c r="F29" s="338"/>
      <c r="G29" s="352">
        <f t="shared" si="11"/>
        <v>5.1399999999999864</v>
      </c>
      <c r="I29" s="353">
        <f t="shared" si="12"/>
        <v>1.2E-2</v>
      </c>
      <c r="K29" s="338">
        <f t="shared" si="6"/>
        <v>313.5</v>
      </c>
      <c r="M29" s="338">
        <f t="shared" si="7"/>
        <v>317.33</v>
      </c>
      <c r="N29" s="338"/>
      <c r="O29" s="352">
        <f t="shared" si="3"/>
        <v>3.8299999999999841</v>
      </c>
      <c r="Q29" s="353">
        <f t="shared" si="4"/>
        <v>1.2E-2</v>
      </c>
      <c r="S29" s="327" t="s">
        <v>471</v>
      </c>
      <c r="T29" s="375">
        <f>'Exhibit-RMP(JRS-2)'!I14</f>
        <v>1.7399999999999999E-2</v>
      </c>
      <c r="U29" s="376">
        <f>'Exhibit-RMP(JRS-2)'!M14</f>
        <v>0.03</v>
      </c>
      <c r="V29" s="363">
        <f>U29/T29-1</f>
        <v>0.72413793103448287</v>
      </c>
      <c r="W29" s="357"/>
      <c r="X29" s="357"/>
      <c r="Y29" s="357"/>
      <c r="Z29" s="357"/>
    </row>
    <row r="30" spans="1:26">
      <c r="A30" s="337">
        <v>4000</v>
      </c>
      <c r="C30" s="338">
        <f t="shared" si="9"/>
        <v>571.69000000000005</v>
      </c>
      <c r="E30" s="338">
        <f t="shared" si="10"/>
        <v>578.72</v>
      </c>
      <c r="F30" s="338"/>
      <c r="G30" s="352">
        <f t="shared" si="11"/>
        <v>7.0299999999999727</v>
      </c>
      <c r="I30" s="353">
        <f t="shared" si="12"/>
        <v>1.2E-2</v>
      </c>
      <c r="K30" s="338">
        <f t="shared" si="6"/>
        <v>417.71</v>
      </c>
      <c r="M30" s="338">
        <f t="shared" si="7"/>
        <v>422.82</v>
      </c>
      <c r="N30" s="338"/>
      <c r="O30" s="352">
        <f t="shared" si="3"/>
        <v>5.1100000000000136</v>
      </c>
      <c r="Q30" s="353">
        <f t="shared" si="4"/>
        <v>1.2E-2</v>
      </c>
      <c r="S30" s="327" t="s">
        <v>472</v>
      </c>
      <c r="T30" s="375">
        <v>-2E-3</v>
      </c>
      <c r="U30" s="376">
        <f>T30</f>
        <v>-2E-3</v>
      </c>
      <c r="V30" s="363">
        <f>U30/T30-1</f>
        <v>0</v>
      </c>
      <c r="W30" s="357"/>
      <c r="X30" s="357"/>
      <c r="Y30" s="357"/>
      <c r="Z30" s="357"/>
    </row>
    <row r="31" spans="1:26">
      <c r="A31" s="337">
        <v>5000</v>
      </c>
      <c r="C31" s="338">
        <f t="shared" si="9"/>
        <v>723.76</v>
      </c>
      <c r="E31" s="338">
        <f t="shared" si="10"/>
        <v>732.68</v>
      </c>
      <c r="F31" s="338"/>
      <c r="G31" s="352">
        <f t="shared" si="11"/>
        <v>8.9199999999999591</v>
      </c>
      <c r="I31" s="353">
        <f t="shared" si="12"/>
        <v>1.2E-2</v>
      </c>
      <c r="K31" s="338">
        <f t="shared" si="6"/>
        <v>521.91</v>
      </c>
      <c r="M31" s="338">
        <f t="shared" si="7"/>
        <v>528.32000000000005</v>
      </c>
      <c r="N31" s="338"/>
      <c r="O31" s="352">
        <f t="shared" si="3"/>
        <v>6.4100000000000819</v>
      </c>
      <c r="Q31" s="353">
        <f t="shared" si="4"/>
        <v>1.2E-2</v>
      </c>
      <c r="S31" s="324" t="s">
        <v>473</v>
      </c>
      <c r="T31" s="377">
        <f>SUM(T29:T30)</f>
        <v>1.5399999999999999E-2</v>
      </c>
      <c r="U31" s="378">
        <f>SUM(U29:U30)</f>
        <v>2.7999999999999997E-2</v>
      </c>
      <c r="V31" s="363">
        <f>U31/T31-1</f>
        <v>0.81818181818181812</v>
      </c>
      <c r="W31" s="357"/>
      <c r="X31" s="357"/>
      <c r="Y31" s="357"/>
      <c r="Z31" s="357"/>
    </row>
    <row r="32" spans="1:26">
      <c r="R32" s="379"/>
      <c r="W32" s="357"/>
      <c r="X32" s="357"/>
      <c r="Y32" s="357"/>
      <c r="Z32" s="357"/>
    </row>
    <row r="33" spans="1:30">
      <c r="T33" s="381" t="s">
        <v>476</v>
      </c>
      <c r="U33" s="382"/>
      <c r="V33" s="382"/>
      <c r="W33" s="383" t="s">
        <v>264</v>
      </c>
      <c r="X33" s="384"/>
      <c r="Y33" s="382" t="s">
        <v>457</v>
      </c>
      <c r="Z33" s="385" t="s">
        <v>477</v>
      </c>
    </row>
    <row r="34" spans="1:30" ht="15.75">
      <c r="A34" s="380" t="s">
        <v>474</v>
      </c>
      <c r="S34" s="324"/>
      <c r="T34" s="386" t="s">
        <v>456</v>
      </c>
      <c r="U34" s="386" t="s">
        <v>457</v>
      </c>
      <c r="V34" s="386" t="s">
        <v>458</v>
      </c>
      <c r="W34" s="387" t="s">
        <v>459</v>
      </c>
      <c r="X34" s="388" t="s">
        <v>311</v>
      </c>
      <c r="Y34" s="389" t="s">
        <v>478</v>
      </c>
      <c r="Z34" s="389" t="s">
        <v>478</v>
      </c>
    </row>
    <row r="35" spans="1:30">
      <c r="A35" s="337" t="s">
        <v>475</v>
      </c>
      <c r="S35" s="390" t="s">
        <v>453</v>
      </c>
      <c r="T35" s="391">
        <v>780.8963275095</v>
      </c>
      <c r="U35" s="392">
        <f>C19</f>
        <v>88.86</v>
      </c>
      <c r="V35" s="392">
        <f>E19</f>
        <v>89.9</v>
      </c>
      <c r="W35" s="392">
        <f>V35-U35</f>
        <v>1.0400000000000063</v>
      </c>
      <c r="X35" s="393">
        <f>V35/U35-1</f>
        <v>1.1703803736214269E-2</v>
      </c>
      <c r="Y35" s="390">
        <f t="shared" ref="Y35:Z37" si="13">ROUND(U35/$T35*100,2)</f>
        <v>11.38</v>
      </c>
      <c r="Z35" s="394">
        <f t="shared" si="13"/>
        <v>11.51</v>
      </c>
    </row>
    <row r="36" spans="1:30" ht="15.75">
      <c r="A36" s="380"/>
      <c r="S36" s="394" t="s">
        <v>454</v>
      </c>
      <c r="T36" s="391">
        <v>696.22116643869072</v>
      </c>
      <c r="U36" s="392">
        <f>K17</f>
        <v>73.44</v>
      </c>
      <c r="V36" s="392">
        <f>M17</f>
        <v>74.28</v>
      </c>
      <c r="W36" s="392">
        <f>V36-U36</f>
        <v>0.84000000000000341</v>
      </c>
      <c r="X36" s="395">
        <f>V36/U36-1</f>
        <v>1.1437908496731986E-2</v>
      </c>
      <c r="Y36" s="396">
        <f t="shared" si="13"/>
        <v>10.55</v>
      </c>
      <c r="Z36" s="394">
        <f t="shared" si="13"/>
        <v>10.67</v>
      </c>
    </row>
    <row r="37" spans="1:30">
      <c r="S37" s="406" t="s">
        <v>479</v>
      </c>
      <c r="T37" s="407">
        <v>731.50248355152792</v>
      </c>
      <c r="U37" s="408">
        <f>(C18*5+K18*7)/12</f>
        <v>79.505833333333328</v>
      </c>
      <c r="V37" s="408">
        <f>(E18*5+M18*7)/12</f>
        <v>80.424999999999997</v>
      </c>
      <c r="W37" s="408">
        <f>V37-U37</f>
        <v>0.91916666666666913</v>
      </c>
      <c r="X37" s="409">
        <f>V37/U37-1</f>
        <v>1.1560996572578475E-2</v>
      </c>
      <c r="Y37" s="406">
        <f t="shared" si="13"/>
        <v>10.87</v>
      </c>
      <c r="Z37" s="406">
        <f t="shared" si="13"/>
        <v>10.99</v>
      </c>
    </row>
    <row r="38" spans="1:30">
      <c r="A38" s="397"/>
      <c r="B38" s="324"/>
      <c r="C38" s="334"/>
      <c r="D38" s="398"/>
      <c r="E38" s="339"/>
      <c r="F38" s="323"/>
      <c r="G38" s="399"/>
      <c r="H38" s="323"/>
      <c r="I38" s="323"/>
      <c r="J38" s="324"/>
    </row>
    <row r="39" spans="1:30">
      <c r="A39" s="397"/>
      <c r="B39" s="324"/>
      <c r="C39" s="339"/>
      <c r="D39" s="323"/>
      <c r="E39" s="339"/>
      <c r="F39" s="324"/>
      <c r="G39" s="339"/>
      <c r="H39" s="323"/>
      <c r="I39" s="339"/>
      <c r="J39" s="324"/>
    </row>
    <row r="40" spans="1:30">
      <c r="A40" s="400"/>
      <c r="B40" s="324"/>
      <c r="C40" s="339"/>
      <c r="D40" s="324"/>
      <c r="E40" s="401"/>
      <c r="F40" s="324"/>
      <c r="G40" s="402"/>
      <c r="H40" s="324"/>
      <c r="I40" s="403"/>
      <c r="J40" s="404"/>
      <c r="K40" s="353"/>
      <c r="L40" s="353"/>
      <c r="M40" s="353"/>
      <c r="N40" s="353"/>
      <c r="O40" s="353"/>
    </row>
    <row r="41" spans="1:30">
      <c r="A41" s="397"/>
      <c r="B41" s="324"/>
      <c r="C41" s="332"/>
      <c r="D41" s="324"/>
      <c r="E41" s="332"/>
      <c r="F41" s="332"/>
      <c r="G41" s="405"/>
      <c r="H41" s="324"/>
      <c r="I41" s="404"/>
      <c r="J41" s="404"/>
      <c r="K41" s="353"/>
      <c r="L41" s="353"/>
      <c r="M41" s="353"/>
      <c r="N41" s="353"/>
      <c r="O41" s="353"/>
      <c r="AA41" s="324"/>
      <c r="AB41" s="324"/>
      <c r="AC41" s="324"/>
      <c r="AD41" s="324"/>
    </row>
    <row r="42" spans="1:30">
      <c r="A42" s="397"/>
      <c r="B42" s="324"/>
      <c r="C42" s="332"/>
      <c r="D42" s="324"/>
      <c r="E42" s="332"/>
      <c r="F42" s="332"/>
      <c r="G42" s="405"/>
      <c r="H42" s="324"/>
      <c r="I42" s="404"/>
      <c r="J42" s="404"/>
      <c r="K42" s="353"/>
      <c r="L42" s="353"/>
      <c r="M42" s="353"/>
      <c r="N42" s="353"/>
      <c r="O42" s="353"/>
      <c r="U42" s="338"/>
      <c r="W42" s="324"/>
      <c r="X42" s="324"/>
      <c r="Y42" s="324"/>
      <c r="Z42" s="324"/>
    </row>
    <row r="43" spans="1:30">
      <c r="A43" s="397"/>
      <c r="B43" s="324"/>
      <c r="C43" s="332"/>
      <c r="D43" s="324"/>
      <c r="E43" s="332"/>
      <c r="F43" s="332"/>
      <c r="G43" s="405"/>
      <c r="H43" s="324"/>
      <c r="I43" s="404"/>
      <c r="J43" s="404"/>
      <c r="K43" s="353"/>
      <c r="L43" s="353"/>
      <c r="M43" s="353"/>
      <c r="N43" s="353"/>
      <c r="O43" s="353"/>
      <c r="U43" s="338"/>
    </row>
    <row r="44" spans="1:30">
      <c r="A44" s="397"/>
      <c r="B44" s="324"/>
      <c r="C44" s="332"/>
      <c r="D44" s="324"/>
      <c r="E44" s="332"/>
      <c r="F44" s="332"/>
      <c r="G44" s="405"/>
      <c r="H44" s="324"/>
      <c r="I44" s="404"/>
      <c r="J44" s="404"/>
      <c r="K44" s="353"/>
      <c r="L44" s="353"/>
      <c r="M44" s="353"/>
      <c r="N44" s="353"/>
      <c r="O44" s="353"/>
    </row>
    <row r="45" spans="1:30">
      <c r="A45" s="397"/>
      <c r="B45" s="324"/>
      <c r="C45" s="332"/>
      <c r="D45" s="324"/>
      <c r="E45" s="332"/>
      <c r="F45" s="332"/>
      <c r="G45" s="405"/>
      <c r="H45" s="324"/>
      <c r="I45" s="404"/>
      <c r="J45" s="404"/>
      <c r="K45" s="353"/>
      <c r="L45" s="353"/>
      <c r="M45" s="353"/>
      <c r="N45" s="353"/>
      <c r="O45" s="353"/>
    </row>
    <row r="46" spans="1:30">
      <c r="A46" s="397"/>
      <c r="B46" s="324"/>
      <c r="C46" s="332"/>
      <c r="D46" s="324"/>
      <c r="E46" s="332"/>
      <c r="F46" s="332"/>
      <c r="G46" s="405"/>
      <c r="H46" s="324"/>
      <c r="I46" s="404"/>
      <c r="J46" s="404"/>
      <c r="K46" s="353"/>
      <c r="L46" s="353"/>
      <c r="M46" s="353"/>
      <c r="N46" s="353"/>
      <c r="O46" s="353"/>
    </row>
    <row r="47" spans="1:30">
      <c r="A47" s="397"/>
      <c r="B47" s="324"/>
      <c r="C47" s="332"/>
      <c r="D47" s="324"/>
      <c r="E47" s="332"/>
      <c r="F47" s="332"/>
      <c r="G47" s="405"/>
      <c r="H47" s="324"/>
      <c r="I47" s="404"/>
      <c r="J47" s="404"/>
      <c r="K47" s="353"/>
      <c r="L47" s="353"/>
      <c r="M47" s="353"/>
      <c r="N47" s="353"/>
      <c r="O47" s="353"/>
    </row>
    <row r="48" spans="1:30">
      <c r="A48" s="397"/>
      <c r="B48" s="324"/>
      <c r="C48" s="332"/>
      <c r="D48" s="324"/>
      <c r="E48" s="332"/>
      <c r="F48" s="332"/>
      <c r="G48" s="405"/>
      <c r="H48" s="324"/>
      <c r="I48" s="404"/>
      <c r="J48" s="404"/>
      <c r="K48" s="353"/>
      <c r="L48" s="353"/>
      <c r="M48" s="353"/>
      <c r="N48" s="353"/>
      <c r="O48" s="353"/>
    </row>
    <row r="49" spans="1:15">
      <c r="A49" s="397"/>
      <c r="B49" s="324"/>
      <c r="C49" s="332"/>
      <c r="D49" s="324"/>
      <c r="E49" s="332"/>
      <c r="F49" s="332"/>
      <c r="G49" s="405"/>
      <c r="H49" s="324"/>
      <c r="I49" s="404"/>
      <c r="J49" s="404"/>
      <c r="K49" s="353"/>
      <c r="L49" s="353"/>
      <c r="M49" s="353"/>
      <c r="N49" s="353"/>
      <c r="O49" s="353"/>
    </row>
    <row r="50" spans="1:15">
      <c r="A50" s="397"/>
      <c r="B50" s="324"/>
      <c r="C50" s="332"/>
      <c r="D50" s="324"/>
      <c r="E50" s="332"/>
      <c r="F50" s="332"/>
      <c r="G50" s="405"/>
      <c r="H50" s="324"/>
      <c r="I50" s="404"/>
      <c r="J50" s="404"/>
      <c r="K50" s="353"/>
      <c r="L50" s="353"/>
      <c r="M50" s="353"/>
      <c r="N50" s="353"/>
      <c r="O50" s="353"/>
    </row>
    <row r="51" spans="1:15">
      <c r="A51" s="397"/>
      <c r="B51" s="324"/>
      <c r="C51" s="332"/>
      <c r="D51" s="324"/>
      <c r="E51" s="332"/>
      <c r="F51" s="332"/>
      <c r="G51" s="405"/>
      <c r="H51" s="324"/>
      <c r="I51" s="404"/>
      <c r="J51" s="404"/>
      <c r="K51" s="353"/>
      <c r="L51" s="353"/>
      <c r="M51" s="353"/>
      <c r="N51" s="353"/>
      <c r="O51" s="353"/>
    </row>
    <row r="52" spans="1:15">
      <c r="A52" s="397"/>
      <c r="B52" s="324"/>
      <c r="C52" s="332"/>
      <c r="D52" s="324"/>
      <c r="E52" s="332"/>
      <c r="F52" s="332"/>
      <c r="G52" s="405"/>
      <c r="H52" s="324"/>
      <c r="I52" s="404"/>
      <c r="J52" s="404"/>
      <c r="K52" s="353"/>
      <c r="L52" s="353"/>
      <c r="M52" s="353"/>
      <c r="N52" s="353"/>
      <c r="O52" s="353"/>
    </row>
    <row r="53" spans="1:15">
      <c r="A53" s="397"/>
      <c r="B53" s="324"/>
      <c r="C53" s="332"/>
      <c r="D53" s="324"/>
      <c r="E53" s="332"/>
      <c r="F53" s="332"/>
      <c r="G53" s="405"/>
      <c r="H53" s="324"/>
      <c r="I53" s="404"/>
      <c r="J53" s="404"/>
      <c r="K53" s="353"/>
      <c r="L53" s="353"/>
      <c r="M53" s="353"/>
      <c r="N53" s="353"/>
      <c r="O53" s="353"/>
    </row>
    <row r="54" spans="1:15">
      <c r="A54" s="397"/>
      <c r="B54" s="324"/>
      <c r="C54" s="332"/>
      <c r="D54" s="324"/>
      <c r="E54" s="332"/>
      <c r="F54" s="332"/>
      <c r="G54" s="405"/>
      <c r="H54" s="324"/>
      <c r="I54" s="404"/>
      <c r="J54" s="404"/>
      <c r="K54" s="353"/>
      <c r="L54" s="353"/>
      <c r="M54" s="353"/>
      <c r="N54" s="353"/>
      <c r="O54" s="353"/>
    </row>
    <row r="55" spans="1:15">
      <c r="A55" s="397"/>
      <c r="B55" s="324"/>
      <c r="C55" s="332"/>
      <c r="D55" s="324"/>
      <c r="E55" s="332"/>
      <c r="F55" s="332"/>
      <c r="G55" s="405"/>
      <c r="H55" s="324"/>
      <c r="I55" s="404"/>
      <c r="J55" s="404"/>
      <c r="K55" s="353"/>
      <c r="L55" s="353"/>
      <c r="M55" s="353"/>
      <c r="N55" s="353"/>
      <c r="O55" s="353"/>
    </row>
    <row r="56" spans="1:15">
      <c r="A56" s="397"/>
      <c r="B56" s="324"/>
      <c r="C56" s="332"/>
      <c r="D56" s="324"/>
      <c r="E56" s="332"/>
      <c r="F56" s="332"/>
      <c r="G56" s="405"/>
      <c r="H56" s="324"/>
      <c r="I56" s="404"/>
      <c r="J56" s="404"/>
      <c r="K56" s="353"/>
      <c r="L56" s="353"/>
      <c r="M56" s="353"/>
      <c r="N56" s="353"/>
      <c r="O56" s="353"/>
    </row>
    <row r="57" spans="1:15">
      <c r="A57" s="397"/>
      <c r="B57" s="324"/>
      <c r="C57" s="332"/>
      <c r="D57" s="324"/>
      <c r="E57" s="332"/>
      <c r="F57" s="332"/>
      <c r="G57" s="405"/>
      <c r="H57" s="324"/>
      <c r="I57" s="404"/>
      <c r="J57" s="404"/>
      <c r="K57" s="353"/>
      <c r="L57" s="353"/>
      <c r="M57" s="353"/>
      <c r="N57" s="353"/>
      <c r="O57" s="353"/>
    </row>
    <row r="58" spans="1:15">
      <c r="A58" s="397"/>
      <c r="B58" s="324"/>
      <c r="C58" s="332"/>
      <c r="D58" s="324"/>
      <c r="E58" s="332"/>
      <c r="F58" s="332"/>
      <c r="G58" s="405"/>
      <c r="H58" s="324"/>
      <c r="I58" s="404"/>
      <c r="J58" s="404"/>
      <c r="K58" s="353"/>
      <c r="L58" s="353"/>
      <c r="M58" s="353"/>
      <c r="N58" s="353"/>
      <c r="O58" s="353"/>
    </row>
    <row r="59" spans="1:15">
      <c r="A59" s="397"/>
      <c r="B59" s="324"/>
      <c r="C59" s="332"/>
      <c r="D59" s="324"/>
      <c r="E59" s="332"/>
      <c r="F59" s="332"/>
      <c r="G59" s="405"/>
      <c r="H59" s="324"/>
      <c r="I59" s="404"/>
      <c r="J59" s="404"/>
      <c r="K59" s="353"/>
      <c r="L59" s="353"/>
      <c r="M59" s="353"/>
      <c r="N59" s="353"/>
      <c r="O59" s="353"/>
    </row>
  </sheetData>
  <mergeCells count="2">
    <mergeCell ref="G6:I6"/>
    <mergeCell ref="O6:Q6"/>
  </mergeCells>
  <printOptions horizontalCentered="1"/>
  <pageMargins left="0.75" right="0.75" top="1" bottom="0.5" header="0.5" footer="0.25"/>
  <pageSetup scale="7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5"/>
  <sheetViews>
    <sheetView view="pageBreakPreview" topLeftCell="E22" zoomScale="60" zoomScaleNormal="75" workbookViewId="0">
      <selection activeCell="S34" sqref="S34"/>
    </sheetView>
  </sheetViews>
  <sheetFormatPr defaultRowHeight="15.75"/>
  <cols>
    <col min="1" max="1" width="4.625" style="414" customWidth="1"/>
    <col min="2" max="2" width="1.625" style="414" customWidth="1"/>
    <col min="3" max="3" width="39.375" style="414" customWidth="1"/>
    <col min="4" max="4" width="0.75" style="421" customWidth="1"/>
    <col min="5" max="5" width="7.625" style="414" customWidth="1"/>
    <col min="6" max="6" width="0.75" style="421" customWidth="1"/>
    <col min="7" max="7" width="11.625" style="421" customWidth="1"/>
    <col min="8" max="8" width="0.75" style="421" customWidth="1"/>
    <col min="9" max="9" width="18.5" style="421" bestFit="1" customWidth="1"/>
    <col min="10" max="10" width="2.125" style="421" customWidth="1"/>
    <col min="11" max="11" width="17.375" style="421" customWidth="1"/>
    <col min="12" max="12" width="1.875" style="421" customWidth="1"/>
    <col min="13" max="13" width="10.125" style="421" bestFit="1" customWidth="1"/>
    <col min="14" max="14" width="1.875" style="421" customWidth="1"/>
    <col min="15" max="15" width="15.375" style="421" bestFit="1" customWidth="1"/>
    <col min="16" max="16" width="2.875" style="421" customWidth="1"/>
    <col min="17" max="17" width="15.75" style="421" bestFit="1" customWidth="1"/>
    <col min="18" max="18" width="1.875" style="421" customWidth="1"/>
    <col min="19" max="19" width="12.875" style="421" bestFit="1" customWidth="1"/>
    <col min="20" max="20" width="1.625" style="421" customWidth="1"/>
    <col min="21" max="21" width="15.375" style="421" bestFit="1" customWidth="1"/>
    <col min="22" max="22" width="2.875" style="421" customWidth="1"/>
    <col min="23" max="23" width="9.25" style="421" bestFit="1" customWidth="1"/>
    <col min="24" max="24" width="1" style="421" customWidth="1"/>
    <col min="25" max="25" width="6.375" style="422" bestFit="1" customWidth="1"/>
    <col min="26" max="26" width="2.5" style="421" customWidth="1"/>
    <col min="27" max="27" width="9.25" style="421" bestFit="1" customWidth="1"/>
    <col min="28" max="28" width="1" style="421" customWidth="1"/>
    <col min="29" max="29" width="6.375" style="422" bestFit="1" customWidth="1"/>
    <col min="30" max="16384" width="9" style="414"/>
  </cols>
  <sheetData>
    <row r="1" spans="1:29">
      <c r="A1" s="410" t="s">
        <v>480</v>
      </c>
      <c r="B1" s="410"/>
      <c r="C1" s="410"/>
      <c r="D1" s="411"/>
      <c r="E1" s="410"/>
      <c r="F1" s="411"/>
      <c r="G1" s="411"/>
      <c r="H1" s="411"/>
      <c r="I1" s="411"/>
      <c r="J1" s="411"/>
      <c r="K1" s="412"/>
      <c r="L1" s="411"/>
      <c r="M1" s="412"/>
      <c r="N1" s="411"/>
      <c r="O1" s="412"/>
      <c r="P1" s="411"/>
      <c r="Q1" s="412"/>
      <c r="R1" s="411"/>
      <c r="S1" s="412"/>
      <c r="T1" s="411"/>
      <c r="U1" s="412"/>
      <c r="V1" s="411"/>
      <c r="W1" s="412"/>
      <c r="X1" s="411"/>
      <c r="Y1" s="413"/>
      <c r="Z1" s="411"/>
      <c r="AA1" s="412"/>
      <c r="AB1" s="411"/>
      <c r="AC1" s="456"/>
    </row>
    <row r="2" spans="1:29" s="55" customFormat="1">
      <c r="A2" s="410" t="s">
        <v>260</v>
      </c>
      <c r="B2" s="415"/>
      <c r="C2" s="415"/>
      <c r="D2" s="415"/>
      <c r="E2" s="415"/>
      <c r="F2" s="415"/>
      <c r="G2" s="415"/>
      <c r="H2" s="415"/>
      <c r="I2" s="415"/>
      <c r="J2" s="415"/>
      <c r="K2" s="415"/>
      <c r="L2" s="415"/>
      <c r="M2" s="415"/>
      <c r="N2" s="415"/>
      <c r="O2" s="415"/>
      <c r="P2" s="415"/>
      <c r="Q2" s="415"/>
      <c r="R2" s="415"/>
      <c r="S2" s="415"/>
      <c r="T2" s="415"/>
      <c r="U2" s="415"/>
      <c r="V2" s="415"/>
      <c r="W2" s="415"/>
      <c r="X2" s="415"/>
      <c r="Y2" s="416"/>
      <c r="Z2" s="415"/>
      <c r="AA2" s="415"/>
      <c r="AB2" s="415"/>
      <c r="AC2" s="457"/>
    </row>
    <row r="3" spans="1:29" s="55" customFormat="1">
      <c r="A3" s="111" t="s">
        <v>481</v>
      </c>
      <c r="B3" s="415"/>
      <c r="C3" s="415"/>
      <c r="D3" s="415"/>
      <c r="E3" s="415"/>
      <c r="F3" s="415"/>
      <c r="G3" s="415"/>
      <c r="H3" s="415"/>
      <c r="I3" s="415"/>
      <c r="J3" s="415"/>
      <c r="K3" s="415"/>
      <c r="L3" s="415"/>
      <c r="M3" s="415"/>
      <c r="N3" s="415"/>
      <c r="O3" s="415"/>
      <c r="P3" s="415"/>
      <c r="Q3" s="415"/>
      <c r="R3" s="415"/>
      <c r="S3" s="415"/>
      <c r="T3" s="415"/>
      <c r="U3" s="415"/>
      <c r="V3" s="415"/>
      <c r="W3" s="415"/>
      <c r="X3" s="415"/>
      <c r="Y3" s="416"/>
      <c r="Z3" s="415"/>
      <c r="AA3" s="415"/>
      <c r="AB3" s="415"/>
      <c r="AC3" s="457"/>
    </row>
    <row r="4" spans="1:29" s="55" customFormat="1">
      <c r="A4" s="410" t="s">
        <v>261</v>
      </c>
      <c r="B4" s="415"/>
      <c r="C4" s="415"/>
      <c r="D4" s="415"/>
      <c r="E4" s="415"/>
      <c r="F4" s="415"/>
      <c r="G4" s="415"/>
      <c r="H4" s="415"/>
      <c r="I4" s="415"/>
      <c r="J4" s="415"/>
      <c r="K4" s="415"/>
      <c r="L4" s="415"/>
      <c r="M4" s="415"/>
      <c r="N4" s="415"/>
      <c r="O4" s="415"/>
      <c r="P4" s="415"/>
      <c r="Q4" s="415"/>
      <c r="R4" s="415"/>
      <c r="S4" s="415"/>
      <c r="T4" s="415"/>
      <c r="U4" s="415"/>
      <c r="V4" s="415"/>
      <c r="W4" s="415"/>
      <c r="X4" s="415"/>
      <c r="Y4" s="416"/>
      <c r="Z4" s="415"/>
      <c r="AA4" s="415"/>
      <c r="AB4" s="415"/>
      <c r="AC4" s="457"/>
    </row>
    <row r="5" spans="1:29" s="55" customFormat="1">
      <c r="A5" s="410" t="s">
        <v>492</v>
      </c>
      <c r="B5" s="415"/>
      <c r="C5" s="415"/>
      <c r="D5" s="415"/>
      <c r="E5" s="415"/>
      <c r="F5" s="415"/>
      <c r="G5" s="415"/>
      <c r="H5" s="415"/>
      <c r="I5" s="415"/>
      <c r="J5" s="415"/>
      <c r="K5" s="415"/>
      <c r="L5" s="415"/>
      <c r="M5" s="415"/>
      <c r="N5" s="415"/>
      <c r="O5" s="415"/>
      <c r="P5" s="415"/>
      <c r="Q5" s="415"/>
      <c r="R5" s="415"/>
      <c r="S5" s="415"/>
      <c r="T5" s="415"/>
      <c r="U5" s="415"/>
      <c r="V5" s="415"/>
      <c r="W5" s="415"/>
      <c r="X5" s="415"/>
      <c r="Y5" s="416"/>
      <c r="Z5" s="415"/>
      <c r="AA5" s="415"/>
      <c r="AB5" s="415"/>
      <c r="AC5" s="416"/>
    </row>
    <row r="6" spans="1:29">
      <c r="A6" s="410" t="s">
        <v>364</v>
      </c>
      <c r="B6" s="415"/>
      <c r="C6" s="415"/>
      <c r="D6" s="415"/>
      <c r="E6" s="415"/>
      <c r="F6" s="415"/>
      <c r="G6" s="415"/>
      <c r="H6" s="415"/>
      <c r="I6" s="415"/>
      <c r="J6" s="412"/>
      <c r="K6" s="417"/>
      <c r="L6" s="412"/>
      <c r="M6" s="417"/>
      <c r="N6" s="412"/>
      <c r="O6" s="417"/>
      <c r="P6" s="412"/>
      <c r="Q6" s="417"/>
      <c r="R6" s="412"/>
      <c r="S6" s="417"/>
      <c r="T6" s="412"/>
      <c r="U6" s="417"/>
      <c r="V6" s="412"/>
      <c r="W6" s="417"/>
      <c r="X6" s="417"/>
      <c r="Y6" s="418"/>
      <c r="Z6" s="412"/>
      <c r="AA6" s="417"/>
      <c r="AB6" s="417"/>
      <c r="AC6" s="418"/>
    </row>
    <row r="7" spans="1:29" ht="10.5" customHeight="1">
      <c r="A7" s="410"/>
      <c r="B7" s="410"/>
      <c r="C7" s="410"/>
      <c r="D7" s="411"/>
      <c r="E7" s="410"/>
      <c r="F7" s="411"/>
      <c r="G7" s="411"/>
      <c r="H7" s="411"/>
      <c r="I7" s="411"/>
      <c r="J7" s="411"/>
      <c r="K7" s="412"/>
      <c r="L7" s="411"/>
      <c r="M7" s="412"/>
      <c r="N7" s="411"/>
      <c r="O7" s="412"/>
      <c r="P7" s="411"/>
      <c r="Q7" s="412"/>
      <c r="R7" s="411"/>
      <c r="S7" s="412"/>
      <c r="T7" s="411"/>
      <c r="U7" s="412"/>
      <c r="V7" s="411"/>
      <c r="W7" s="412"/>
      <c r="X7" s="411"/>
      <c r="Y7" s="413"/>
      <c r="Z7" s="411"/>
      <c r="AA7" s="412"/>
      <c r="AB7" s="411"/>
      <c r="AC7" s="413"/>
    </row>
    <row r="8" spans="1:29">
      <c r="D8" s="419"/>
      <c r="F8" s="419"/>
      <c r="G8" s="420"/>
      <c r="H8" s="419"/>
      <c r="J8" s="419"/>
      <c r="L8" s="419"/>
      <c r="N8" s="419"/>
      <c r="P8" s="419"/>
      <c r="R8" s="419"/>
      <c r="T8" s="419"/>
      <c r="V8" s="419"/>
      <c r="Z8" s="419"/>
    </row>
    <row r="9" spans="1:29">
      <c r="D9" s="420"/>
      <c r="E9" s="423"/>
      <c r="F9" s="420"/>
      <c r="G9" s="420" t="s">
        <v>482</v>
      </c>
      <c r="H9" s="420"/>
      <c r="I9" s="420"/>
      <c r="J9" s="420"/>
      <c r="K9" s="106"/>
      <c r="L9" s="107"/>
      <c r="M9" s="108"/>
      <c r="N9" s="107"/>
      <c r="O9" s="108"/>
      <c r="P9" s="420"/>
      <c r="Q9" s="106"/>
      <c r="R9" s="107"/>
      <c r="S9" s="108"/>
      <c r="T9" s="107"/>
      <c r="U9" s="108"/>
      <c r="V9" s="107"/>
      <c r="W9" s="424" t="s">
        <v>264</v>
      </c>
      <c r="X9" s="424"/>
      <c r="Y9" s="425"/>
      <c r="Z9" s="424"/>
      <c r="AA9" s="424"/>
      <c r="AB9" s="424"/>
      <c r="AC9" s="425"/>
    </row>
    <row r="10" spans="1:29" s="426" customFormat="1">
      <c r="A10" s="426" t="s">
        <v>262</v>
      </c>
      <c r="D10" s="420"/>
      <c r="E10" s="423" t="s">
        <v>263</v>
      </c>
      <c r="F10" s="420"/>
      <c r="G10" s="427" t="s">
        <v>88</v>
      </c>
      <c r="H10" s="420"/>
      <c r="I10" s="420" t="s">
        <v>483</v>
      </c>
      <c r="J10" s="427"/>
      <c r="K10" s="424" t="s">
        <v>484</v>
      </c>
      <c r="L10" s="424"/>
      <c r="M10" s="424"/>
      <c r="N10" s="424"/>
      <c r="O10" s="424"/>
      <c r="P10" s="427"/>
      <c r="Q10" s="424" t="s">
        <v>485</v>
      </c>
      <c r="R10" s="424"/>
      <c r="S10" s="424"/>
      <c r="T10" s="424"/>
      <c r="U10" s="424"/>
      <c r="V10" s="106"/>
      <c r="W10" s="424" t="s">
        <v>486</v>
      </c>
      <c r="X10" s="424"/>
      <c r="Y10" s="425"/>
      <c r="Z10" s="106"/>
      <c r="AA10" s="424" t="s">
        <v>487</v>
      </c>
      <c r="AB10" s="424"/>
      <c r="AC10" s="425"/>
    </row>
    <row r="11" spans="1:29" s="426" customFormat="1">
      <c r="A11" s="426" t="s">
        <v>265</v>
      </c>
      <c r="C11" s="423" t="s">
        <v>266</v>
      </c>
      <c r="E11" s="428" t="s">
        <v>265</v>
      </c>
      <c r="G11" s="429" t="s">
        <v>267</v>
      </c>
      <c r="I11" s="429" t="s">
        <v>267</v>
      </c>
      <c r="K11" s="109" t="s">
        <v>486</v>
      </c>
      <c r="L11" s="110"/>
      <c r="M11" s="109" t="s">
        <v>488</v>
      </c>
      <c r="N11" s="110"/>
      <c r="O11" s="109" t="s">
        <v>487</v>
      </c>
      <c r="Q11" s="109" t="s">
        <v>486</v>
      </c>
      <c r="R11" s="110"/>
      <c r="S11" s="109" t="s">
        <v>488</v>
      </c>
      <c r="T11" s="110"/>
      <c r="U11" s="109" t="s">
        <v>487</v>
      </c>
      <c r="V11" s="110"/>
      <c r="W11" s="109" t="s">
        <v>268</v>
      </c>
      <c r="X11" s="110"/>
      <c r="Y11" s="430" t="s">
        <v>489</v>
      </c>
      <c r="Z11" s="110"/>
      <c r="AA11" s="109" t="s">
        <v>268</v>
      </c>
      <c r="AB11" s="110"/>
      <c r="AC11" s="430" t="s">
        <v>489</v>
      </c>
    </row>
    <row r="12" spans="1:29" s="426" customFormat="1">
      <c r="C12" s="56">
        <v>-1</v>
      </c>
      <c r="D12" s="57"/>
      <c r="E12" s="56">
        <f>MIN($A12:D12)-1</f>
        <v>-2</v>
      </c>
      <c r="F12" s="57"/>
      <c r="G12" s="56">
        <f>MIN($A12:F12)-1</f>
        <v>-3</v>
      </c>
      <c r="H12" s="57"/>
      <c r="I12" s="56">
        <f>MIN($A12:H12)-1</f>
        <v>-4</v>
      </c>
      <c r="J12" s="57"/>
      <c r="K12" s="56">
        <f>MIN($A12:J12)-1</f>
        <v>-5</v>
      </c>
      <c r="L12" s="57"/>
      <c r="M12" s="56">
        <f>MIN($A12:L12)-1</f>
        <v>-6</v>
      </c>
      <c r="N12" s="57"/>
      <c r="O12" s="56">
        <f>MIN($A12:N12)-1</f>
        <v>-7</v>
      </c>
      <c r="P12" s="57"/>
      <c r="Q12" s="56">
        <f>MIN($A12:P12)-1</f>
        <v>-8</v>
      </c>
      <c r="R12" s="57"/>
      <c r="S12" s="56">
        <f>MIN($A12:R12)-1</f>
        <v>-9</v>
      </c>
      <c r="T12" s="57"/>
      <c r="U12" s="56">
        <f>MIN($A12:T12)-1</f>
        <v>-10</v>
      </c>
      <c r="V12" s="57"/>
      <c r="W12" s="56">
        <f>MIN($A12:V12)-1</f>
        <v>-11</v>
      </c>
      <c r="X12" s="57"/>
      <c r="Y12" s="56">
        <f>MIN($A12:X12)-1</f>
        <v>-12</v>
      </c>
      <c r="Z12" s="57"/>
      <c r="AA12" s="56">
        <f>MIN($A12:Z12)-1</f>
        <v>-13</v>
      </c>
      <c r="AB12" s="57"/>
      <c r="AC12" s="56">
        <f>MIN($A12:AB12)-1</f>
        <v>-14</v>
      </c>
    </row>
    <row r="13" spans="1:29" s="426" customFormat="1">
      <c r="D13" s="431"/>
      <c r="F13" s="431"/>
      <c r="G13" s="431"/>
      <c r="H13" s="431"/>
      <c r="I13" s="431"/>
      <c r="J13" s="431"/>
      <c r="K13" s="431"/>
      <c r="L13" s="431"/>
      <c r="M13" s="431"/>
      <c r="N13" s="431"/>
      <c r="O13" s="431"/>
      <c r="P13" s="431"/>
      <c r="Q13" s="431"/>
      <c r="R13" s="431"/>
      <c r="S13" s="431"/>
      <c r="T13" s="431"/>
      <c r="U13" s="431"/>
      <c r="V13" s="431"/>
      <c r="W13" s="431"/>
      <c r="X13" s="431"/>
      <c r="Y13" s="432"/>
      <c r="Z13" s="431"/>
      <c r="AA13" s="431"/>
      <c r="AB13" s="431"/>
      <c r="AC13" s="432"/>
    </row>
    <row r="14" spans="1:29">
      <c r="C14" s="426" t="s">
        <v>269</v>
      </c>
    </row>
    <row r="15" spans="1:29">
      <c r="A15" s="414">
        <v>1</v>
      </c>
      <c r="C15" s="414" t="s">
        <v>269</v>
      </c>
      <c r="E15" s="433" t="s">
        <v>270</v>
      </c>
      <c r="G15" s="58">
        <v>719579.21600691369</v>
      </c>
      <c r="I15" s="58">
        <f>SUM('Exhibit-RMP(JRS-2)'!C27,'Exhibit-RMP(JRS-2)'!C46)/1000</f>
        <v>6618984.2947154995</v>
      </c>
      <c r="J15" s="60"/>
      <c r="K15" s="59">
        <f>SUM('Exhibit-RMP(JRS-2)'!G27,'Exhibit-RMP(JRS-2)'!G46)/1000</f>
        <v>710371.34</v>
      </c>
      <c r="L15" s="60"/>
      <c r="M15" s="59">
        <f>SUM('Exhibit-RMP(JRS-2)'!K27,'Exhibit-RMP(JRS-2)'!K46)/1000</f>
        <v>11603.821202399999</v>
      </c>
      <c r="N15" s="60"/>
      <c r="O15" s="59">
        <f>K15+M15</f>
        <v>721975.16120239999</v>
      </c>
      <c r="P15" s="60"/>
      <c r="Q15" s="59">
        <f>K15</f>
        <v>710371.34</v>
      </c>
      <c r="R15" s="60"/>
      <c r="S15" s="59">
        <f>SUM('Exhibit-RMP(JRS-2)'!O27,'Exhibit-RMP(JRS-2)'!O46)/1000</f>
        <v>20006.58828</v>
      </c>
      <c r="T15" s="60"/>
      <c r="U15" s="59">
        <f>Q15+S15</f>
        <v>730377.92827999999</v>
      </c>
      <c r="V15" s="60"/>
      <c r="W15" s="59">
        <f>Q15-K15</f>
        <v>0</v>
      </c>
      <c r="X15" s="60"/>
      <c r="Y15" s="434">
        <f>W15/K15</f>
        <v>0</v>
      </c>
      <c r="Z15" s="60"/>
      <c r="AA15" s="59">
        <f>U15-O15</f>
        <v>8402.7670776000014</v>
      </c>
      <c r="AB15" s="60"/>
      <c r="AC15" s="434">
        <f>AA15/O15</f>
        <v>1.163858194734258E-2</v>
      </c>
    </row>
    <row r="16" spans="1:29">
      <c r="A16" s="414">
        <f>MAX(A$14:A15)+1</f>
        <v>2</v>
      </c>
      <c r="C16" s="414" t="s">
        <v>271</v>
      </c>
      <c r="E16" s="414">
        <v>2</v>
      </c>
      <c r="G16" s="58">
        <v>360.45065975289282</v>
      </c>
      <c r="I16" s="58">
        <f>'Exhibit-RMP(JRS-2)'!C67/1000</f>
        <v>3259.9751844998164</v>
      </c>
      <c r="J16" s="60"/>
      <c r="K16" s="59">
        <f>'Exhibit-RMP(JRS-2)'!G67/1000</f>
        <v>339.68099999999998</v>
      </c>
      <c r="L16" s="60"/>
      <c r="M16" s="59">
        <f>'Exhibit-RMP(JRS-2)'!K67/1000</f>
        <v>5.6086985999999994</v>
      </c>
      <c r="N16" s="60"/>
      <c r="O16" s="59">
        <f t="shared" ref="O16:O17" si="0">K16+M16</f>
        <v>345.28969860000001</v>
      </c>
      <c r="P16" s="60"/>
      <c r="Q16" s="59">
        <f t="shared" ref="Q16:Q17" si="1">K16</f>
        <v>339.68099999999998</v>
      </c>
      <c r="R16" s="60"/>
      <c r="S16" s="59">
        <f>'Exhibit-RMP(JRS-2)'!O67/1000</f>
        <v>9.6701699999999988</v>
      </c>
      <c r="T16" s="60"/>
      <c r="U16" s="59">
        <f t="shared" ref="U16:U17" si="2">Q16+S16</f>
        <v>349.35116999999997</v>
      </c>
      <c r="V16" s="60"/>
      <c r="W16" s="59">
        <f t="shared" ref="W16:W17" si="3">Q16-K16</f>
        <v>0</v>
      </c>
      <c r="X16" s="60"/>
      <c r="Y16" s="434">
        <f t="shared" ref="Y16:Y18" si="4">W16/K16</f>
        <v>0</v>
      </c>
      <c r="Z16" s="60"/>
      <c r="AA16" s="59">
        <f t="shared" ref="AA16:AA17" si="5">U16-O16</f>
        <v>4.0614713999999594</v>
      </c>
      <c r="AB16" s="60"/>
      <c r="AC16" s="434">
        <f t="shared" ref="AC16:AC17" si="6">AA16/O16</f>
        <v>1.1762503823506652E-2</v>
      </c>
    </row>
    <row r="17" spans="1:29">
      <c r="A17" s="414">
        <f>MAX(A$14:A16)+1</f>
        <v>3</v>
      </c>
      <c r="C17" s="435" t="s">
        <v>272</v>
      </c>
      <c r="E17" s="436" t="s">
        <v>273</v>
      </c>
      <c r="G17" s="455"/>
      <c r="I17" s="437"/>
      <c r="J17" s="60"/>
      <c r="K17" s="61">
        <f>'Exhibit-RMP(JRS-2)'!G488/1000</f>
        <v>36.561</v>
      </c>
      <c r="L17" s="60"/>
      <c r="M17" s="61"/>
      <c r="N17" s="60"/>
      <c r="O17" s="61">
        <f t="shared" si="0"/>
        <v>36.561</v>
      </c>
      <c r="P17" s="60"/>
      <c r="Q17" s="61">
        <f t="shared" si="1"/>
        <v>36.561</v>
      </c>
      <c r="R17" s="60"/>
      <c r="S17" s="61"/>
      <c r="T17" s="60"/>
      <c r="U17" s="61">
        <f t="shared" si="2"/>
        <v>36.561</v>
      </c>
      <c r="V17" s="60"/>
      <c r="W17" s="61">
        <f t="shared" si="3"/>
        <v>0</v>
      </c>
      <c r="X17" s="60"/>
      <c r="Y17" s="438">
        <f t="shared" si="4"/>
        <v>0</v>
      </c>
      <c r="Z17" s="60"/>
      <c r="AA17" s="61">
        <f t="shared" si="5"/>
        <v>0</v>
      </c>
      <c r="AB17" s="60"/>
      <c r="AC17" s="438">
        <f t="shared" si="6"/>
        <v>0</v>
      </c>
    </row>
    <row r="18" spans="1:29">
      <c r="A18" s="414">
        <f>MAX(A$14:A17)+1</f>
        <v>4</v>
      </c>
      <c r="C18" s="426" t="s">
        <v>274</v>
      </c>
      <c r="G18" s="58">
        <f>SUM(G15:G17)</f>
        <v>719939.66666666663</v>
      </c>
      <c r="I18" s="58">
        <f>SUM(I15:I17)</f>
        <v>6622244.2698999997</v>
      </c>
      <c r="J18" s="60"/>
      <c r="K18" s="59">
        <f>SUM(K15:K17)</f>
        <v>710747.58199999994</v>
      </c>
      <c r="L18" s="60"/>
      <c r="M18" s="59">
        <f>SUM(M15:M17)</f>
        <v>11609.429900999998</v>
      </c>
      <c r="N18" s="60"/>
      <c r="O18" s="59">
        <f>SUM(O15:O17)</f>
        <v>722357.01190099993</v>
      </c>
      <c r="P18" s="60"/>
      <c r="Q18" s="59">
        <f>SUM(Q15:Q17)</f>
        <v>710747.58199999994</v>
      </c>
      <c r="R18" s="60"/>
      <c r="S18" s="59">
        <f>SUM(S15:S17)</f>
        <v>20016.258450000001</v>
      </c>
      <c r="T18" s="60"/>
      <c r="U18" s="59">
        <f>SUM(U15:U17)</f>
        <v>730763.84045000002</v>
      </c>
      <c r="V18" s="60"/>
      <c r="W18" s="59">
        <f>SUM(W15:W17)</f>
        <v>0</v>
      </c>
      <c r="X18" s="60"/>
      <c r="Y18" s="434">
        <f t="shared" si="4"/>
        <v>0</v>
      </c>
      <c r="Z18" s="60"/>
      <c r="AA18" s="59">
        <f>SUM(AA15:AA17)</f>
        <v>8406.8285490000017</v>
      </c>
      <c r="AB18" s="60"/>
      <c r="AC18" s="434">
        <f>AA18/O18</f>
        <v>1.163805211342251E-2</v>
      </c>
    </row>
    <row r="19" spans="1:29" ht="24.95" customHeight="1">
      <c r="C19" s="426" t="s">
        <v>275</v>
      </c>
      <c r="G19" s="58"/>
      <c r="I19" s="58"/>
      <c r="J19" s="60"/>
      <c r="K19" s="59"/>
      <c r="L19" s="60"/>
      <c r="M19" s="59"/>
      <c r="N19" s="60"/>
      <c r="O19" s="59"/>
      <c r="P19" s="60"/>
      <c r="Q19" s="59"/>
      <c r="R19" s="60"/>
      <c r="S19" s="59"/>
      <c r="T19" s="60"/>
      <c r="U19" s="59"/>
      <c r="V19" s="60"/>
      <c r="W19" s="59"/>
      <c r="X19" s="60"/>
      <c r="Y19" s="434"/>
      <c r="Z19" s="60"/>
      <c r="AA19" s="59"/>
      <c r="AB19" s="60"/>
      <c r="AC19" s="434"/>
    </row>
    <row r="20" spans="1:29">
      <c r="A20" s="414">
        <f>MAX(A$14:A19)+1</f>
        <v>5</v>
      </c>
      <c r="C20" s="414" t="s">
        <v>276</v>
      </c>
      <c r="E20" s="439">
        <v>6</v>
      </c>
      <c r="G20" s="58">
        <v>13479.916666666668</v>
      </c>
      <c r="I20" s="58">
        <f>'Exhibit-RMP(JRS-2)'!C79/1000</f>
        <v>5746434.2788172225</v>
      </c>
      <c r="J20" s="60"/>
      <c r="K20" s="59">
        <f>'Exhibit-RMP(JRS-2)'!G79/1000</f>
        <v>477240.56199999998</v>
      </c>
      <c r="L20" s="60"/>
      <c r="M20" s="59">
        <f>'Exhibit-RMP(JRS-2)'!K79/1000</f>
        <v>7411.3923944000007</v>
      </c>
      <c r="N20" s="60"/>
      <c r="O20" s="59">
        <f t="shared" ref="O20:O22" si="7">K20+M20</f>
        <v>484651.9543944</v>
      </c>
      <c r="P20" s="60"/>
      <c r="Q20" s="59">
        <f t="shared" ref="Q20:Q22" si="8">K20</f>
        <v>477240.56199999998</v>
      </c>
      <c r="R20" s="60"/>
      <c r="S20" s="59">
        <f>'Exhibit-RMP(JRS-2)'!O79/1000</f>
        <v>14400.616867600002</v>
      </c>
      <c r="T20" s="60"/>
      <c r="U20" s="59">
        <f t="shared" ref="U20:U22" si="9">Q20+S20</f>
        <v>491641.17886759999</v>
      </c>
      <c r="V20" s="60"/>
      <c r="W20" s="59">
        <f t="shared" ref="W20:W22" si="10">Q20-K20</f>
        <v>0</v>
      </c>
      <c r="X20" s="60"/>
      <c r="Y20" s="434">
        <f t="shared" ref="Y20:Y39" si="11">W20/K20</f>
        <v>0</v>
      </c>
      <c r="Z20" s="60"/>
      <c r="AA20" s="59">
        <f t="shared" ref="AA20:AA22" si="12">U20-O20</f>
        <v>6989.2244731999817</v>
      </c>
      <c r="AB20" s="60"/>
      <c r="AC20" s="434">
        <f t="shared" ref="AC20:AC39" si="13">AA20/O20</f>
        <v>1.4421120991729854E-2</v>
      </c>
    </row>
    <row r="21" spans="1:29">
      <c r="A21" s="414">
        <f>MAX(A$14:A20)+1</f>
        <v>6</v>
      </c>
      <c r="C21" s="414" t="s">
        <v>277</v>
      </c>
      <c r="E21" s="440" t="s">
        <v>278</v>
      </c>
      <c r="G21" s="58">
        <v>2394.25</v>
      </c>
      <c r="I21" s="58">
        <f>'Exhibit-RMP(JRS-2)'!C103/1000</f>
        <v>277735.08199999999</v>
      </c>
      <c r="J21" s="60"/>
      <c r="K21" s="62">
        <f>'Exhibit-RMP(JRS-2)'!G103/1000</f>
        <v>32125.89</v>
      </c>
      <c r="L21" s="60"/>
      <c r="M21" s="59">
        <f>'Exhibit-RMP(JRS-2)'!K103/1000</f>
        <v>498.66867200000002</v>
      </c>
      <c r="N21" s="60"/>
      <c r="O21" s="59">
        <f t="shared" si="7"/>
        <v>32624.558671999999</v>
      </c>
      <c r="P21" s="60"/>
      <c r="Q21" s="59">
        <f t="shared" si="8"/>
        <v>32125.89</v>
      </c>
      <c r="R21" s="60"/>
      <c r="S21" s="59">
        <f>'Exhibit-RMP(JRS-2)'!O103/1000</f>
        <v>970.06640099999993</v>
      </c>
      <c r="T21" s="60"/>
      <c r="U21" s="59">
        <f t="shared" si="9"/>
        <v>33095.956400999996</v>
      </c>
      <c r="V21" s="60"/>
      <c r="W21" s="59">
        <f t="shared" si="10"/>
        <v>0</v>
      </c>
      <c r="X21" s="60"/>
      <c r="Y21" s="434">
        <f t="shared" si="11"/>
        <v>0</v>
      </c>
      <c r="Z21" s="60"/>
      <c r="AA21" s="59">
        <f t="shared" si="12"/>
        <v>471.39772899999662</v>
      </c>
      <c r="AB21" s="60"/>
      <c r="AC21" s="434">
        <f t="shared" si="13"/>
        <v>1.4449167994556608E-2</v>
      </c>
    </row>
    <row r="22" spans="1:29">
      <c r="A22" s="414">
        <f>MAX(A$14:A21)+1</f>
        <v>7</v>
      </c>
      <c r="C22" s="414" t="s">
        <v>279</v>
      </c>
      <c r="E22" s="440" t="s">
        <v>280</v>
      </c>
      <c r="G22" s="441">
        <v>32</v>
      </c>
      <c r="I22" s="441">
        <f>'Exhibit-RMP(JRS-2)'!C91/1000</f>
        <v>21133.17</v>
      </c>
      <c r="J22" s="60"/>
      <c r="K22" s="61">
        <f>'Exhibit-RMP(JRS-2)'!G91/1000</f>
        <v>1783.0840000000001</v>
      </c>
      <c r="L22" s="60"/>
      <c r="M22" s="61">
        <f>'Exhibit-RMP(JRS-2)'!K91/1000</f>
        <v>27.845098400000001</v>
      </c>
      <c r="N22" s="60"/>
      <c r="O22" s="61">
        <f t="shared" si="7"/>
        <v>1810.9290984000002</v>
      </c>
      <c r="P22" s="60"/>
      <c r="Q22" s="61">
        <f t="shared" si="8"/>
        <v>1783.0840000000001</v>
      </c>
      <c r="R22" s="60"/>
      <c r="S22" s="61">
        <f>'Exhibit-RMP(JRS-2)'!O91/1000</f>
        <v>54.104083600000003</v>
      </c>
      <c r="T22" s="60"/>
      <c r="U22" s="61">
        <f t="shared" si="9"/>
        <v>1837.1880836</v>
      </c>
      <c r="V22" s="60"/>
      <c r="W22" s="61">
        <f t="shared" si="10"/>
        <v>0</v>
      </c>
      <c r="X22" s="60"/>
      <c r="Y22" s="438">
        <f t="shared" si="11"/>
        <v>0</v>
      </c>
      <c r="Z22" s="60"/>
      <c r="AA22" s="61">
        <f t="shared" si="12"/>
        <v>26.25898519999987</v>
      </c>
      <c r="AB22" s="60"/>
      <c r="AC22" s="438">
        <f t="shared" si="13"/>
        <v>1.4500283430864479E-2</v>
      </c>
    </row>
    <row r="23" spans="1:29">
      <c r="A23" s="414">
        <f>MAX(A$14:A22)+1</f>
        <v>8</v>
      </c>
      <c r="C23" s="442" t="s">
        <v>281</v>
      </c>
      <c r="G23" s="58">
        <f>SUM(G20:G22)</f>
        <v>15906.166666666668</v>
      </c>
      <c r="I23" s="58">
        <f>SUM(I20:I22)</f>
        <v>6045302.5308172228</v>
      </c>
      <c r="J23" s="60"/>
      <c r="K23" s="59">
        <f>SUM(K20:K22)</f>
        <v>511149.53599999996</v>
      </c>
      <c r="L23" s="60"/>
      <c r="M23" s="59">
        <f>SUM(M20:M22)</f>
        <v>7937.9061648000006</v>
      </c>
      <c r="N23" s="60"/>
      <c r="O23" s="59">
        <f>SUM(O20:O22)</f>
        <v>519087.44216480001</v>
      </c>
      <c r="P23" s="60"/>
      <c r="Q23" s="59">
        <f>SUM(Q20:Q22)</f>
        <v>511149.53599999996</v>
      </c>
      <c r="R23" s="60"/>
      <c r="S23" s="59">
        <f>SUM(S20:S22)</f>
        <v>15424.787352200001</v>
      </c>
      <c r="T23" s="60"/>
      <c r="U23" s="59">
        <f>SUM(U20:U22)</f>
        <v>526574.32335219998</v>
      </c>
      <c r="V23" s="60"/>
      <c r="W23" s="59">
        <f>SUM(W20:W22)</f>
        <v>0</v>
      </c>
      <c r="X23" s="60"/>
      <c r="Y23" s="434">
        <f t="shared" si="11"/>
        <v>0</v>
      </c>
      <c r="Z23" s="60"/>
      <c r="AA23" s="59">
        <f>SUM(AA20:AA22)</f>
        <v>7486.8811873999784</v>
      </c>
      <c r="AB23" s="60"/>
      <c r="AC23" s="434">
        <f t="shared" si="13"/>
        <v>1.4423159913437169E-2</v>
      </c>
    </row>
    <row r="24" spans="1:29" ht="21.95" customHeight="1">
      <c r="A24" s="414">
        <f>MAX(A$14:A23)+1</f>
        <v>9</v>
      </c>
      <c r="C24" s="435" t="s">
        <v>282</v>
      </c>
      <c r="E24" s="440">
        <v>8</v>
      </c>
      <c r="F24" s="58"/>
      <c r="G24" s="58">
        <v>297.08333333333331</v>
      </c>
      <c r="I24" s="58">
        <f>'Exhibit-RMP(JRS-2)'!C155/1000</f>
        <v>2076915.6910000001</v>
      </c>
      <c r="J24" s="60"/>
      <c r="K24" s="62">
        <f>'Exhibit-RMP(JRS-2)'!G155/1000</f>
        <v>154784.682</v>
      </c>
      <c r="L24" s="60"/>
      <c r="M24" s="59">
        <f>'Exhibit-RMP(JRS-2)'!K155/1000</f>
        <v>2718.6269585999999</v>
      </c>
      <c r="N24" s="60"/>
      <c r="O24" s="59">
        <f t="shared" ref="O24:O26" si="14">K24+M24</f>
        <v>157503.30895860001</v>
      </c>
      <c r="P24" s="60"/>
      <c r="Q24" s="59">
        <f t="shared" ref="Q24:Q26" si="15">K24</f>
        <v>154784.682</v>
      </c>
      <c r="R24" s="60"/>
      <c r="S24" s="59">
        <f>'Exhibit-RMP(JRS-2)'!O155/1000</f>
        <v>5235.3756776999999</v>
      </c>
      <c r="T24" s="60"/>
      <c r="U24" s="59">
        <f t="shared" ref="U24:U26" si="16">Q24+S24</f>
        <v>160020.05767770001</v>
      </c>
      <c r="V24" s="60"/>
      <c r="W24" s="59">
        <f t="shared" ref="W24:W26" si="17">Q24-K24</f>
        <v>0</v>
      </c>
      <c r="X24" s="60"/>
      <c r="Y24" s="434">
        <f t="shared" si="11"/>
        <v>0</v>
      </c>
      <c r="Z24" s="60"/>
      <c r="AA24" s="59">
        <f t="shared" ref="AA24:AA26" si="18">U24-O24</f>
        <v>2516.7487190999964</v>
      </c>
      <c r="AB24" s="60"/>
      <c r="AC24" s="434">
        <f t="shared" si="13"/>
        <v>1.5979021239239662E-2</v>
      </c>
    </row>
    <row r="25" spans="1:29" ht="21.95" customHeight="1">
      <c r="A25" s="414">
        <f>MAX(A$14:A24)+1</f>
        <v>10</v>
      </c>
      <c r="C25" s="414" t="s">
        <v>283</v>
      </c>
      <c r="E25" s="414">
        <v>9</v>
      </c>
      <c r="G25" s="58">
        <v>142.5</v>
      </c>
      <c r="I25" s="58">
        <f>'Exhibit-RMP(JRS-2)'!C166/1000</f>
        <v>4538067.2419739999</v>
      </c>
      <c r="J25" s="60"/>
      <c r="K25" s="62">
        <f>'Exhibit-RMP(JRS-2)'!G166/1000</f>
        <v>247560.09</v>
      </c>
      <c r="L25" s="60"/>
      <c r="M25" s="59">
        <f>'Exhibit-RMP(JRS-2)'!K166/1000</f>
        <v>5118.3064586999999</v>
      </c>
      <c r="N25" s="60"/>
      <c r="O25" s="59">
        <f t="shared" si="14"/>
        <v>252678.39645870001</v>
      </c>
      <c r="P25" s="60"/>
      <c r="Q25" s="59">
        <f t="shared" si="15"/>
        <v>247560.09</v>
      </c>
      <c r="R25" s="60"/>
      <c r="S25" s="59">
        <f>'Exhibit-RMP(JRS-2)'!O166/1000</f>
        <v>10305.4690581</v>
      </c>
      <c r="T25" s="60"/>
      <c r="U25" s="59">
        <f t="shared" si="16"/>
        <v>257865.55905809999</v>
      </c>
      <c r="V25" s="60"/>
      <c r="W25" s="59">
        <f t="shared" si="17"/>
        <v>0</v>
      </c>
      <c r="X25" s="60"/>
      <c r="Y25" s="434">
        <f t="shared" si="11"/>
        <v>0</v>
      </c>
      <c r="Z25" s="60"/>
      <c r="AA25" s="59">
        <f t="shared" si="18"/>
        <v>5187.1625993999769</v>
      </c>
      <c r="AB25" s="60"/>
      <c r="AC25" s="434">
        <f t="shared" si="13"/>
        <v>2.0528714255347164E-2</v>
      </c>
    </row>
    <row r="26" spans="1:29">
      <c r="A26" s="414">
        <f>MAX(A$14:A25)+1</f>
        <v>11</v>
      </c>
      <c r="C26" s="414" t="s">
        <v>284</v>
      </c>
      <c r="E26" s="440" t="s">
        <v>285</v>
      </c>
      <c r="G26" s="441">
        <v>8.9999986111111081</v>
      </c>
      <c r="I26" s="441">
        <f>'Exhibit-RMP(JRS-2)'!C174/1000</f>
        <v>42717.705999999998</v>
      </c>
      <c r="J26" s="60"/>
      <c r="K26" s="61">
        <f>'Exhibit-RMP(JRS-2)'!G174/1000</f>
        <v>3183.886</v>
      </c>
      <c r="L26" s="60"/>
      <c r="M26" s="61">
        <f>'Exhibit-RMP(JRS-2)'!K174/1000</f>
        <v>65.301599199999998</v>
      </c>
      <c r="N26" s="60"/>
      <c r="O26" s="61">
        <f t="shared" si="14"/>
        <v>3249.1875992</v>
      </c>
      <c r="P26" s="60"/>
      <c r="Q26" s="61">
        <f t="shared" si="15"/>
        <v>3183.886</v>
      </c>
      <c r="R26" s="60"/>
      <c r="S26" s="61">
        <f>'Exhibit-RMP(JRS-2)'!O174/1000</f>
        <v>131.91976289999999</v>
      </c>
      <c r="T26" s="60"/>
      <c r="U26" s="61">
        <f t="shared" si="16"/>
        <v>3315.8057629</v>
      </c>
      <c r="V26" s="60"/>
      <c r="W26" s="61">
        <f t="shared" si="17"/>
        <v>0</v>
      </c>
      <c r="X26" s="60"/>
      <c r="Y26" s="438">
        <f t="shared" si="11"/>
        <v>0</v>
      </c>
      <c r="Z26" s="60"/>
      <c r="AA26" s="61">
        <f t="shared" si="18"/>
        <v>66.618163699999968</v>
      </c>
      <c r="AB26" s="60"/>
      <c r="AC26" s="438">
        <f t="shared" si="13"/>
        <v>2.0503021652674775E-2</v>
      </c>
    </row>
    <row r="27" spans="1:29">
      <c r="A27" s="414">
        <f>MAX(A$14:A26)+1</f>
        <v>12</v>
      </c>
      <c r="C27" s="442" t="s">
        <v>286</v>
      </c>
      <c r="G27" s="58">
        <f>SUM(G25:G26)</f>
        <v>151.4999986111111</v>
      </c>
      <c r="I27" s="58">
        <f>SUM(I25:I26)</f>
        <v>4580784.9479740001</v>
      </c>
      <c r="J27" s="60"/>
      <c r="K27" s="59">
        <f>SUM(K25:K26)</f>
        <v>250743.976</v>
      </c>
      <c r="L27" s="60"/>
      <c r="M27" s="59">
        <f>SUM(M25:M26)</f>
        <v>5183.6080578999999</v>
      </c>
      <c r="N27" s="60"/>
      <c r="O27" s="59">
        <f>SUM(O25:O26)</f>
        <v>255927.58405790001</v>
      </c>
      <c r="P27" s="60"/>
      <c r="Q27" s="59">
        <f>SUM(Q25:Q26)</f>
        <v>250743.976</v>
      </c>
      <c r="R27" s="60"/>
      <c r="S27" s="59">
        <f>SUM(S25:S26)</f>
        <v>10437.388820999999</v>
      </c>
      <c r="T27" s="60"/>
      <c r="U27" s="59">
        <f>SUM(U25:U26)</f>
        <v>261181.364821</v>
      </c>
      <c r="V27" s="60"/>
      <c r="W27" s="59">
        <f>SUM(W25:W26)</f>
        <v>0</v>
      </c>
      <c r="X27" s="60"/>
      <c r="Y27" s="434">
        <f t="shared" si="11"/>
        <v>0</v>
      </c>
      <c r="Z27" s="60"/>
      <c r="AA27" s="59">
        <f>SUM(AA25:AA26)</f>
        <v>5253.7807630999769</v>
      </c>
      <c r="AB27" s="60"/>
      <c r="AC27" s="434">
        <f t="shared" si="13"/>
        <v>2.0528388068991356E-2</v>
      </c>
    </row>
    <row r="28" spans="1:29" ht="21.95" customHeight="1">
      <c r="A28" s="414">
        <f>MAX(A$14:A27)+1</f>
        <v>13</v>
      </c>
      <c r="C28" s="414" t="s">
        <v>287</v>
      </c>
      <c r="E28" s="440">
        <v>10</v>
      </c>
      <c r="G28" s="58">
        <v>2647</v>
      </c>
      <c r="I28" s="58">
        <f>'Exhibit-RMP(JRS-2)'!C190/1000</f>
        <v>170955.53200000001</v>
      </c>
      <c r="J28" s="60"/>
      <c r="K28" s="62">
        <f>'Exhibit-RMP(JRS-2)'!G190/1000</f>
        <v>13110.058999999999</v>
      </c>
      <c r="L28" s="60"/>
      <c r="M28" s="59">
        <f>'Exhibit-RMP(JRS-2)'!K190/1000</f>
        <v>216.05696839999999</v>
      </c>
      <c r="N28" s="60"/>
      <c r="O28" s="59">
        <f t="shared" ref="O28:O29" si="19">K28+M28</f>
        <v>13326.115968399999</v>
      </c>
      <c r="P28" s="60"/>
      <c r="Q28" s="59">
        <f t="shared" ref="Q28:Q29" si="20">K28</f>
        <v>13110.058999999999</v>
      </c>
      <c r="R28" s="60"/>
      <c r="S28" s="59">
        <f>'Exhibit-RMP(JRS-2)'!O190/1000</f>
        <v>420.60794439999989</v>
      </c>
      <c r="T28" s="60"/>
      <c r="U28" s="59">
        <f t="shared" ref="U28:U29" si="21">Q28+S28</f>
        <v>13530.6669444</v>
      </c>
      <c r="V28" s="60"/>
      <c r="W28" s="59">
        <f t="shared" ref="W28:W29" si="22">Q28-K28</f>
        <v>0</v>
      </c>
      <c r="X28" s="60"/>
      <c r="Y28" s="434">
        <f t="shared" si="11"/>
        <v>0</v>
      </c>
      <c r="Z28" s="60"/>
      <c r="AA28" s="59">
        <f t="shared" ref="AA28:AA29" si="23">U28-O28</f>
        <v>204.55097600000045</v>
      </c>
      <c r="AB28" s="60"/>
      <c r="AC28" s="434">
        <f t="shared" si="13"/>
        <v>1.5349631992176026E-2</v>
      </c>
    </row>
    <row r="29" spans="1:29">
      <c r="A29" s="414">
        <f>MAX(A$14:A28)+1</f>
        <v>14</v>
      </c>
      <c r="C29" s="414" t="s">
        <v>288</v>
      </c>
      <c r="E29" s="440" t="s">
        <v>289</v>
      </c>
      <c r="G29" s="441">
        <v>263</v>
      </c>
      <c r="I29" s="441">
        <f>'Exhibit-RMP(JRS-2)'!C206/1000</f>
        <v>16324.472</v>
      </c>
      <c r="J29" s="60"/>
      <c r="K29" s="61">
        <f>'Exhibit-RMP(JRS-2)'!G206/1000</f>
        <v>1295.405</v>
      </c>
      <c r="L29" s="60"/>
      <c r="M29" s="61">
        <f>'Exhibit-RMP(JRS-2)'!K206/1000</f>
        <v>21.4079567</v>
      </c>
      <c r="N29" s="60"/>
      <c r="O29" s="61">
        <f t="shared" si="19"/>
        <v>1316.8129567000001</v>
      </c>
      <c r="P29" s="60"/>
      <c r="Q29" s="61">
        <f t="shared" si="20"/>
        <v>1295.405</v>
      </c>
      <c r="R29" s="60"/>
      <c r="S29" s="61">
        <f>'Exhibit-RMP(JRS-2)'!O206/1000</f>
        <v>41.675844699999992</v>
      </c>
      <c r="T29" s="60"/>
      <c r="U29" s="61">
        <f t="shared" si="21"/>
        <v>1337.0808446999999</v>
      </c>
      <c r="V29" s="60"/>
      <c r="W29" s="61">
        <f t="shared" si="22"/>
        <v>0</v>
      </c>
      <c r="X29" s="60"/>
      <c r="Y29" s="438">
        <f t="shared" si="11"/>
        <v>0</v>
      </c>
      <c r="Z29" s="60"/>
      <c r="AA29" s="61">
        <f t="shared" si="23"/>
        <v>20.267887999999857</v>
      </c>
      <c r="AB29" s="60"/>
      <c r="AC29" s="438">
        <f t="shared" si="13"/>
        <v>1.5391622551157311E-2</v>
      </c>
    </row>
    <row r="30" spans="1:29">
      <c r="A30" s="414">
        <f>MAX(A$14:A29)+1</f>
        <v>15</v>
      </c>
      <c r="C30" s="442" t="s">
        <v>290</v>
      </c>
      <c r="G30" s="58">
        <f>SUM(G28:G29)</f>
        <v>2910</v>
      </c>
      <c r="I30" s="58">
        <f>SUM(I28:I29)</f>
        <v>187280.00400000002</v>
      </c>
      <c r="J30" s="60"/>
      <c r="K30" s="59">
        <f>SUM(K28:K29)</f>
        <v>14405.464</v>
      </c>
      <c r="L30" s="60"/>
      <c r="M30" s="59">
        <f>SUM(M28:M29)</f>
        <v>237.46492509999999</v>
      </c>
      <c r="N30" s="60"/>
      <c r="O30" s="59">
        <f>SUM(O28:O29)</f>
        <v>14642.928925099999</v>
      </c>
      <c r="P30" s="60"/>
      <c r="Q30" s="59">
        <f>SUM(Q28:Q29)</f>
        <v>14405.464</v>
      </c>
      <c r="R30" s="60"/>
      <c r="S30" s="59">
        <f>SUM(S28:S29)</f>
        <v>462.28378909999986</v>
      </c>
      <c r="T30" s="60"/>
      <c r="U30" s="59">
        <f>SUM(U28:U29)</f>
        <v>14867.7477891</v>
      </c>
      <c r="V30" s="60"/>
      <c r="W30" s="59">
        <f>SUM(W28:W29)</f>
        <v>0</v>
      </c>
      <c r="X30" s="60"/>
      <c r="Y30" s="434">
        <f t="shared" si="11"/>
        <v>0</v>
      </c>
      <c r="Z30" s="60"/>
      <c r="AA30" s="59">
        <f>SUM(AA28:AA29)</f>
        <v>224.8188640000003</v>
      </c>
      <c r="AB30" s="60"/>
      <c r="AC30" s="434">
        <f t="shared" si="13"/>
        <v>1.5353408129614683E-2</v>
      </c>
    </row>
    <row r="31" spans="1:29" ht="21.95" customHeight="1">
      <c r="A31" s="414">
        <f>MAX(A$14:A30)+1</f>
        <v>16</v>
      </c>
      <c r="C31" s="414" t="s">
        <v>291</v>
      </c>
      <c r="E31" s="414">
        <v>21</v>
      </c>
      <c r="G31" s="58">
        <v>5</v>
      </c>
      <c r="I31" s="58">
        <f>'Exhibit-RMP(JRS-2)'!C384/1000</f>
        <v>3287.9389999999999</v>
      </c>
      <c r="J31" s="60"/>
      <c r="K31" s="62">
        <f>'Exhibit-RMP(JRS-2)'!G384/1000</f>
        <v>374.82</v>
      </c>
      <c r="L31" s="60"/>
      <c r="M31" s="59">
        <f>'Exhibit-RMP(JRS-2)'!K384/1000</f>
        <v>6.9781905000000002</v>
      </c>
      <c r="N31" s="60"/>
      <c r="O31" s="59">
        <f t="shared" ref="O31:O37" si="24">K31+M31</f>
        <v>381.79819049999998</v>
      </c>
      <c r="P31" s="60"/>
      <c r="Q31" s="59">
        <f t="shared" ref="Q31:Q37" si="25">K31</f>
        <v>374.82</v>
      </c>
      <c r="R31" s="60"/>
      <c r="S31" s="59">
        <f>'Exhibit-RMP(JRS-2)'!O384/1000</f>
        <v>14.817885999999998</v>
      </c>
      <c r="T31" s="60"/>
      <c r="U31" s="59">
        <f t="shared" ref="U31:U37" si="26">Q31+S31</f>
        <v>389.63788599999998</v>
      </c>
      <c r="V31" s="60"/>
      <c r="W31" s="59">
        <f t="shared" ref="W31:W37" si="27">Q31-K31</f>
        <v>0</v>
      </c>
      <c r="X31" s="60"/>
      <c r="Y31" s="434">
        <f t="shared" si="11"/>
        <v>0</v>
      </c>
      <c r="Z31" s="60"/>
      <c r="AA31" s="59">
        <f t="shared" ref="AA31:AA37" si="28">U31-O31</f>
        <v>7.8396955000000048</v>
      </c>
      <c r="AB31" s="60"/>
      <c r="AC31" s="434">
        <f t="shared" si="13"/>
        <v>2.0533610936534823E-2</v>
      </c>
    </row>
    <row r="32" spans="1:29">
      <c r="A32" s="414">
        <f>MAX(A$14:A31)+1</f>
        <v>17</v>
      </c>
      <c r="C32" s="414" t="s">
        <v>292</v>
      </c>
      <c r="E32" s="439">
        <v>23</v>
      </c>
      <c r="G32" s="58">
        <v>78052</v>
      </c>
      <c r="I32" s="58">
        <f>'Exhibit-RMP(JRS-2)'!C397/1000</f>
        <v>1419326.149632778</v>
      </c>
      <c r="J32" s="60"/>
      <c r="K32" s="62">
        <f>'Exhibit-RMP(JRS-2)'!G397/1000</f>
        <v>139760.22</v>
      </c>
      <c r="L32" s="60"/>
      <c r="M32" s="59">
        <f>'Exhibit-RMP(JRS-2)'!K397/1000</f>
        <v>2047.2597783999997</v>
      </c>
      <c r="N32" s="60"/>
      <c r="O32" s="59">
        <f t="shared" si="24"/>
        <v>141807.47977840001</v>
      </c>
      <c r="P32" s="60"/>
      <c r="Q32" s="59">
        <f t="shared" si="25"/>
        <v>139760.22</v>
      </c>
      <c r="R32" s="60"/>
      <c r="S32" s="59">
        <f>'Exhibit-RMP(JRS-2)'!O397/1000</f>
        <v>3820.6822615999999</v>
      </c>
      <c r="T32" s="60"/>
      <c r="U32" s="59">
        <f t="shared" si="26"/>
        <v>143580.90226160001</v>
      </c>
      <c r="V32" s="60"/>
      <c r="W32" s="59">
        <f t="shared" si="27"/>
        <v>0</v>
      </c>
      <c r="X32" s="60"/>
      <c r="Y32" s="434">
        <f t="shared" si="11"/>
        <v>0</v>
      </c>
      <c r="Z32" s="60"/>
      <c r="AA32" s="59">
        <f t="shared" si="28"/>
        <v>1773.4224832000036</v>
      </c>
      <c r="AB32" s="60"/>
      <c r="AC32" s="434">
        <f t="shared" si="13"/>
        <v>1.25058458550374E-2</v>
      </c>
    </row>
    <row r="33" spans="1:29">
      <c r="A33" s="414">
        <f>MAX(A$14:A32)+1</f>
        <v>18</v>
      </c>
      <c r="C33" s="414" t="s">
        <v>293</v>
      </c>
      <c r="E33" s="414">
        <v>31</v>
      </c>
      <c r="G33" s="58">
        <v>4</v>
      </c>
      <c r="I33" s="58">
        <f>'Exhibit-RMP(JRS-2)'!C440/1000</f>
        <v>59778.839026000001</v>
      </c>
      <c r="J33" s="60"/>
      <c r="K33" s="62">
        <f>'Exhibit-RMP(JRS-2)'!G440/1000</f>
        <v>5325.3119999999999</v>
      </c>
      <c r="L33" s="60"/>
      <c r="M33" s="59">
        <f>'Exhibit-RMP(JRS-2)'!K440/1000</f>
        <v>72.888920799999994</v>
      </c>
      <c r="N33" s="60"/>
      <c r="O33" s="59">
        <f t="shared" si="24"/>
        <v>5398.2009207999999</v>
      </c>
      <c r="P33" s="60"/>
      <c r="Q33" s="59">
        <f t="shared" si="25"/>
        <v>5325.3119999999999</v>
      </c>
      <c r="R33" s="60"/>
      <c r="S33" s="59">
        <f>'Exhibit-RMP(JRS-2)'!O440/1000</f>
        <v>142.760402</v>
      </c>
      <c r="T33" s="60"/>
      <c r="U33" s="59">
        <f t="shared" si="26"/>
        <v>5468.0724019999998</v>
      </c>
      <c r="V33" s="60"/>
      <c r="W33" s="59">
        <f t="shared" si="27"/>
        <v>0</v>
      </c>
      <c r="X33" s="60"/>
      <c r="Y33" s="434">
        <f t="shared" si="11"/>
        <v>0</v>
      </c>
      <c r="Z33" s="60"/>
      <c r="AA33" s="59">
        <f t="shared" si="28"/>
        <v>69.871481199999835</v>
      </c>
      <c r="AB33" s="60"/>
      <c r="AC33" s="434">
        <f t="shared" si="13"/>
        <v>1.2943475469906195E-2</v>
      </c>
    </row>
    <row r="34" spans="1:29">
      <c r="A34" s="414">
        <f>MAX(A$14:A33)+1</f>
        <v>19</v>
      </c>
      <c r="C34" s="435" t="s">
        <v>294</v>
      </c>
      <c r="E34" s="440" t="s">
        <v>273</v>
      </c>
      <c r="G34" s="58">
        <v>1</v>
      </c>
      <c r="I34" s="58">
        <f>'Exhibit-RMP(JRS-2)'!C448/1000</f>
        <v>543970.59100000001</v>
      </c>
      <c r="J34" s="60"/>
      <c r="K34" s="62">
        <f>'Exhibit-RMP(JRS-2)'!G448/1000</f>
        <v>26081.792012471451</v>
      </c>
      <c r="L34" s="60"/>
      <c r="M34" s="59">
        <f>'Exhibit-RMP(JRS-2)'!K448/1000</f>
        <v>426.41343716282512</v>
      </c>
      <c r="N34" s="60"/>
      <c r="O34" s="59">
        <f t="shared" si="24"/>
        <v>26508.205449634275</v>
      </c>
      <c r="P34" s="60"/>
      <c r="Q34" s="59">
        <f t="shared" si="25"/>
        <v>26081.792012471451</v>
      </c>
      <c r="R34" s="60"/>
      <c r="S34" s="59">
        <f>'Exhibit-RMP(JRS-2)'!O448/1000</f>
        <v>811.16579138445479</v>
      </c>
      <c r="T34" s="60"/>
      <c r="U34" s="59">
        <f t="shared" si="26"/>
        <v>26892.957803855905</v>
      </c>
      <c r="V34" s="60"/>
      <c r="W34" s="59">
        <f t="shared" si="27"/>
        <v>0</v>
      </c>
      <c r="X34" s="60"/>
      <c r="Y34" s="434">
        <f t="shared" si="11"/>
        <v>0</v>
      </c>
      <c r="Z34" s="60"/>
      <c r="AA34" s="59">
        <f t="shared" si="28"/>
        <v>384.7523542216295</v>
      </c>
      <c r="AB34" s="60"/>
      <c r="AC34" s="434">
        <f t="shared" si="13"/>
        <v>1.451446251058605E-2</v>
      </c>
    </row>
    <row r="35" spans="1:29">
      <c r="A35" s="414">
        <f>MAX(A$14:A34)+1</f>
        <v>20</v>
      </c>
      <c r="C35" s="435" t="s">
        <v>295</v>
      </c>
      <c r="E35" s="440" t="s">
        <v>273</v>
      </c>
      <c r="G35" s="58">
        <v>1</v>
      </c>
      <c r="I35" s="58">
        <f>'Exhibit-RMP(JRS-2)'!C453/1000</f>
        <v>717800.15174999996</v>
      </c>
      <c r="J35" s="60"/>
      <c r="K35" s="62">
        <f>'Exhibit-RMP(JRS-2)'!G453/1000</f>
        <v>30487.146696695003</v>
      </c>
      <c r="L35" s="60"/>
      <c r="M35" s="59">
        <f>'Exhibit-RMP(JRS-2)'!K453/1000</f>
        <v>237.79974423422104</v>
      </c>
      <c r="N35" s="60"/>
      <c r="O35" s="59">
        <f t="shared" si="24"/>
        <v>30724.946440929223</v>
      </c>
      <c r="P35" s="60"/>
      <c r="Q35" s="59">
        <f t="shared" si="25"/>
        <v>30487.146696695003</v>
      </c>
      <c r="R35" s="60"/>
      <c r="S35" s="59">
        <f>'Exhibit-RMP(JRS-2)'!O453/1000</f>
        <v>981.68612363357909</v>
      </c>
      <c r="T35" s="60"/>
      <c r="U35" s="59">
        <f t="shared" si="26"/>
        <v>31468.832820328582</v>
      </c>
      <c r="V35" s="60"/>
      <c r="W35" s="59">
        <f t="shared" si="27"/>
        <v>0</v>
      </c>
      <c r="X35" s="60"/>
      <c r="Y35" s="434">
        <f t="shared" si="11"/>
        <v>0</v>
      </c>
      <c r="Z35" s="60"/>
      <c r="AA35" s="59">
        <f t="shared" si="28"/>
        <v>743.8863793993587</v>
      </c>
      <c r="AB35" s="60"/>
      <c r="AC35" s="434">
        <f t="shared" si="13"/>
        <v>2.4211153006548941E-2</v>
      </c>
    </row>
    <row r="36" spans="1:29">
      <c r="A36" s="414">
        <f>MAX(A$14:A35)+1</f>
        <v>21</v>
      </c>
      <c r="C36" s="435" t="s">
        <v>296</v>
      </c>
      <c r="E36" s="440" t="s">
        <v>273</v>
      </c>
      <c r="G36" s="58">
        <v>1</v>
      </c>
      <c r="I36" s="58">
        <f>'Exhibit-RMP(JRS-2)'!C469/1000</f>
        <v>1371599.1</v>
      </c>
      <c r="J36" s="60"/>
      <c r="K36" s="62">
        <f>'Exhibit-RMP(JRS-2)'!G469/1000</f>
        <v>64577.275000000001</v>
      </c>
      <c r="L36" s="60"/>
      <c r="M36" s="59">
        <f>'Exhibit-RMP(JRS-2)'!K469/1000</f>
        <v>1339.0923654999999</v>
      </c>
      <c r="N36" s="60"/>
      <c r="O36" s="59">
        <f t="shared" si="24"/>
        <v>65916.367365500002</v>
      </c>
      <c r="P36" s="60"/>
      <c r="Q36" s="59">
        <f t="shared" si="25"/>
        <v>64577.275000000001</v>
      </c>
      <c r="R36" s="60"/>
      <c r="S36" s="59">
        <f>'Exhibit-RMP(JRS-2)'!O469/1000</f>
        <v>2696.1994264999998</v>
      </c>
      <c r="T36" s="60"/>
      <c r="U36" s="59">
        <f t="shared" si="26"/>
        <v>67273.474426500004</v>
      </c>
      <c r="V36" s="60"/>
      <c r="W36" s="59">
        <f t="shared" si="27"/>
        <v>0</v>
      </c>
      <c r="X36" s="60"/>
      <c r="Y36" s="434">
        <f t="shared" si="11"/>
        <v>0</v>
      </c>
      <c r="Z36" s="60"/>
      <c r="AA36" s="59">
        <f t="shared" si="28"/>
        <v>1357.1070610000024</v>
      </c>
      <c r="AB36" s="60"/>
      <c r="AC36" s="434">
        <f t="shared" si="13"/>
        <v>2.0588316911867618E-2</v>
      </c>
    </row>
    <row r="37" spans="1:29">
      <c r="A37" s="414">
        <f>MAX(A$14:A36)+1</f>
        <v>22</v>
      </c>
      <c r="C37" s="435" t="s">
        <v>272</v>
      </c>
      <c r="E37" s="436" t="s">
        <v>273</v>
      </c>
      <c r="G37" s="455"/>
      <c r="I37" s="437" t="s">
        <v>273</v>
      </c>
      <c r="J37" s="60"/>
      <c r="K37" s="61">
        <f>SUM('Exhibit-RMP(JRS-2)'!G489:G491)/1000</f>
        <v>4490.4250999999995</v>
      </c>
      <c r="L37" s="60"/>
      <c r="M37" s="61"/>
      <c r="N37" s="60"/>
      <c r="O37" s="61">
        <f t="shared" si="24"/>
        <v>4490.4250999999995</v>
      </c>
      <c r="P37" s="60"/>
      <c r="Q37" s="61">
        <f t="shared" si="25"/>
        <v>4490.4250999999995</v>
      </c>
      <c r="R37" s="60"/>
      <c r="S37" s="61"/>
      <c r="T37" s="60"/>
      <c r="U37" s="61">
        <f t="shared" si="26"/>
        <v>4490.4250999999995</v>
      </c>
      <c r="V37" s="60"/>
      <c r="W37" s="61">
        <f t="shared" si="27"/>
        <v>0</v>
      </c>
      <c r="X37" s="60"/>
      <c r="Y37" s="438">
        <f t="shared" si="11"/>
        <v>0</v>
      </c>
      <c r="Z37" s="60"/>
      <c r="AA37" s="61">
        <f t="shared" si="28"/>
        <v>0</v>
      </c>
      <c r="AB37" s="60"/>
      <c r="AC37" s="438">
        <f t="shared" si="13"/>
        <v>0</v>
      </c>
    </row>
    <row r="38" spans="1:29">
      <c r="A38" s="414">
        <f>MAX(A$14:A37)+1</f>
        <v>23</v>
      </c>
      <c r="C38" s="426" t="s">
        <v>297</v>
      </c>
      <c r="G38" s="58">
        <f>SUM(G20:G22,G24:G26,G28:G29,G31:G37)</f>
        <v>97328.749998611107</v>
      </c>
      <c r="I38" s="58">
        <f>SUM(I20:I22,I24:I26,I28:I29,I31:I37)</f>
        <v>17006045.944200002</v>
      </c>
      <c r="J38" s="60"/>
      <c r="K38" s="59">
        <f>SUM(K20:K22,K24:K26,K28:K29,K31:K37)</f>
        <v>1202180.6488091664</v>
      </c>
      <c r="L38" s="60"/>
      <c r="M38" s="59">
        <f>SUM(M20:M22,M24:M26,M28:M29,M31:M37)</f>
        <v>20208.038542997048</v>
      </c>
      <c r="N38" s="60"/>
      <c r="O38" s="59">
        <f>SUM(O20:O22,O24:O26,O28:O29,O31:O37)</f>
        <v>1222388.6873521637</v>
      </c>
      <c r="P38" s="60"/>
      <c r="Q38" s="59">
        <f>SUM(Q20:Q22,Q24:Q26,Q28:Q29,Q31:Q37)</f>
        <v>1202180.6488091664</v>
      </c>
      <c r="R38" s="60"/>
      <c r="S38" s="59">
        <f>SUM(S20:S22,S24:S26,S28:S29,S31:S37)</f>
        <v>40027.14753111804</v>
      </c>
      <c r="T38" s="60"/>
      <c r="U38" s="59">
        <f>SUM(U20:U22,U24:U26,U28:U29,U31:U37)</f>
        <v>1242207.7963402844</v>
      </c>
      <c r="V38" s="60"/>
      <c r="W38" s="59">
        <f>SUM(W20:W22,W24:W26,W28:W29,W31:W37)</f>
        <v>0</v>
      </c>
      <c r="X38" s="60"/>
      <c r="Y38" s="434">
        <f t="shared" si="11"/>
        <v>0</v>
      </c>
      <c r="Z38" s="60"/>
      <c r="AA38" s="59">
        <f>SUM(AA20:AA22,AA24:AA26,AA28:AA29,AA31:AA37)</f>
        <v>19819.108988120945</v>
      </c>
      <c r="AB38" s="60"/>
      <c r="AC38" s="434">
        <f t="shared" si="13"/>
        <v>1.6213426378357151E-2</v>
      </c>
    </row>
    <row r="39" spans="1:29" ht="35.1" customHeight="1">
      <c r="A39" s="414">
        <f>MAX(A$14:A38)+1</f>
        <v>24</v>
      </c>
      <c r="C39" s="443" t="s">
        <v>490</v>
      </c>
      <c r="G39" s="58">
        <f>G38-SUM(G34:G35,G37)</f>
        <v>97326.749998611107</v>
      </c>
      <c r="I39" s="58">
        <f>I38-SUM(I34:I35,I37)</f>
        <v>15744275.201450001</v>
      </c>
      <c r="J39" s="60"/>
      <c r="K39" s="59">
        <f>K38-SUM(K34:K35,K37)</f>
        <v>1141121.2849999999</v>
      </c>
      <c r="L39" s="60"/>
      <c r="M39" s="59">
        <f>M38-SUM(M34:M35,M37)</f>
        <v>19543.825361600004</v>
      </c>
      <c r="N39" s="60"/>
      <c r="O39" s="59">
        <f>O38-SUM(O34:O35,O37)</f>
        <v>1160665.1103616003</v>
      </c>
      <c r="P39" s="60"/>
      <c r="Q39" s="59">
        <f>Q38-SUM(Q34:Q35,Q37)</f>
        <v>1141121.2849999999</v>
      </c>
      <c r="R39" s="60"/>
      <c r="S39" s="59">
        <f>S38-SUM(S34:S35,S37)</f>
        <v>38234.295616100004</v>
      </c>
      <c r="T39" s="60"/>
      <c r="U39" s="59">
        <f>U38-SUM(U34:U35,U37)</f>
        <v>1179355.5806161</v>
      </c>
      <c r="V39" s="60"/>
      <c r="W39" s="59">
        <f>W38-SUM(W34:W35,W37)</f>
        <v>0</v>
      </c>
      <c r="X39" s="60"/>
      <c r="Y39" s="434">
        <f t="shared" si="11"/>
        <v>0</v>
      </c>
      <c r="Z39" s="60"/>
      <c r="AA39" s="59">
        <f>AA38-SUM(AA34:AA35,AA37)</f>
        <v>18690.470254499956</v>
      </c>
      <c r="AB39" s="60"/>
      <c r="AC39" s="434">
        <f t="shared" si="13"/>
        <v>1.6103241225780465E-2</v>
      </c>
    </row>
    <row r="40" spans="1:29" ht="24.95" customHeight="1">
      <c r="C40" s="426" t="s">
        <v>298</v>
      </c>
      <c r="G40" s="58"/>
      <c r="I40" s="58"/>
      <c r="J40" s="60"/>
      <c r="K40" s="59"/>
      <c r="L40" s="60"/>
      <c r="M40" s="59"/>
      <c r="N40" s="60"/>
      <c r="O40" s="59"/>
      <c r="P40" s="60"/>
      <c r="Q40" s="59"/>
      <c r="R40" s="60"/>
      <c r="S40" s="59"/>
      <c r="T40" s="60"/>
      <c r="U40" s="59"/>
      <c r="V40" s="60"/>
      <c r="W40" s="59"/>
      <c r="X40" s="60"/>
      <c r="Y40" s="434"/>
      <c r="Z40" s="60"/>
      <c r="AA40" s="59"/>
      <c r="AB40" s="60"/>
      <c r="AC40" s="434"/>
    </row>
    <row r="41" spans="1:29">
      <c r="A41" s="414">
        <f>MAX(A$14:A40)+1</f>
        <v>25</v>
      </c>
      <c r="C41" s="414" t="s">
        <v>299</v>
      </c>
      <c r="E41" s="414">
        <v>7</v>
      </c>
      <c r="G41" s="58">
        <v>7865</v>
      </c>
      <c r="I41" s="58">
        <f>'Exhibit-RMP(JRS-2)'!C143/1000</f>
        <v>12321.574480000001</v>
      </c>
      <c r="J41" s="60"/>
      <c r="K41" s="62">
        <f>'Exhibit-RMP(JRS-2)'!G143/1000</f>
        <v>2964.7280000000001</v>
      </c>
      <c r="L41" s="60"/>
      <c r="M41" s="59">
        <f>'Exhibit-RMP(JRS-2)'!K143/1000</f>
        <v>6.2259287999999993</v>
      </c>
      <c r="N41" s="60"/>
      <c r="O41" s="59">
        <f t="shared" ref="O41:O45" si="29">K41+M41</f>
        <v>2970.9539288000001</v>
      </c>
      <c r="P41" s="60"/>
      <c r="Q41" s="59">
        <f t="shared" ref="Q41:Q45" si="30">K41</f>
        <v>2964.7280000000001</v>
      </c>
      <c r="R41" s="60"/>
      <c r="S41" s="458">
        <f>'Exhibit-RMP(JRS-2)'!O143/1000</f>
        <v>29.647280000000002</v>
      </c>
      <c r="T41" s="60"/>
      <c r="U41" s="59">
        <f t="shared" ref="U41:U45" si="31">Q41+S41</f>
        <v>2994.3752800000002</v>
      </c>
      <c r="V41" s="60"/>
      <c r="W41" s="59">
        <f t="shared" ref="W41:W45" si="32">Q41-K41</f>
        <v>0</v>
      </c>
      <c r="X41" s="60"/>
      <c r="Y41" s="434">
        <f t="shared" ref="Y41:Y52" si="33">W41/K41</f>
        <v>0</v>
      </c>
      <c r="Z41" s="60"/>
      <c r="AA41" s="59">
        <f t="shared" ref="AA41:AA45" si="34">U41-O41</f>
        <v>23.421351200000117</v>
      </c>
      <c r="AB41" s="60"/>
      <c r="AC41" s="434">
        <f t="shared" ref="AC41:AC51" si="35">AA41/O41</f>
        <v>7.8834447659914576E-3</v>
      </c>
    </row>
    <row r="42" spans="1:29">
      <c r="A42" s="414">
        <f>MAX(A$14:A41)+1</f>
        <v>26</v>
      </c>
      <c r="C42" s="414" t="s">
        <v>300</v>
      </c>
      <c r="E42" s="444">
        <v>11</v>
      </c>
      <c r="G42" s="58">
        <v>834.33333333333337</v>
      </c>
      <c r="I42" s="58">
        <f>'Exhibit-RMP(JRS-2)'!C258/1000</f>
        <v>17077.687000000002</v>
      </c>
      <c r="J42" s="60"/>
      <c r="K42" s="62">
        <f>'Exhibit-RMP(JRS-2)'!G258/1000</f>
        <v>5089.2430000000004</v>
      </c>
      <c r="L42" s="60"/>
      <c r="M42" s="59">
        <f>'Exhibit-RMP(JRS-2)'!K258/1000</f>
        <v>10.6874103</v>
      </c>
      <c r="N42" s="60"/>
      <c r="O42" s="59">
        <f t="shared" si="29"/>
        <v>5099.9304103000004</v>
      </c>
      <c r="P42" s="60"/>
      <c r="Q42" s="59">
        <f t="shared" si="30"/>
        <v>5089.2430000000004</v>
      </c>
      <c r="R42" s="60"/>
      <c r="S42" s="59">
        <f>'Exhibit-RMP(JRS-2)'!O258/1000</f>
        <v>50.892430000000004</v>
      </c>
      <c r="T42" s="60"/>
      <c r="U42" s="59">
        <f t="shared" si="31"/>
        <v>5140.1354300000003</v>
      </c>
      <c r="V42" s="60"/>
      <c r="W42" s="59">
        <f t="shared" si="32"/>
        <v>0</v>
      </c>
      <c r="X42" s="60"/>
      <c r="Y42" s="434">
        <f t="shared" si="33"/>
        <v>0</v>
      </c>
      <c r="Z42" s="60"/>
      <c r="AA42" s="59">
        <f t="shared" si="34"/>
        <v>40.205019699999866</v>
      </c>
      <c r="AB42" s="60"/>
      <c r="AC42" s="434">
        <f t="shared" si="35"/>
        <v>7.8834447659913917E-3</v>
      </c>
    </row>
    <row r="43" spans="1:29">
      <c r="A43" s="414">
        <f>MAX(A$14:A42)+1</f>
        <v>27</v>
      </c>
      <c r="C43" s="414" t="s">
        <v>301</v>
      </c>
      <c r="E43" s="444">
        <v>12</v>
      </c>
      <c r="G43" s="58">
        <v>781.66666666666674</v>
      </c>
      <c r="I43" s="445">
        <f>'Exhibit-RMP(JRS-2)'!C352/1000</f>
        <v>55429.428999999996</v>
      </c>
      <c r="J43" s="60"/>
      <c r="K43" s="62">
        <f>'Exhibit-RMP(JRS-2)'!G352/1000</f>
        <v>4058.8130000000001</v>
      </c>
      <c r="L43" s="60"/>
      <c r="M43" s="59">
        <f>'Exhibit-RMP(JRS-2)'!K352/1000</f>
        <v>8.5235072999999986</v>
      </c>
      <c r="N43" s="60"/>
      <c r="O43" s="59">
        <f t="shared" si="29"/>
        <v>4067.3365073</v>
      </c>
      <c r="P43" s="60"/>
      <c r="Q43" s="59">
        <f t="shared" si="30"/>
        <v>4058.8130000000001</v>
      </c>
      <c r="R43" s="60"/>
      <c r="S43" s="59">
        <f>'Exhibit-RMP(JRS-2)'!O352/1000</f>
        <v>40.588130000000007</v>
      </c>
      <c r="T43" s="60"/>
      <c r="U43" s="59">
        <f t="shared" si="31"/>
        <v>4099.4011300000002</v>
      </c>
      <c r="V43" s="60"/>
      <c r="W43" s="59">
        <f t="shared" si="32"/>
        <v>0</v>
      </c>
      <c r="X43" s="60"/>
      <c r="Y43" s="434">
        <f t="shared" si="33"/>
        <v>0</v>
      </c>
      <c r="Z43" s="60"/>
      <c r="AA43" s="59">
        <f t="shared" si="34"/>
        <v>32.0646227000002</v>
      </c>
      <c r="AB43" s="60"/>
      <c r="AC43" s="434">
        <f t="shared" si="35"/>
        <v>7.883444765991468E-3</v>
      </c>
    </row>
    <row r="44" spans="1:29" s="446" customFormat="1">
      <c r="A44" s="446">
        <f>MAX(A$14:A43)+1</f>
        <v>28</v>
      </c>
      <c r="C44" s="446" t="s">
        <v>302</v>
      </c>
      <c r="D44" s="447"/>
      <c r="E44" s="446">
        <v>15</v>
      </c>
      <c r="F44" s="447"/>
      <c r="G44" s="448">
        <v>538.91666666666663</v>
      </c>
      <c r="H44" s="447"/>
      <c r="I44" s="448">
        <f>'Exhibit-RMP(JRS-2)'!C361/1000</f>
        <v>15717.486000000001</v>
      </c>
      <c r="J44" s="63"/>
      <c r="K44" s="62">
        <f>'Exhibit-RMP(JRS-2)'!G361/1000</f>
        <v>1144.626</v>
      </c>
      <c r="L44" s="63"/>
      <c r="M44" s="62">
        <f>'Exhibit-RMP(JRS-2)'!K361/1000</f>
        <v>4.7874014999999996</v>
      </c>
      <c r="N44" s="63"/>
      <c r="O44" s="62">
        <f t="shared" si="29"/>
        <v>1149.4134015</v>
      </c>
      <c r="P44" s="63"/>
      <c r="Q44" s="62">
        <f t="shared" si="30"/>
        <v>1144.626</v>
      </c>
      <c r="R44" s="63"/>
      <c r="S44" s="459">
        <f>'Exhibit-RMP(JRS-2)'!O361/1000</f>
        <v>22.425196500000002</v>
      </c>
      <c r="T44" s="63"/>
      <c r="U44" s="62">
        <f t="shared" si="31"/>
        <v>1167.0511965000001</v>
      </c>
      <c r="V44" s="63"/>
      <c r="W44" s="62">
        <f t="shared" si="32"/>
        <v>0</v>
      </c>
      <c r="X44" s="63"/>
      <c r="Y44" s="449">
        <f t="shared" si="33"/>
        <v>0</v>
      </c>
      <c r="Z44" s="63"/>
      <c r="AA44" s="62">
        <f t="shared" si="34"/>
        <v>17.637795000000096</v>
      </c>
      <c r="AB44" s="63"/>
      <c r="AC44" s="449">
        <f t="shared" si="35"/>
        <v>1.5345040328381883E-2</v>
      </c>
    </row>
    <row r="45" spans="1:29">
      <c r="A45" s="414">
        <f>MAX(A$14:A44)+1</f>
        <v>29</v>
      </c>
      <c r="C45" s="414" t="s">
        <v>303</v>
      </c>
      <c r="E45" s="414">
        <v>15</v>
      </c>
      <c r="G45" s="441">
        <v>2478.6666666666665</v>
      </c>
      <c r="I45" s="441">
        <f>'Exhibit-RMP(JRS-2)'!C367/1000</f>
        <v>5662.7629999999999</v>
      </c>
      <c r="J45" s="60"/>
      <c r="K45" s="61">
        <f>'Exhibit-RMP(JRS-2)'!G367/1000</f>
        <v>639.54200000000003</v>
      </c>
      <c r="L45" s="60"/>
      <c r="M45" s="61">
        <f>'Exhibit-RMP(JRS-2)'!K367/1000</f>
        <v>9.5665949999999995</v>
      </c>
      <c r="N45" s="60"/>
      <c r="O45" s="61">
        <f t="shared" si="29"/>
        <v>649.10859500000004</v>
      </c>
      <c r="P45" s="60"/>
      <c r="Q45" s="61">
        <f t="shared" si="30"/>
        <v>639.54200000000003</v>
      </c>
      <c r="R45" s="60"/>
      <c r="S45" s="460">
        <f>'Exhibit-RMP(JRS-2)'!O367/1000</f>
        <v>16.325084999999998</v>
      </c>
      <c r="T45" s="60"/>
      <c r="U45" s="61">
        <f t="shared" si="31"/>
        <v>655.86708499999997</v>
      </c>
      <c r="V45" s="60"/>
      <c r="W45" s="61">
        <f t="shared" si="32"/>
        <v>0</v>
      </c>
      <c r="X45" s="60"/>
      <c r="Y45" s="438">
        <f t="shared" si="33"/>
        <v>0</v>
      </c>
      <c r="Z45" s="60"/>
      <c r="AA45" s="61">
        <f t="shared" si="34"/>
        <v>6.7584899999999379</v>
      </c>
      <c r="AB45" s="60"/>
      <c r="AC45" s="438">
        <f t="shared" si="35"/>
        <v>1.0411955799167838E-2</v>
      </c>
    </row>
    <row r="46" spans="1:29">
      <c r="A46" s="414">
        <f>MAX(A$14:A45)+1</f>
        <v>30</v>
      </c>
      <c r="C46" s="442" t="s">
        <v>304</v>
      </c>
      <c r="D46" s="64"/>
      <c r="F46" s="64"/>
      <c r="G46" s="58">
        <f>SUM(G41:G45)</f>
        <v>12498.583333333332</v>
      </c>
      <c r="H46" s="64"/>
      <c r="I46" s="58">
        <f>SUM(I41:I45)</f>
        <v>106208.93948</v>
      </c>
      <c r="J46" s="59"/>
      <c r="K46" s="59">
        <f>SUM(K41:K45)</f>
        <v>13896.951999999999</v>
      </c>
      <c r="L46" s="59"/>
      <c r="M46" s="59">
        <f>SUM(M41:M45)</f>
        <v>39.790842899999994</v>
      </c>
      <c r="N46" s="59"/>
      <c r="O46" s="59">
        <f>SUM(O41:O45)</f>
        <v>13936.742842900001</v>
      </c>
      <c r="P46" s="59"/>
      <c r="Q46" s="59">
        <f>SUM(Q41:Q45)</f>
        <v>13896.951999999999</v>
      </c>
      <c r="R46" s="59"/>
      <c r="S46" s="59">
        <f>SUM(S41:S45)</f>
        <v>159.87812150000002</v>
      </c>
      <c r="T46" s="59"/>
      <c r="U46" s="59">
        <f>SUM(U41:U45)</f>
        <v>14056.830121500001</v>
      </c>
      <c r="V46" s="59"/>
      <c r="W46" s="59">
        <f>SUM(W41:W45)</f>
        <v>0</v>
      </c>
      <c r="X46" s="59"/>
      <c r="Y46" s="434">
        <f t="shared" si="33"/>
        <v>0</v>
      </c>
      <c r="Z46" s="59"/>
      <c r="AA46" s="59">
        <f>SUM(AA41:AA45)</f>
        <v>120.08727860000022</v>
      </c>
      <c r="AB46" s="59"/>
      <c r="AC46" s="434">
        <f t="shared" si="35"/>
        <v>8.6165957106095308E-3</v>
      </c>
    </row>
    <row r="47" spans="1:29" ht="21.95" customHeight="1">
      <c r="A47" s="414">
        <f>MAX(A$14:A46)+1</f>
        <v>31</v>
      </c>
      <c r="C47" s="435" t="s">
        <v>305</v>
      </c>
      <c r="E47" s="440" t="s">
        <v>273</v>
      </c>
      <c r="G47" s="58">
        <v>5</v>
      </c>
      <c r="I47" s="58">
        <f>'Exhibit-RMP(JRS-2)'!C485/1000</f>
        <v>7.9721299999999999</v>
      </c>
      <c r="J47" s="60"/>
      <c r="K47" s="62">
        <f>'Exhibit-RMP(JRS-2)'!G485/1000</f>
        <v>0.60099999999999998</v>
      </c>
      <c r="L47" s="60"/>
      <c r="M47" s="59">
        <f>'Exhibit-RMP(JRS-2)'!K485/1000</f>
        <v>0</v>
      </c>
      <c r="N47" s="60"/>
      <c r="O47" s="59">
        <f t="shared" ref="O47:O49" si="36">K47+M47</f>
        <v>0.60099999999999998</v>
      </c>
      <c r="P47" s="60"/>
      <c r="Q47" s="59">
        <f t="shared" ref="Q47:Q49" si="37">K47</f>
        <v>0.60099999999999998</v>
      </c>
      <c r="R47" s="60"/>
      <c r="S47" s="59">
        <f>'Exhibit-RMP(JRS-2)'!O485/1000</f>
        <v>0</v>
      </c>
      <c r="T47" s="60"/>
      <c r="U47" s="59">
        <f t="shared" ref="U47:U49" si="38">Q47+S47</f>
        <v>0.60099999999999998</v>
      </c>
      <c r="V47" s="60"/>
      <c r="W47" s="59">
        <f t="shared" ref="W47:W48" si="39">Q47-K47</f>
        <v>0</v>
      </c>
      <c r="X47" s="60"/>
      <c r="Y47" s="434">
        <f t="shared" si="33"/>
        <v>0</v>
      </c>
      <c r="Z47" s="60"/>
      <c r="AA47" s="59">
        <f t="shared" ref="AA47:AA49" si="40">U47-O47</f>
        <v>0</v>
      </c>
      <c r="AB47" s="60"/>
      <c r="AC47" s="434">
        <f t="shared" si="35"/>
        <v>0</v>
      </c>
    </row>
    <row r="48" spans="1:29">
      <c r="A48" s="414">
        <f>MAX(A$14:A47)+1</f>
        <v>32</v>
      </c>
      <c r="C48" s="450" t="s">
        <v>306</v>
      </c>
      <c r="E48" s="440" t="s">
        <v>273</v>
      </c>
      <c r="G48" s="58">
        <v>1</v>
      </c>
      <c r="I48" s="58">
        <f>'Exhibit-RMP(JRS-2)'!C476/1000</f>
        <v>135.42099999999999</v>
      </c>
      <c r="J48" s="60"/>
      <c r="K48" s="62">
        <f>'Exhibit-RMP(JRS-2)'!G476/1000</f>
        <v>17.277000000000001</v>
      </c>
      <c r="L48" s="60"/>
      <c r="M48" s="59">
        <f>'Exhibit-RMP(JRS-2)'!K476/1000</f>
        <v>0</v>
      </c>
      <c r="N48" s="60"/>
      <c r="O48" s="59">
        <f t="shared" si="36"/>
        <v>17.277000000000001</v>
      </c>
      <c r="P48" s="60"/>
      <c r="Q48" s="59">
        <f t="shared" si="37"/>
        <v>17.277000000000001</v>
      </c>
      <c r="R48" s="60"/>
      <c r="S48" s="59">
        <f>'Exhibit-RMP(JRS-2)'!O476/1000</f>
        <v>0</v>
      </c>
      <c r="T48" s="60"/>
      <c r="U48" s="59">
        <f t="shared" si="38"/>
        <v>17.277000000000001</v>
      </c>
      <c r="V48" s="60"/>
      <c r="W48" s="59">
        <f t="shared" si="39"/>
        <v>0</v>
      </c>
      <c r="X48" s="60"/>
      <c r="Y48" s="434">
        <f t="shared" si="33"/>
        <v>0</v>
      </c>
      <c r="Z48" s="60"/>
      <c r="AA48" s="59">
        <f t="shared" si="40"/>
        <v>0</v>
      </c>
      <c r="AB48" s="60"/>
      <c r="AC48" s="434">
        <f t="shared" si="35"/>
        <v>0</v>
      </c>
    </row>
    <row r="49" spans="1:29">
      <c r="A49" s="414">
        <f>MAX(A$14:A48)+1</f>
        <v>33</v>
      </c>
      <c r="C49" s="435" t="s">
        <v>272</v>
      </c>
      <c r="D49" s="65"/>
      <c r="E49" s="436" t="s">
        <v>273</v>
      </c>
      <c r="F49" s="65"/>
      <c r="G49" s="451"/>
      <c r="H49" s="65"/>
      <c r="I49" s="451" t="s">
        <v>273</v>
      </c>
      <c r="J49" s="60"/>
      <c r="K49" s="61">
        <f>'Exhibit-RMP(JRS-2)'!G492/1000</f>
        <v>4.6616400000000002</v>
      </c>
      <c r="L49" s="60"/>
      <c r="M49" s="61"/>
      <c r="N49" s="60"/>
      <c r="O49" s="61">
        <f t="shared" si="36"/>
        <v>4.6616400000000002</v>
      </c>
      <c r="P49" s="60"/>
      <c r="Q49" s="61">
        <f t="shared" si="37"/>
        <v>4.6616400000000002</v>
      </c>
      <c r="R49" s="60"/>
      <c r="S49" s="61"/>
      <c r="T49" s="60"/>
      <c r="U49" s="61">
        <f t="shared" si="38"/>
        <v>4.6616400000000002</v>
      </c>
      <c r="V49" s="60"/>
      <c r="W49" s="61"/>
      <c r="X49" s="60"/>
      <c r="Y49" s="438">
        <f t="shared" si="33"/>
        <v>0</v>
      </c>
      <c r="Z49" s="60"/>
      <c r="AA49" s="61">
        <f t="shared" si="40"/>
        <v>0</v>
      </c>
      <c r="AB49" s="60"/>
      <c r="AC49" s="438">
        <f t="shared" si="35"/>
        <v>0</v>
      </c>
    </row>
    <row r="50" spans="1:29" ht="21.95" customHeight="1">
      <c r="A50" s="414">
        <f>MAX(A$14:A49)+1</f>
        <v>34</v>
      </c>
      <c r="C50" s="426" t="s">
        <v>307</v>
      </c>
      <c r="E50" s="446"/>
      <c r="G50" s="441">
        <f>SUM(G47:G49)+G46</f>
        <v>12504.583333333332</v>
      </c>
      <c r="I50" s="441">
        <f>SUM(I47:I49)+I46</f>
        <v>106352.33261</v>
      </c>
      <c r="J50" s="60"/>
      <c r="K50" s="61">
        <f>SUM(K47:K49)+K46</f>
        <v>13919.49164</v>
      </c>
      <c r="L50" s="60"/>
      <c r="M50" s="61">
        <f>SUM(M47:M49)+M46</f>
        <v>39.790842899999994</v>
      </c>
      <c r="N50" s="60"/>
      <c r="O50" s="61">
        <f>SUM(O47:O49)+O46</f>
        <v>13959.282482900002</v>
      </c>
      <c r="P50" s="60"/>
      <c r="Q50" s="61">
        <f>SUM(Q47:Q49)+Q46</f>
        <v>13919.49164</v>
      </c>
      <c r="R50" s="60"/>
      <c r="S50" s="61">
        <f>SUM(S47:S49)+S46</f>
        <v>159.87812150000002</v>
      </c>
      <c r="T50" s="60"/>
      <c r="U50" s="61">
        <f>SUM(U47:U49)+U46</f>
        <v>14079.369761500002</v>
      </c>
      <c r="V50" s="60"/>
      <c r="W50" s="61">
        <f>SUM(W47:W49)+W46</f>
        <v>0</v>
      </c>
      <c r="X50" s="60"/>
      <c r="Y50" s="438">
        <f t="shared" si="33"/>
        <v>0</v>
      </c>
      <c r="Z50" s="60"/>
      <c r="AA50" s="61">
        <f>SUM(AA47:AA49)+AA46</f>
        <v>120.08727860000022</v>
      </c>
      <c r="AB50" s="60"/>
      <c r="AC50" s="438">
        <f t="shared" si="35"/>
        <v>8.6026827487090448E-3</v>
      </c>
    </row>
    <row r="51" spans="1:29" ht="24.95" customHeight="1" thickBot="1">
      <c r="A51" s="414">
        <f>MAX(A$14:A50)+1</f>
        <v>35</v>
      </c>
      <c r="C51" s="426" t="s">
        <v>308</v>
      </c>
      <c r="E51" s="446"/>
      <c r="G51" s="452">
        <f>G50+G38+G18</f>
        <v>829772.99999861105</v>
      </c>
      <c r="I51" s="452">
        <f>I50+I38+I18</f>
        <v>23734642.546709999</v>
      </c>
      <c r="J51" s="60"/>
      <c r="K51" s="66">
        <f>K50+K38+K18</f>
        <v>1926847.7224491662</v>
      </c>
      <c r="L51" s="60"/>
      <c r="M51" s="66">
        <f>M50+M38+M18</f>
        <v>31857.259286897046</v>
      </c>
      <c r="N51" s="60"/>
      <c r="O51" s="66">
        <f>O50+O38+O18</f>
        <v>1958704.9817360635</v>
      </c>
      <c r="P51" s="60"/>
      <c r="Q51" s="66">
        <f>Q50+Q38+Q18</f>
        <v>1926847.7224491662</v>
      </c>
      <c r="R51" s="60"/>
      <c r="S51" s="461">
        <f>S50+S38+S18</f>
        <v>60203.284102618039</v>
      </c>
      <c r="T51" s="60"/>
      <c r="U51" s="66">
        <f>U50+U38+U18</f>
        <v>1987051.0065517845</v>
      </c>
      <c r="V51" s="60"/>
      <c r="W51" s="66">
        <f>W50+W38+W18</f>
        <v>0</v>
      </c>
      <c r="X51" s="60"/>
      <c r="Y51" s="453">
        <f t="shared" si="33"/>
        <v>0</v>
      </c>
      <c r="Z51" s="60"/>
      <c r="AA51" s="66">
        <f>AA50+AA38+AA18</f>
        <v>28346.024815720946</v>
      </c>
      <c r="AB51" s="60"/>
      <c r="AC51" s="453">
        <f t="shared" si="35"/>
        <v>1.4471819431733384E-2</v>
      </c>
    </row>
    <row r="52" spans="1:29" ht="35.1" customHeight="1" thickTop="1" thickBot="1">
      <c r="A52" s="414">
        <f>MAX(A$14:A51)+1</f>
        <v>36</v>
      </c>
      <c r="C52" s="454" t="s">
        <v>491</v>
      </c>
      <c r="E52" s="446"/>
      <c r="G52" s="452">
        <f>G46+G39+G18-G17</f>
        <v>829764.99999861105</v>
      </c>
      <c r="I52" s="452">
        <f>I46+I39+I18-I17</f>
        <v>22472728.410829999</v>
      </c>
      <c r="J52" s="60"/>
      <c r="K52" s="66">
        <f>K46+K39+K18-K17</f>
        <v>1865729.2579999999</v>
      </c>
      <c r="L52" s="60"/>
      <c r="M52" s="66">
        <f>M46+M39+M18-M17</f>
        <v>31193.046105500005</v>
      </c>
      <c r="N52" s="60"/>
      <c r="O52" s="66">
        <f>O46+O39+O18-O17</f>
        <v>1896922.3041055005</v>
      </c>
      <c r="P52" s="60"/>
      <c r="Q52" s="66">
        <f>Q46+Q39+Q18-Q17</f>
        <v>1865729.2579999999</v>
      </c>
      <c r="R52" s="60"/>
      <c r="S52" s="66">
        <f>S46+S39+S18-S17</f>
        <v>58410.432187600003</v>
      </c>
      <c r="T52" s="60"/>
      <c r="U52" s="66">
        <f>U46+U39+U18-U17</f>
        <v>1924139.6901876</v>
      </c>
      <c r="V52" s="60"/>
      <c r="W52" s="66">
        <f>W46+W39+W18-W17</f>
        <v>0</v>
      </c>
      <c r="X52" s="60"/>
      <c r="Y52" s="453">
        <f t="shared" si="33"/>
        <v>0</v>
      </c>
      <c r="Z52" s="60"/>
      <c r="AA52" s="66">
        <f>AA46+AA39+AA18-AA17</f>
        <v>27217.386082099958</v>
      </c>
      <c r="AB52" s="60"/>
      <c r="AC52" s="453">
        <f>AA52/O52</f>
        <v>1.4348181801222692E-2</v>
      </c>
    </row>
    <row r="53" spans="1:29" ht="16.5" thickTop="1">
      <c r="E53" s="446"/>
    </row>
    <row r="54" spans="1:29">
      <c r="C54" s="435"/>
    </row>
    <row r="55" spans="1:29">
      <c r="C55" s="435"/>
    </row>
  </sheetData>
  <printOptions horizontalCentered="1"/>
  <pageMargins left="0.5" right="0.5" top="1" bottom="0.5" header="0.5" footer="0.25"/>
  <pageSetup scale="3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Q49"/>
  <sheetViews>
    <sheetView topLeftCell="A4" zoomScale="80" zoomScaleNormal="80" workbookViewId="0">
      <pane xSplit="4" ySplit="8" topLeftCell="K12" activePane="bottomRight" state="frozen"/>
      <selection activeCell="A4" sqref="A4"/>
      <selection pane="topRight" activeCell="E4" sqref="E4"/>
      <selection pane="bottomLeft" activeCell="A12" sqref="A12"/>
      <selection pane="bottomRight" activeCell="P35" sqref="P35"/>
    </sheetView>
  </sheetViews>
  <sheetFormatPr defaultRowHeight="12.75"/>
  <cols>
    <col min="1" max="1" width="7.125" style="250" bestFit="1" customWidth="1"/>
    <col min="2" max="2" width="2.375" style="250" customWidth="1"/>
    <col min="3" max="3" width="31.875" style="250" customWidth="1"/>
    <col min="4" max="4" width="7.625" style="251" bestFit="1" customWidth="1"/>
    <col min="5" max="5" width="14.25" style="250" bestFit="1" customWidth="1"/>
    <col min="6" max="6" width="11.875" style="250" bestFit="1" customWidth="1"/>
    <col min="7" max="7" width="11.75" style="250" bestFit="1" customWidth="1"/>
    <col min="8" max="8" width="10.75" style="250" bestFit="1" customWidth="1"/>
    <col min="9" max="9" width="14" style="250" customWidth="1"/>
    <col min="10" max="10" width="11.75" style="250" bestFit="1" customWidth="1"/>
    <col min="11" max="11" width="10.125" style="250" bestFit="1" customWidth="1"/>
    <col min="12" max="13" width="11.125" style="250" customWidth="1"/>
    <col min="14" max="14" width="11.25" style="250" bestFit="1" customWidth="1"/>
    <col min="15" max="16" width="11.125" style="250" customWidth="1"/>
    <col min="17" max="17" width="9.375" style="250" bestFit="1" customWidth="1"/>
    <col min="18" max="18" width="14.125" style="250" bestFit="1" customWidth="1"/>
    <col min="19" max="19" width="10.5" style="250" bestFit="1" customWidth="1"/>
    <col min="20" max="49" width="9" style="250"/>
    <col min="50" max="224" width="9" style="253"/>
    <col min="225" max="16384" width="9" style="250"/>
  </cols>
  <sheetData>
    <row r="1" spans="1:225" ht="15.75">
      <c r="P1" s="252" t="s">
        <v>380</v>
      </c>
    </row>
    <row r="2" spans="1:225" ht="15.75">
      <c r="P2" s="252" t="s">
        <v>381</v>
      </c>
    </row>
    <row r="3" spans="1:225">
      <c r="A3" s="254" t="s">
        <v>260</v>
      </c>
      <c r="B3" s="254"/>
      <c r="C3" s="254"/>
      <c r="D3" s="255"/>
      <c r="E3" s="255"/>
      <c r="F3" s="256"/>
      <c r="G3" s="255"/>
      <c r="H3" s="255"/>
      <c r="I3" s="255"/>
      <c r="J3" s="256"/>
      <c r="K3" s="256"/>
      <c r="L3" s="256"/>
      <c r="M3" s="256"/>
      <c r="N3" s="256"/>
      <c r="O3" s="255"/>
      <c r="P3" s="255"/>
    </row>
    <row r="4" spans="1:225">
      <c r="A4" s="254" t="s">
        <v>376</v>
      </c>
      <c r="B4" s="255"/>
      <c r="C4" s="255"/>
      <c r="D4" s="255"/>
      <c r="E4" s="255"/>
      <c r="F4" s="256"/>
      <c r="G4" s="255"/>
      <c r="H4" s="256"/>
      <c r="I4" s="256"/>
      <c r="J4" s="256"/>
      <c r="K4" s="256"/>
      <c r="L4" s="256"/>
      <c r="M4" s="256"/>
      <c r="N4" s="256"/>
      <c r="O4" s="255"/>
      <c r="P4" s="255"/>
    </row>
    <row r="5" spans="1:225">
      <c r="A5" s="254" t="s">
        <v>377</v>
      </c>
      <c r="B5" s="255"/>
      <c r="C5" s="255"/>
      <c r="D5" s="255"/>
      <c r="E5" s="255"/>
      <c r="F5" s="256"/>
      <c r="G5" s="255"/>
      <c r="H5" s="256"/>
      <c r="I5" s="256"/>
      <c r="J5" s="256"/>
      <c r="K5" s="256"/>
      <c r="L5" s="256"/>
      <c r="M5" s="256"/>
      <c r="N5" s="256"/>
      <c r="O5" s="255"/>
      <c r="P5" s="255"/>
    </row>
    <row r="6" spans="1:225">
      <c r="A6" s="254" t="s">
        <v>378</v>
      </c>
      <c r="B6" s="255"/>
      <c r="C6" s="255"/>
      <c r="D6" s="255"/>
      <c r="E6" s="255"/>
      <c r="F6" s="256"/>
      <c r="G6" s="255"/>
      <c r="H6" s="256"/>
      <c r="I6" s="256"/>
      <c r="J6" s="256"/>
      <c r="K6" s="256"/>
      <c r="L6" s="256"/>
      <c r="M6" s="256"/>
      <c r="N6" s="256"/>
      <c r="O6" s="256"/>
      <c r="P6" s="255"/>
      <c r="Q6" s="257"/>
      <c r="R6" s="257"/>
      <c r="U6" s="250" t="s">
        <v>382</v>
      </c>
    </row>
    <row r="7" spans="1:225">
      <c r="A7" s="254" t="s">
        <v>379</v>
      </c>
      <c r="B7" s="255"/>
      <c r="C7" s="254"/>
      <c r="D7" s="255"/>
      <c r="E7" s="255"/>
      <c r="F7" s="256"/>
      <c r="G7" s="255"/>
      <c r="H7" s="256"/>
      <c r="I7" s="256"/>
      <c r="J7" s="256"/>
      <c r="K7" s="256"/>
      <c r="L7" s="256"/>
      <c r="M7" s="256"/>
      <c r="N7" s="256"/>
      <c r="O7" s="256"/>
      <c r="P7" s="255"/>
      <c r="Q7" s="257"/>
      <c r="R7" s="257"/>
    </row>
    <row r="8" spans="1:225">
      <c r="A8" s="258"/>
      <c r="B8" s="258"/>
      <c r="C8" s="258"/>
      <c r="D8" s="259"/>
      <c r="E8" s="260"/>
      <c r="F8" s="261"/>
      <c r="G8" s="260"/>
      <c r="H8" s="260"/>
      <c r="I8" s="260"/>
      <c r="J8" s="260"/>
      <c r="K8" s="260"/>
      <c r="L8" s="260"/>
      <c r="M8" s="260"/>
      <c r="N8" s="260"/>
      <c r="O8" s="260"/>
      <c r="P8" s="260"/>
      <c r="Q8" s="262"/>
      <c r="AX8" s="250"/>
      <c r="HQ8" s="253"/>
    </row>
    <row r="9" spans="1:225">
      <c r="A9" s="258"/>
      <c r="B9" s="258"/>
      <c r="C9" s="258"/>
      <c r="D9" s="263"/>
      <c r="E9" s="259" t="s">
        <v>383</v>
      </c>
      <c r="F9" s="259"/>
      <c r="G9" s="259" t="s">
        <v>384</v>
      </c>
      <c r="H9" s="259" t="s">
        <v>384</v>
      </c>
      <c r="I9" s="259" t="s">
        <v>385</v>
      </c>
      <c r="J9" s="259" t="s">
        <v>384</v>
      </c>
      <c r="K9" s="259"/>
      <c r="L9" s="259" t="s">
        <v>386</v>
      </c>
      <c r="M9" s="259" t="s">
        <v>387</v>
      </c>
      <c r="N9" s="259" t="s">
        <v>384</v>
      </c>
      <c r="O9" s="259"/>
      <c r="P9" s="259"/>
      <c r="Q9" s="262"/>
      <c r="AX9" s="250"/>
      <c r="HQ9" s="253"/>
    </row>
    <row r="10" spans="1:225">
      <c r="A10" s="259" t="s">
        <v>388</v>
      </c>
      <c r="B10" s="258"/>
      <c r="C10" s="258"/>
      <c r="D10" s="263" t="s">
        <v>389</v>
      </c>
      <c r="E10" s="259" t="s">
        <v>390</v>
      </c>
      <c r="F10" s="259" t="s">
        <v>269</v>
      </c>
      <c r="G10" s="259" t="s">
        <v>391</v>
      </c>
      <c r="H10" s="259" t="s">
        <v>392</v>
      </c>
      <c r="I10" s="259" t="s">
        <v>393</v>
      </c>
      <c r="J10" s="259" t="s">
        <v>394</v>
      </c>
      <c r="K10" s="259" t="s">
        <v>287</v>
      </c>
      <c r="L10" s="259" t="s">
        <v>395</v>
      </c>
      <c r="M10" s="259" t="s">
        <v>393</v>
      </c>
      <c r="N10" s="259" t="s">
        <v>396</v>
      </c>
      <c r="O10" s="259" t="s">
        <v>397</v>
      </c>
      <c r="P10" s="259" t="s">
        <v>397</v>
      </c>
      <c r="Q10" s="262"/>
      <c r="AX10" s="250"/>
      <c r="HQ10" s="253"/>
    </row>
    <row r="11" spans="1:225">
      <c r="A11" s="264" t="s">
        <v>398</v>
      </c>
      <c r="B11" s="265"/>
      <c r="C11" s="264" t="s">
        <v>399</v>
      </c>
      <c r="D11" s="266" t="s">
        <v>400</v>
      </c>
      <c r="E11" s="264" t="s">
        <v>401</v>
      </c>
      <c r="F11" s="264" t="s">
        <v>402</v>
      </c>
      <c r="G11" s="264" t="s">
        <v>403</v>
      </c>
      <c r="H11" s="264" t="s">
        <v>404</v>
      </c>
      <c r="I11" s="264" t="s">
        <v>405</v>
      </c>
      <c r="J11" s="264" t="s">
        <v>406</v>
      </c>
      <c r="K11" s="264" t="s">
        <v>407</v>
      </c>
      <c r="L11" s="264" t="s">
        <v>408</v>
      </c>
      <c r="M11" s="264" t="s">
        <v>408</v>
      </c>
      <c r="N11" s="264" t="s">
        <v>409</v>
      </c>
      <c r="O11" s="264" t="s">
        <v>410</v>
      </c>
      <c r="P11" s="264" t="s">
        <v>411</v>
      </c>
      <c r="Q11" s="262"/>
      <c r="AX11" s="250"/>
      <c r="HQ11" s="253"/>
    </row>
    <row r="12" spans="1:225">
      <c r="A12" s="267"/>
      <c r="B12" s="260"/>
      <c r="C12" s="260"/>
      <c r="D12" s="268"/>
      <c r="E12" s="261"/>
      <c r="F12" s="269"/>
      <c r="G12" s="270"/>
      <c r="H12" s="270"/>
      <c r="I12" s="270"/>
      <c r="J12" s="270"/>
      <c r="K12" s="270"/>
      <c r="L12" s="270"/>
      <c r="M12" s="270"/>
      <c r="N12" s="270"/>
      <c r="O12" s="270"/>
      <c r="P12" s="270"/>
      <c r="Q12" s="262"/>
      <c r="R12" s="257"/>
      <c r="S12" s="257"/>
      <c r="AX12" s="250"/>
      <c r="HQ12" s="253"/>
    </row>
    <row r="13" spans="1:225">
      <c r="A13" s="259" t="s">
        <v>412</v>
      </c>
      <c r="B13" s="258" t="s">
        <v>413</v>
      </c>
      <c r="C13" s="258"/>
      <c r="D13" s="271"/>
      <c r="E13" s="272"/>
      <c r="F13" s="272"/>
      <c r="G13" s="272"/>
      <c r="H13" s="272"/>
      <c r="I13" s="272"/>
      <c r="J13" s="272"/>
      <c r="K13" s="272"/>
      <c r="L13" s="272"/>
      <c r="M13" s="272"/>
      <c r="N13" s="272"/>
      <c r="O13" s="272"/>
      <c r="P13" s="272"/>
      <c r="Q13" s="262"/>
      <c r="R13" s="257"/>
      <c r="S13" s="257"/>
      <c r="AX13" s="250"/>
      <c r="HQ13" s="253"/>
    </row>
    <row r="14" spans="1:225">
      <c r="A14" s="259"/>
      <c r="B14" s="258"/>
      <c r="C14" s="258" t="s">
        <v>414</v>
      </c>
      <c r="D14" s="271" t="s">
        <v>415</v>
      </c>
      <c r="E14" s="273">
        <v>196905820</v>
      </c>
      <c r="F14" s="272">
        <f>+$E14*NPCAllocator!F$47</f>
        <v>68283145.989649832</v>
      </c>
      <c r="G14" s="272">
        <f>+$E14*NPCAllocator!G$47</f>
        <v>55518902.273175381</v>
      </c>
      <c r="H14" s="272">
        <f>+$E14*NPCAllocator!H$47</f>
        <v>16810210.991657585</v>
      </c>
      <c r="I14" s="272">
        <f>+$E14*NPCAllocator!I$47</f>
        <v>408210.39562234131</v>
      </c>
      <c r="J14" s="272">
        <f>+$E14*NPCAllocator!J$47</f>
        <v>33476891.028154746</v>
      </c>
      <c r="K14" s="272">
        <f>+$E14*NPCAllocator!K$47</f>
        <v>1481447.159512542</v>
      </c>
      <c r="L14" s="272">
        <f>+$E14*NPCAllocator!L$47</f>
        <v>41887.937263614367</v>
      </c>
      <c r="M14" s="272">
        <f>+$E14*NPCAllocator!M$47</f>
        <v>75885.262278284776</v>
      </c>
      <c r="N14" s="272">
        <f>+$E14*NPCAllocator!N$47</f>
        <v>13601217.137345592</v>
      </c>
      <c r="O14" s="272">
        <f>+$E14*NPCAllocator!O$47</f>
        <v>3794300.280277262</v>
      </c>
      <c r="P14" s="272">
        <f>+$E14*NPCAllocator!P$47</f>
        <v>3413721.5450628004</v>
      </c>
      <c r="Q14" s="262">
        <f>SUM(F14:P14)-E14</f>
        <v>0</v>
      </c>
      <c r="R14" s="257"/>
      <c r="S14" s="257"/>
      <c r="AX14" s="250"/>
      <c r="HQ14" s="253"/>
    </row>
    <row r="15" spans="1:225">
      <c r="A15" s="259"/>
      <c r="B15" s="258"/>
      <c r="C15" s="258"/>
      <c r="D15" s="263"/>
      <c r="E15" s="274"/>
      <c r="F15" s="258"/>
      <c r="G15" s="258"/>
      <c r="H15" s="258"/>
      <c r="I15" s="258"/>
      <c r="J15" s="258"/>
      <c r="K15" s="258"/>
      <c r="L15" s="258"/>
      <c r="M15" s="258"/>
      <c r="N15" s="258"/>
      <c r="O15" s="258"/>
      <c r="P15" s="258"/>
      <c r="Q15" s="262"/>
      <c r="R15" s="257"/>
      <c r="S15" s="257"/>
      <c r="AX15" s="250"/>
      <c r="HQ15" s="253"/>
    </row>
    <row r="16" spans="1:225">
      <c r="A16" s="259" t="s">
        <v>416</v>
      </c>
      <c r="B16" s="258" t="s">
        <v>417</v>
      </c>
      <c r="C16" s="258"/>
      <c r="D16" s="263"/>
      <c r="E16" s="273"/>
      <c r="F16" s="273"/>
      <c r="G16" s="273"/>
      <c r="H16" s="273"/>
      <c r="I16" s="273"/>
      <c r="J16" s="273"/>
      <c r="K16" s="273"/>
      <c r="L16" s="273"/>
      <c r="M16" s="273"/>
      <c r="N16" s="273"/>
      <c r="O16" s="273"/>
      <c r="P16" s="273"/>
      <c r="Q16" s="262"/>
      <c r="R16" s="257"/>
      <c r="S16" s="257"/>
      <c r="AX16" s="250"/>
      <c r="HQ16" s="253"/>
    </row>
    <row r="17" spans="1:225">
      <c r="A17" s="259"/>
      <c r="B17" s="258"/>
      <c r="C17" s="258" t="s">
        <v>414</v>
      </c>
      <c r="D17" s="263" t="s">
        <v>415</v>
      </c>
      <c r="E17" s="273">
        <v>27307458</v>
      </c>
      <c r="F17" s="272">
        <f>+$E17*NPCAllocator!F$47</f>
        <v>9469700.4954969399</v>
      </c>
      <c r="G17" s="272">
        <f>+$E17*NPCAllocator!G$47</f>
        <v>7699518.9478444131</v>
      </c>
      <c r="H17" s="272">
        <f>+$E17*NPCAllocator!H$47</f>
        <v>2331287.7731385888</v>
      </c>
      <c r="I17" s="272">
        <f>+$E17*NPCAllocator!I$47</f>
        <v>56611.77629803156</v>
      </c>
      <c r="J17" s="272">
        <f>+$E17*NPCAllocator!J$47</f>
        <v>4642670.2660282589</v>
      </c>
      <c r="K17" s="272">
        <f>+$E17*NPCAllocator!K$47</f>
        <v>205451.29690736433</v>
      </c>
      <c r="L17" s="272">
        <f>+$E17*NPCAllocator!L$47</f>
        <v>5809.1380312312976</v>
      </c>
      <c r="M17" s="272">
        <f>+$E17*NPCAllocator!M$47</f>
        <v>10523.983559669519</v>
      </c>
      <c r="N17" s="272">
        <f>+$E17*NPCAllocator!N$47</f>
        <v>1886255.3972601977</v>
      </c>
      <c r="O17" s="272">
        <f>+$E17*NPCAllocator!O$47</f>
        <v>526204.33232019015</v>
      </c>
      <c r="P17" s="272">
        <f>+$E17*NPCAllocator!P$47</f>
        <v>473424.59311511222</v>
      </c>
      <c r="Q17" s="262">
        <f t="shared" ref="Q17:Q35" si="0">SUM(F17:P17)-E17</f>
        <v>0</v>
      </c>
      <c r="R17" s="257"/>
      <c r="S17" s="257"/>
      <c r="AX17" s="250"/>
      <c r="HQ17" s="253"/>
    </row>
    <row r="18" spans="1:225">
      <c r="A18" s="259"/>
      <c r="B18" s="258"/>
      <c r="C18" s="258" t="s">
        <v>418</v>
      </c>
      <c r="D18" s="263" t="s">
        <v>419</v>
      </c>
      <c r="E18" s="273">
        <v>4910417.512868817</v>
      </c>
      <c r="F18" s="272">
        <f>+$E18*NPCAllocator!F$49</f>
        <v>1476951.6246772183</v>
      </c>
      <c r="G18" s="272">
        <f>+$E18*NPCAllocator!G$49</f>
        <v>1347123.5874790256</v>
      </c>
      <c r="H18" s="272">
        <f>+$E18*NPCAllocator!H$49</f>
        <v>458398.33033300517</v>
      </c>
      <c r="I18" s="272">
        <f>+$E18*NPCAllocator!I$49</f>
        <v>18951.227382298457</v>
      </c>
      <c r="J18" s="272">
        <f>+$E18*NPCAllocator!J$49</f>
        <v>976836.53846943111</v>
      </c>
      <c r="K18" s="272">
        <f>+$E18*NPCAllocator!K$49</f>
        <v>41768.846769153191</v>
      </c>
      <c r="L18" s="272">
        <f>+$E18*NPCAllocator!L$49</f>
        <v>1262.9596058585639</v>
      </c>
      <c r="M18" s="272">
        <f>+$E18*NPCAllocator!M$49</f>
        <v>3505.4530665767752</v>
      </c>
      <c r="N18" s="272">
        <f>+$E18*NPCAllocator!N$49</f>
        <v>316550.70051933406</v>
      </c>
      <c r="O18" s="272">
        <f>+$E18*NPCAllocator!O$49</f>
        <v>115999.84613480409</v>
      </c>
      <c r="P18" s="272">
        <f>+$E18*NPCAllocator!P$49</f>
        <v>153068.39843211128</v>
      </c>
      <c r="Q18" s="262">
        <f t="shared" si="0"/>
        <v>0</v>
      </c>
      <c r="R18" s="257"/>
      <c r="S18" s="257"/>
      <c r="AX18" s="250"/>
      <c r="HQ18" s="253"/>
    </row>
    <row r="19" spans="1:225">
      <c r="A19" s="259"/>
      <c r="B19" s="258"/>
      <c r="C19" s="258"/>
      <c r="D19" s="263"/>
      <c r="E19" s="273"/>
      <c r="F19" s="272"/>
      <c r="G19" s="272"/>
      <c r="H19" s="272"/>
      <c r="I19" s="272"/>
      <c r="J19" s="272"/>
      <c r="K19" s="272"/>
      <c r="L19" s="272"/>
      <c r="M19" s="272"/>
      <c r="N19" s="272"/>
      <c r="O19" s="272"/>
      <c r="P19" s="272"/>
      <c r="Q19" s="262"/>
      <c r="R19" s="257"/>
      <c r="S19" s="257"/>
      <c r="AX19" s="250"/>
      <c r="HQ19" s="253"/>
    </row>
    <row r="20" spans="1:225">
      <c r="A20" s="259" t="s">
        <v>420</v>
      </c>
      <c r="B20" s="258" t="s">
        <v>421</v>
      </c>
      <c r="C20" s="258"/>
      <c r="D20" s="271" t="s">
        <v>419</v>
      </c>
      <c r="E20" s="273">
        <v>294771805</v>
      </c>
      <c r="F20" s="272">
        <f>+$E20*NPCAllocator!F$49</f>
        <v>88661238.105073735</v>
      </c>
      <c r="G20" s="272">
        <f>+$E20*NPCAllocator!G$49</f>
        <v>80867675.793065757</v>
      </c>
      <c r="H20" s="272">
        <f>+$E20*NPCAllocator!H$49</f>
        <v>27517599.651583035</v>
      </c>
      <c r="I20" s="272">
        <f>+$E20*NPCAllocator!I$49</f>
        <v>1137640.0250702633</v>
      </c>
      <c r="J20" s="272">
        <f>+$E20*NPCAllocator!J$49</f>
        <v>58639386.341378637</v>
      </c>
      <c r="K20" s="272">
        <f>+$E20*NPCAllocator!K$49</f>
        <v>2507379.12257862</v>
      </c>
      <c r="L20" s="272">
        <f>+$E20*NPCAllocator!L$49</f>
        <v>75815.321545543527</v>
      </c>
      <c r="M20" s="272">
        <f>+$E20*NPCAllocator!M$49</f>
        <v>210431.9490286948</v>
      </c>
      <c r="N20" s="272">
        <f>+$E20*NPCAllocator!N$49</f>
        <v>19002502.561454054</v>
      </c>
      <c r="O20" s="272">
        <f>+$E20*NPCAllocator!O$49</f>
        <v>6963457.5746903429</v>
      </c>
      <c r="P20" s="272">
        <f>+$E20*NPCAllocator!P$49</f>
        <v>9188678.5545312986</v>
      </c>
      <c r="Q20" s="262">
        <f t="shared" si="0"/>
        <v>0</v>
      </c>
      <c r="R20" s="257"/>
      <c r="S20" s="257"/>
      <c r="AX20" s="250"/>
      <c r="HQ20" s="253"/>
    </row>
    <row r="21" spans="1:225">
      <c r="A21" s="259"/>
      <c r="B21" s="258"/>
      <c r="C21" s="275" t="s">
        <v>422</v>
      </c>
      <c r="D21" s="263" t="s">
        <v>419</v>
      </c>
      <c r="E21" s="273">
        <v>23419803.277612053</v>
      </c>
      <c r="F21" s="272">
        <f>+$E21*NPCAllocator!F$49</f>
        <v>7044190.5214453889</v>
      </c>
      <c r="G21" s="272">
        <f>+$E21*NPCAllocator!G$49</f>
        <v>6424987.147571017</v>
      </c>
      <c r="H21" s="272">
        <f>+$E21*NPCAllocator!H$49</f>
        <v>2186290.4103469485</v>
      </c>
      <c r="I21" s="272">
        <f>+$E21*NPCAllocator!I$49</f>
        <v>90386.207689989926</v>
      </c>
      <c r="J21" s="272">
        <f>+$E21*NPCAllocator!J$49</f>
        <v>4658935.7229568781</v>
      </c>
      <c r="K21" s="272">
        <f>+$E21*NPCAllocator!K$49</f>
        <v>199212.83106836761</v>
      </c>
      <c r="L21" s="272">
        <f>+$E21*NPCAllocator!L$49</f>
        <v>6023.5744596588265</v>
      </c>
      <c r="M21" s="272">
        <f>+$E21*NPCAllocator!M$49</f>
        <v>16718.949254921172</v>
      </c>
      <c r="N21" s="272">
        <f>+$E21*NPCAllocator!N$49</f>
        <v>1509760.6495016478</v>
      </c>
      <c r="O21" s="272">
        <f>+$E21*NPCAllocator!O$49</f>
        <v>553251.03610654129</v>
      </c>
      <c r="P21" s="272">
        <f>+$E21*NPCAllocator!P$49</f>
        <v>730046.22721069166</v>
      </c>
      <c r="Q21" s="262">
        <f t="shared" si="0"/>
        <v>0</v>
      </c>
      <c r="R21" s="257"/>
      <c r="S21" s="257"/>
      <c r="AX21" s="250"/>
      <c r="HQ21" s="253"/>
    </row>
    <row r="22" spans="1:225">
      <c r="A22" s="259"/>
      <c r="B22" s="258"/>
      <c r="C22" s="258"/>
      <c r="D22" s="263"/>
      <c r="E22" s="276"/>
      <c r="F22" s="261"/>
      <c r="G22" s="261"/>
      <c r="H22" s="261"/>
      <c r="I22" s="261"/>
      <c r="J22" s="261"/>
      <c r="K22" s="261"/>
      <c r="L22" s="261"/>
      <c r="M22" s="261"/>
      <c r="N22" s="261"/>
      <c r="O22" s="261"/>
      <c r="P22" s="261"/>
      <c r="Q22" s="262"/>
      <c r="AX22" s="250"/>
      <c r="HQ22" s="253"/>
    </row>
    <row r="23" spans="1:225">
      <c r="A23" s="259" t="s">
        <v>423</v>
      </c>
      <c r="B23" s="258" t="s">
        <v>424</v>
      </c>
      <c r="C23" s="258"/>
      <c r="D23" s="271" t="s">
        <v>419</v>
      </c>
      <c r="E23" s="273">
        <v>1496421</v>
      </c>
      <c r="F23" s="272">
        <f>+$E23*NPCAllocator!F$49</f>
        <v>450092.36411342851</v>
      </c>
      <c r="G23" s="272">
        <f>+$E23*NPCAllocator!G$49</f>
        <v>410528.02956488746</v>
      </c>
      <c r="H23" s="272">
        <f>+$E23*NPCAllocator!H$49</f>
        <v>139694.20850213792</v>
      </c>
      <c r="I23" s="272">
        <f>+$E23*NPCAllocator!I$49</f>
        <v>5775.2756372193344</v>
      </c>
      <c r="J23" s="272">
        <f>+$E23*NPCAllocator!J$49</f>
        <v>297685.21839581017</v>
      </c>
      <c r="K23" s="272">
        <f>+$E23*NPCAllocator!K$49</f>
        <v>12728.811610690585</v>
      </c>
      <c r="L23" s="272">
        <f>+$E23*NPCAllocator!L$49</f>
        <v>384.87954871567109</v>
      </c>
      <c r="M23" s="272">
        <f>+$E23*NPCAllocator!M$49</f>
        <v>1068.26630721167</v>
      </c>
      <c r="N23" s="272">
        <f>+$E23*NPCAllocator!N$49</f>
        <v>96466.973445827476</v>
      </c>
      <c r="O23" s="272">
        <f>+$E23*NPCAllocator!O$49</f>
        <v>35350.274248161884</v>
      </c>
      <c r="P23" s="272">
        <f>+$E23*NPCAllocator!P$49</f>
        <v>46646.698625909223</v>
      </c>
      <c r="Q23" s="262">
        <f t="shared" si="0"/>
        <v>0</v>
      </c>
      <c r="R23" s="257"/>
      <c r="S23" s="257"/>
      <c r="AX23" s="250"/>
      <c r="HQ23" s="253"/>
    </row>
    <row r="24" spans="1:225">
      <c r="A24" s="259"/>
      <c r="B24" s="258"/>
      <c r="C24" s="258"/>
      <c r="D24" s="263"/>
      <c r="E24" s="276"/>
      <c r="F24" s="261"/>
      <c r="G24" s="261"/>
      <c r="H24" s="261"/>
      <c r="I24" s="261"/>
      <c r="J24" s="261"/>
      <c r="K24" s="261"/>
      <c r="L24" s="261"/>
      <c r="M24" s="261"/>
      <c r="N24" s="261"/>
      <c r="O24" s="261"/>
      <c r="P24" s="261"/>
      <c r="Q24" s="262"/>
      <c r="AX24" s="250"/>
      <c r="HQ24" s="253"/>
    </row>
    <row r="25" spans="1:225">
      <c r="A25" s="259" t="s">
        <v>425</v>
      </c>
      <c r="B25" s="258" t="s">
        <v>426</v>
      </c>
      <c r="C25" s="258"/>
      <c r="D25" s="263" t="s">
        <v>419</v>
      </c>
      <c r="E25" s="273">
        <v>153144261</v>
      </c>
      <c r="F25" s="272">
        <f>+$E25*NPCAllocator!F$49</f>
        <v>46062613.718929321</v>
      </c>
      <c r="G25" s="272">
        <f>+$E25*NPCAllocator!G$49</f>
        <v>42013585.553464465</v>
      </c>
      <c r="H25" s="272">
        <f>+$E25*NPCAllocator!H$49</f>
        <v>14296355.321824424</v>
      </c>
      <c r="I25" s="272">
        <f>+$E25*NPCAllocator!I$49</f>
        <v>591043.77680696745</v>
      </c>
      <c r="J25" s="272">
        <f>+$E25*NPCAllocator!J$49</f>
        <v>30465211.850040831</v>
      </c>
      <c r="K25" s="272">
        <f>+$E25*NPCAllocator!K$49</f>
        <v>1302671.1383543999</v>
      </c>
      <c r="L25" s="272">
        <f>+$E25*NPCAllocator!L$49</f>
        <v>39388.710838777952</v>
      </c>
      <c r="M25" s="272">
        <f>+$E25*NPCAllocator!M$49</f>
        <v>109326.7564202388</v>
      </c>
      <c r="N25" s="272">
        <f>+$E25*NPCAllocator!N$49</f>
        <v>9872464.6067302413</v>
      </c>
      <c r="O25" s="272">
        <f>+$E25*NPCAllocator!O$49</f>
        <v>3617759.725292603</v>
      </c>
      <c r="P25" s="272">
        <f>+$E25*NPCAllocator!P$49</f>
        <v>4773839.8412977252</v>
      </c>
      <c r="Q25" s="262">
        <f t="shared" si="0"/>
        <v>0</v>
      </c>
      <c r="R25" s="257"/>
      <c r="S25" s="257"/>
      <c r="AX25" s="250"/>
      <c r="HQ25" s="253"/>
    </row>
    <row r="26" spans="1:225">
      <c r="A26" s="259"/>
      <c r="B26" s="258"/>
      <c r="C26" s="275" t="s">
        <v>427</v>
      </c>
      <c r="D26" s="263" t="s">
        <v>419</v>
      </c>
      <c r="E26" s="273">
        <v>8933492.867324207</v>
      </c>
      <c r="F26" s="272">
        <f>+$E26*NPCAllocator!F$49</f>
        <v>2687009.1534697814</v>
      </c>
      <c r="G26" s="272">
        <f>+$E26*NPCAllocator!G$49</f>
        <v>2450813.7910084017</v>
      </c>
      <c r="H26" s="272">
        <f>+$E26*NPCAllocator!H$49</f>
        <v>833961.30852236738</v>
      </c>
      <c r="I26" s="272">
        <f>+$E26*NPCAllocator!I$49</f>
        <v>34477.853299258823</v>
      </c>
      <c r="J26" s="272">
        <f>+$E26*NPCAllocator!J$49</f>
        <v>1777152.803420173</v>
      </c>
      <c r="K26" s="272">
        <f>+$E26*NPCAllocator!K$49</f>
        <v>75989.810176158921</v>
      </c>
      <c r="L26" s="272">
        <f>+$E26*NPCAllocator!L$49</f>
        <v>2297.6947685380032</v>
      </c>
      <c r="M26" s="272">
        <f>+$E26*NPCAllocator!M$49</f>
        <v>6377.4495518829417</v>
      </c>
      <c r="N26" s="272">
        <f>+$E26*NPCAllocator!N$49</f>
        <v>575898.77394840994</v>
      </c>
      <c r="O26" s="272">
        <f>+$E26*NPCAllocator!O$49</f>
        <v>211037.81813668</v>
      </c>
      <c r="P26" s="272">
        <f>+$E26*NPCAllocator!P$49</f>
        <v>278476.41102255444</v>
      </c>
      <c r="Q26" s="262">
        <f t="shared" si="0"/>
        <v>0</v>
      </c>
      <c r="AX26" s="250"/>
      <c r="HQ26" s="253"/>
    </row>
    <row r="27" spans="1:225">
      <c r="A27" s="259"/>
      <c r="B27" s="258"/>
      <c r="C27" s="258"/>
      <c r="D27" s="263"/>
      <c r="E27" s="276"/>
      <c r="F27" s="261"/>
      <c r="G27" s="261"/>
      <c r="H27" s="261"/>
      <c r="I27" s="261"/>
      <c r="J27" s="261"/>
      <c r="K27" s="261"/>
      <c r="L27" s="261"/>
      <c r="M27" s="261"/>
      <c r="N27" s="261"/>
      <c r="O27" s="261"/>
      <c r="P27" s="261"/>
      <c r="Q27" s="262"/>
      <c r="R27" s="257"/>
      <c r="S27" s="257"/>
      <c r="AX27" s="250"/>
      <c r="HQ27" s="253"/>
    </row>
    <row r="28" spans="1:225">
      <c r="A28" s="259" t="s">
        <v>428</v>
      </c>
      <c r="B28" s="258" t="s">
        <v>429</v>
      </c>
      <c r="C28" s="258"/>
      <c r="D28" s="271"/>
      <c r="E28" s="273"/>
      <c r="F28" s="272"/>
      <c r="G28" s="272"/>
      <c r="H28" s="272"/>
      <c r="I28" s="272"/>
      <c r="J28" s="272"/>
      <c r="K28" s="272"/>
      <c r="L28" s="272"/>
      <c r="M28" s="272"/>
      <c r="N28" s="272"/>
      <c r="O28" s="272"/>
      <c r="P28" s="272"/>
      <c r="Q28" s="262"/>
      <c r="AX28" s="250"/>
      <c r="HQ28" s="253"/>
    </row>
    <row r="29" spans="1:225">
      <c r="A29" s="259"/>
      <c r="B29" s="258"/>
      <c r="C29" s="258" t="s">
        <v>414</v>
      </c>
      <c r="D29" s="271" t="s">
        <v>415</v>
      </c>
      <c r="E29" s="273">
        <v>280635059</v>
      </c>
      <c r="F29" s="272">
        <f>+$E29*NPCAllocator!F$47</f>
        <v>97318833.458101928</v>
      </c>
      <c r="G29" s="272">
        <f>+$E29*NPCAllocator!G$47</f>
        <v>79126916.690668702</v>
      </c>
      <c r="H29" s="272">
        <f>+$E29*NPCAllocator!H$47</f>
        <v>23958329.690032903</v>
      </c>
      <c r="I29" s="272">
        <f>+$E29*NPCAllocator!I$47</f>
        <v>581791.58168046572</v>
      </c>
      <c r="J29" s="272">
        <f>+$E29*NPCAllocator!J$47</f>
        <v>47712095.50242231</v>
      </c>
      <c r="K29" s="272">
        <f>+$E29*NPCAllocator!K$47</f>
        <v>2111395.2396896374</v>
      </c>
      <c r="L29" s="272">
        <f>+$E29*NPCAllocator!L$47</f>
        <v>59699.727236923303</v>
      </c>
      <c r="M29" s="272">
        <f>+$E29*NPCAllocator!M$47</f>
        <v>108153.55816652307</v>
      </c>
      <c r="N29" s="272">
        <f>+$E29*NPCAllocator!N$47</f>
        <v>19384792.048354849</v>
      </c>
      <c r="O29" s="272">
        <f>+$E29*NPCAllocator!O$47</f>
        <v>5407730.8787486618</v>
      </c>
      <c r="P29" s="272">
        <f>+$E29*NPCAllocator!P$47</f>
        <v>4865320.6248970702</v>
      </c>
      <c r="Q29" s="262">
        <f t="shared" si="0"/>
        <v>0</v>
      </c>
      <c r="R29" s="257"/>
      <c r="S29" s="257"/>
      <c r="AX29" s="250"/>
      <c r="HQ29" s="253"/>
    </row>
    <row r="30" spans="1:225">
      <c r="A30" s="259"/>
      <c r="B30" s="258"/>
      <c r="C30" s="258" t="s">
        <v>418</v>
      </c>
      <c r="D30" s="263" t="s">
        <v>419</v>
      </c>
      <c r="E30" s="273">
        <v>12154101</v>
      </c>
      <c r="F30" s="272">
        <f>+$E30*NPCAllocator!F$49</f>
        <v>3655701.2049171897</v>
      </c>
      <c r="G30" s="272">
        <f>+$E30*NPCAllocator!G$49</f>
        <v>3334355.1946027409</v>
      </c>
      <c r="H30" s="272">
        <f>+$E30*NPCAllocator!H$49</f>
        <v>1134612.1975366843</v>
      </c>
      <c r="I30" s="272">
        <f>+$E30*NPCAllocator!I$49</f>
        <v>46907.443425081008</v>
      </c>
      <c r="J30" s="272">
        <f>+$E30*NPCAllocator!J$49</f>
        <v>2417833.0901462454</v>
      </c>
      <c r="K30" s="272">
        <f>+$E30*NPCAllocator!K$49</f>
        <v>103384.8508717173</v>
      </c>
      <c r="L30" s="272">
        <f>+$E30*NPCAllocator!L$49</f>
        <v>3126.0353255699342</v>
      </c>
      <c r="M30" s="272">
        <f>+$E30*NPCAllocator!M$49</f>
        <v>8676.5800484941501</v>
      </c>
      <c r="N30" s="272">
        <f>+$E30*NPCAllocator!N$49</f>
        <v>783515.69406263693</v>
      </c>
      <c r="O30" s="272">
        <f>+$E30*NPCAllocator!O$49</f>
        <v>287118.93483843026</v>
      </c>
      <c r="P30" s="272">
        <f>+$E30*NPCAllocator!P$49</f>
        <v>378869.77422520926</v>
      </c>
      <c r="Q30" s="262">
        <f t="shared" si="0"/>
        <v>0</v>
      </c>
      <c r="AX30" s="250"/>
      <c r="HQ30" s="253"/>
    </row>
    <row r="31" spans="1:225">
      <c r="A31" s="259"/>
      <c r="B31" s="258"/>
      <c r="C31" s="258"/>
      <c r="D31" s="263"/>
      <c r="E31" s="276"/>
      <c r="F31" s="261"/>
      <c r="G31" s="261"/>
      <c r="H31" s="261"/>
      <c r="I31" s="261"/>
      <c r="J31" s="261"/>
      <c r="K31" s="261"/>
      <c r="L31" s="261"/>
      <c r="M31" s="261"/>
      <c r="N31" s="261"/>
      <c r="O31" s="261"/>
      <c r="P31" s="261"/>
      <c r="Q31" s="262"/>
      <c r="R31" s="257"/>
      <c r="S31" s="257"/>
      <c r="AX31" s="250"/>
      <c r="HQ31" s="253"/>
    </row>
    <row r="32" spans="1:225">
      <c r="A32" s="259" t="s">
        <v>430</v>
      </c>
      <c r="B32" s="258" t="s">
        <v>431</v>
      </c>
      <c r="C32" s="258"/>
      <c r="D32" s="271" t="s">
        <v>415</v>
      </c>
      <c r="E32" s="273">
        <v>55768007</v>
      </c>
      <c r="F32" s="272">
        <f>+$E32*NPCAllocator!F$47</f>
        <v>19339270.741376836</v>
      </c>
      <c r="G32" s="272">
        <f>+$E32*NPCAllocator!G$47</f>
        <v>15724159.553042976</v>
      </c>
      <c r="H32" s="272">
        <f>+$E32*NPCAllocator!H$47</f>
        <v>4761017.0397921056</v>
      </c>
      <c r="I32" s="272">
        <f>+$E32*NPCAllocator!I$47</f>
        <v>115614.05447812309</v>
      </c>
      <c r="J32" s="272">
        <f>+$E32*NPCAllocator!J$47</f>
        <v>9481382.9941459876</v>
      </c>
      <c r="K32" s="272">
        <f>+$E32*NPCAllocator!K$47</f>
        <v>419578.02751500969</v>
      </c>
      <c r="L32" s="272">
        <f>+$E32*NPCAllocator!L$47</f>
        <v>11863.574060598143</v>
      </c>
      <c r="M32" s="272">
        <f>+$E32*NPCAllocator!M$47</f>
        <v>21492.355268789015</v>
      </c>
      <c r="N32" s="272">
        <f>+$E32*NPCAllocator!N$47</f>
        <v>3852160.2486102693</v>
      </c>
      <c r="O32" s="272">
        <f>+$E32*NPCAllocator!O$47</f>
        <v>1074628.2897610862</v>
      </c>
      <c r="P32" s="272">
        <f>+$E32*NPCAllocator!P$47</f>
        <v>966840.1219482139</v>
      </c>
      <c r="Q32" s="262">
        <f t="shared" si="0"/>
        <v>0</v>
      </c>
      <c r="AX32" s="250"/>
      <c r="HQ32" s="253"/>
    </row>
    <row r="33" spans="1:225">
      <c r="A33" s="259"/>
      <c r="B33" s="258" t="s">
        <v>418</v>
      </c>
      <c r="C33" s="260"/>
      <c r="D33" s="271" t="s">
        <v>419</v>
      </c>
      <c r="E33" s="277">
        <v>2584592</v>
      </c>
      <c r="F33" s="278">
        <f>+$E33*NPCAllocator!F$49</f>
        <v>777391.60540292761</v>
      </c>
      <c r="G33" s="278">
        <f>+$E33*NPCAllocator!G$49</f>
        <v>709056.78347816004</v>
      </c>
      <c r="H33" s="278">
        <f>+$E33*NPCAllocator!H$49</f>
        <v>241277.37698211774</v>
      </c>
      <c r="I33" s="278">
        <f>+$E33*NPCAllocator!I$49</f>
        <v>9974.9543809876996</v>
      </c>
      <c r="J33" s="278">
        <f>+$E33*NPCAllocator!J$49</f>
        <v>514156.6671304825</v>
      </c>
      <c r="K33" s="278">
        <f>+$E33*NPCAllocator!K$49</f>
        <v>21984.979266194474</v>
      </c>
      <c r="L33" s="278">
        <f>+$E33*NPCAllocator!L$49</f>
        <v>664.75717901187818</v>
      </c>
      <c r="M33" s="278">
        <f>+$E33*NPCAllocator!M$49</f>
        <v>1845.0907541987347</v>
      </c>
      <c r="N33" s="278">
        <f>+$E33*NPCAllocator!N$49</f>
        <v>166616.05780211461</v>
      </c>
      <c r="O33" s="278">
        <f>+$E33*NPCAllocator!O$49</f>
        <v>61056.37118137558</v>
      </c>
      <c r="P33" s="278">
        <f>+$E33*NPCAllocator!P$49</f>
        <v>80567.356442428936</v>
      </c>
      <c r="Q33" s="262">
        <f t="shared" si="0"/>
        <v>0</v>
      </c>
      <c r="AX33" s="250"/>
      <c r="HQ33" s="253"/>
    </row>
    <row r="34" spans="1:225">
      <c r="A34" s="259"/>
      <c r="B34" s="258"/>
      <c r="C34" s="258"/>
      <c r="D34" s="258"/>
      <c r="E34" s="279"/>
      <c r="F34" s="280"/>
      <c r="G34" s="280"/>
      <c r="H34" s="280"/>
      <c r="I34" s="280"/>
      <c r="J34" s="280"/>
      <c r="K34" s="280"/>
      <c r="L34" s="280"/>
      <c r="M34" s="280"/>
      <c r="N34" s="280"/>
      <c r="O34" s="280"/>
      <c r="P34" s="280"/>
      <c r="Q34" s="262"/>
      <c r="AX34" s="250"/>
      <c r="HQ34" s="253"/>
    </row>
    <row r="35" spans="1:225">
      <c r="A35" s="251"/>
      <c r="B35" s="281"/>
      <c r="C35" s="281" t="s">
        <v>432</v>
      </c>
      <c r="E35" s="282">
        <f>-E14-E17-E18+SUM(E20:E33)</f>
        <v>603783846.63206744</v>
      </c>
      <c r="F35" s="282">
        <f t="shared" ref="F35:P35" si="1">-F14-F17-F18+SUM(F20:F33)</f>
        <v>186766542.76300657</v>
      </c>
      <c r="G35" s="282">
        <f t="shared" si="1"/>
        <v>166496533.72796825</v>
      </c>
      <c r="H35" s="282">
        <f t="shared" si="1"/>
        <v>55469240.109993547</v>
      </c>
      <c r="I35" s="282">
        <f t="shared" si="1"/>
        <v>2129837.7731656851</v>
      </c>
      <c r="J35" s="282">
        <f t="shared" si="1"/>
        <v>116867442.35738491</v>
      </c>
      <c r="K35" s="282">
        <f t="shared" si="1"/>
        <v>5025657.5079417368</v>
      </c>
      <c r="L35" s="282">
        <f t="shared" si="1"/>
        <v>150304.24006263303</v>
      </c>
      <c r="M35" s="282">
        <f t="shared" si="1"/>
        <v>394176.25589642319</v>
      </c>
      <c r="N35" s="282">
        <f t="shared" si="1"/>
        <v>39440154.378784925</v>
      </c>
      <c r="O35" s="282">
        <f t="shared" si="1"/>
        <v>13774886.444271626</v>
      </c>
      <c r="P35" s="282">
        <f t="shared" si="1"/>
        <v>17269071.073591076</v>
      </c>
      <c r="Q35" s="283">
        <f t="shared" si="0"/>
        <v>0</v>
      </c>
    </row>
    <row r="36" spans="1:225">
      <c r="A36" s="284"/>
      <c r="C36" s="281" t="s">
        <v>433</v>
      </c>
      <c r="E36" s="285">
        <f>+E35/$E$35</f>
        <v>1</v>
      </c>
      <c r="F36" s="285">
        <f>+F35/$E$35</f>
        <v>0.30932682913727894</v>
      </c>
      <c r="G36" s="285">
        <f t="shared" ref="G36:P36" si="2">+G35/$E$35</f>
        <v>0.27575519725592718</v>
      </c>
      <c r="H36" s="285">
        <f t="shared" si="2"/>
        <v>9.186936752184309E-2</v>
      </c>
      <c r="I36" s="285">
        <f t="shared" si="2"/>
        <v>3.5274838587451667E-3</v>
      </c>
      <c r="J36" s="285">
        <f t="shared" si="2"/>
        <v>0.19355841168868063</v>
      </c>
      <c r="K36" s="285">
        <f t="shared" si="2"/>
        <v>8.3236037796888297E-3</v>
      </c>
      <c r="L36" s="285">
        <f t="shared" si="2"/>
        <v>2.4893716667154415E-4</v>
      </c>
      <c r="M36" s="285">
        <f t="shared" si="2"/>
        <v>6.5284332811345563E-4</v>
      </c>
      <c r="N36" s="285">
        <f t="shared" si="2"/>
        <v>6.5321645484197402E-2</v>
      </c>
      <c r="O36" s="285">
        <f t="shared" si="2"/>
        <v>2.2814267922384047E-2</v>
      </c>
      <c r="P36" s="285">
        <f t="shared" si="2"/>
        <v>2.8601412856469589E-2</v>
      </c>
    </row>
    <row r="37" spans="1:225">
      <c r="E37" s="283"/>
    </row>
    <row r="38" spans="1:225">
      <c r="C38" s="281" t="s">
        <v>434</v>
      </c>
      <c r="D38" s="286">
        <v>0.75</v>
      </c>
      <c r="E38" s="287">
        <f>(-E14-E17+E29+E32)*$D$38</f>
        <v>84142341</v>
      </c>
      <c r="F38" s="287">
        <f>(-F14-F17+F29+F32)*$D$38</f>
        <v>29178943.285748988</v>
      </c>
      <c r="G38" s="287">
        <f>(-G14-G17+G29+G32)*$D$38</f>
        <v>23724491.267018914</v>
      </c>
      <c r="H38" s="287">
        <f>(-H14-H17+H29+H32)*$D$38</f>
        <v>7183385.9737716252</v>
      </c>
      <c r="I38" s="287">
        <f t="shared" ref="I38:P38" si="3">(-I14-I17+I29+I32)*$D$38</f>
        <v>174437.59817866195</v>
      </c>
      <c r="J38" s="287">
        <f t="shared" si="3"/>
        <v>14305437.901788974</v>
      </c>
      <c r="K38" s="287">
        <f t="shared" si="3"/>
        <v>633056.10808855563</v>
      </c>
      <c r="L38" s="287">
        <f t="shared" si="3"/>
        <v>17899.669502006836</v>
      </c>
      <c r="M38" s="287">
        <f t="shared" si="3"/>
        <v>32427.500698018346</v>
      </c>
      <c r="N38" s="287">
        <f t="shared" si="3"/>
        <v>5812109.8217694964</v>
      </c>
      <c r="O38" s="287">
        <f t="shared" si="3"/>
        <v>1621390.9169342215</v>
      </c>
      <c r="P38" s="287">
        <f t="shared" si="3"/>
        <v>1458760.9565005284</v>
      </c>
      <c r="Q38" s="283">
        <f t="shared" ref="Q38:Q43" si="4">SUM(F38:P38)-E38</f>
        <v>0</v>
      </c>
    </row>
    <row r="39" spans="1:225">
      <c r="C39" s="281"/>
      <c r="E39" s="288">
        <f t="shared" ref="E39:P39" si="5">+E38/E43</f>
        <v>0.13935838374833914</v>
      </c>
      <c r="F39" s="288">
        <f t="shared" si="5"/>
        <v>0.15623217549609508</v>
      </c>
      <c r="G39" s="288">
        <f t="shared" si="5"/>
        <v>0.14249240351022185</v>
      </c>
      <c r="H39" s="288">
        <f t="shared" si="5"/>
        <v>0.12950215217528172</v>
      </c>
      <c r="I39" s="288">
        <f t="shared" si="5"/>
        <v>8.1901823874306903E-2</v>
      </c>
      <c r="J39" s="288">
        <f t="shared" si="5"/>
        <v>0.1224073840688874</v>
      </c>
      <c r="K39" s="288">
        <f t="shared" si="5"/>
        <v>0.12596483287772317</v>
      </c>
      <c r="L39" s="288">
        <f t="shared" si="5"/>
        <v>0.11908958452900527</v>
      </c>
      <c r="M39" s="288">
        <f t="shared" si="5"/>
        <v>8.2266499346270228E-2</v>
      </c>
      <c r="N39" s="288">
        <f t="shared" si="5"/>
        <v>0.1473652908644765</v>
      </c>
      <c r="O39" s="288">
        <f t="shared" si="5"/>
        <v>0.11770630004782996</v>
      </c>
      <c r="P39" s="288">
        <f t="shared" si="5"/>
        <v>8.4472462374154872E-2</v>
      </c>
    </row>
    <row r="40" spans="1:225">
      <c r="C40" s="281"/>
      <c r="E40" s="285"/>
      <c r="F40" s="285"/>
      <c r="G40" s="285"/>
      <c r="H40" s="285"/>
      <c r="I40" s="285"/>
      <c r="J40" s="285"/>
      <c r="K40" s="285"/>
      <c r="L40" s="285"/>
      <c r="M40" s="285"/>
      <c r="N40" s="285"/>
      <c r="O40" s="285"/>
      <c r="P40" s="285"/>
    </row>
    <row r="41" spans="1:225">
      <c r="C41" s="281" t="s">
        <v>435</v>
      </c>
      <c r="D41" s="284"/>
      <c r="E41" s="289">
        <f t="shared" ref="E41:P41" si="6">+E35-E38</f>
        <v>519641505.63206744</v>
      </c>
      <c r="F41" s="289">
        <f t="shared" si="6"/>
        <v>157587599.47725758</v>
      </c>
      <c r="G41" s="289">
        <f t="shared" si="6"/>
        <v>142772042.46094933</v>
      </c>
      <c r="H41" s="289">
        <f t="shared" si="6"/>
        <v>48285854.136221923</v>
      </c>
      <c r="I41" s="289">
        <f t="shared" si="6"/>
        <v>1955400.1749870232</v>
      </c>
      <c r="J41" s="289">
        <f t="shared" si="6"/>
        <v>102562004.45559593</v>
      </c>
      <c r="K41" s="289">
        <f t="shared" si="6"/>
        <v>4392601.3998531811</v>
      </c>
      <c r="L41" s="289">
        <f t="shared" si="6"/>
        <v>132404.57056062619</v>
      </c>
      <c r="M41" s="289">
        <f t="shared" si="6"/>
        <v>361748.75519840483</v>
      </c>
      <c r="N41" s="289">
        <f t="shared" si="6"/>
        <v>33628044.557015426</v>
      </c>
      <c r="O41" s="289">
        <f t="shared" si="6"/>
        <v>12153495.527337404</v>
      </c>
      <c r="P41" s="289">
        <f t="shared" si="6"/>
        <v>15810310.117090547</v>
      </c>
      <c r="Q41" s="283">
        <f t="shared" si="4"/>
        <v>0</v>
      </c>
    </row>
    <row r="42" spans="1:225">
      <c r="C42" s="281"/>
      <c r="E42" s="290">
        <f t="shared" ref="E42:P42" si="7">+E41/E43</f>
        <v>0.86064161625166091</v>
      </c>
      <c r="F42" s="290">
        <f t="shared" si="7"/>
        <v>0.84376782450390497</v>
      </c>
      <c r="G42" s="290">
        <f t="shared" si="7"/>
        <v>0.85750759648977815</v>
      </c>
      <c r="H42" s="290">
        <f t="shared" si="7"/>
        <v>0.87049784782471828</v>
      </c>
      <c r="I42" s="290">
        <f t="shared" si="7"/>
        <v>0.91809817612569311</v>
      </c>
      <c r="J42" s="290">
        <f t="shared" si="7"/>
        <v>0.8775926159311126</v>
      </c>
      <c r="K42" s="290">
        <f t="shared" si="7"/>
        <v>0.8740351671222768</v>
      </c>
      <c r="L42" s="290">
        <f t="shared" si="7"/>
        <v>0.88091041547099469</v>
      </c>
      <c r="M42" s="290">
        <f t="shared" si="7"/>
        <v>0.91773350065372972</v>
      </c>
      <c r="N42" s="290">
        <f t="shared" si="7"/>
        <v>0.85263470913552342</v>
      </c>
      <c r="O42" s="290">
        <f t="shared" si="7"/>
        <v>0.88229369995217</v>
      </c>
      <c r="P42" s="290">
        <f t="shared" si="7"/>
        <v>0.91552753762584516</v>
      </c>
    </row>
    <row r="43" spans="1:225">
      <c r="C43" s="281" t="s">
        <v>432</v>
      </c>
      <c r="D43" s="284"/>
      <c r="E43" s="283">
        <f>+E38+E41</f>
        <v>603783846.63206744</v>
      </c>
      <c r="F43" s="283">
        <f t="shared" ref="F43:P43" si="8">+F38+F41</f>
        <v>186766542.76300657</v>
      </c>
      <c r="G43" s="283">
        <f t="shared" si="8"/>
        <v>166496533.72796825</v>
      </c>
      <c r="H43" s="283">
        <f t="shared" si="8"/>
        <v>55469240.109993547</v>
      </c>
      <c r="I43" s="283">
        <f t="shared" si="8"/>
        <v>2129837.7731656851</v>
      </c>
      <c r="J43" s="283">
        <f t="shared" si="8"/>
        <v>116867442.35738491</v>
      </c>
      <c r="K43" s="283">
        <f t="shared" si="8"/>
        <v>5025657.5079417368</v>
      </c>
      <c r="L43" s="283">
        <f t="shared" si="8"/>
        <v>150304.24006263303</v>
      </c>
      <c r="M43" s="283">
        <f t="shared" si="8"/>
        <v>394176.25589642319</v>
      </c>
      <c r="N43" s="283">
        <f t="shared" si="8"/>
        <v>39440154.378784925</v>
      </c>
      <c r="O43" s="283">
        <f t="shared" si="8"/>
        <v>13774886.444271626</v>
      </c>
      <c r="P43" s="283">
        <f t="shared" si="8"/>
        <v>17269071.073591076</v>
      </c>
      <c r="Q43" s="283">
        <f t="shared" si="4"/>
        <v>0</v>
      </c>
    </row>
    <row r="44" spans="1:225">
      <c r="E44" s="285"/>
      <c r="F44" s="285"/>
      <c r="G44" s="285"/>
      <c r="H44" s="285"/>
      <c r="I44" s="285"/>
      <c r="J44" s="285"/>
      <c r="K44" s="285"/>
      <c r="L44" s="285"/>
      <c r="M44" s="285"/>
      <c r="N44" s="285"/>
      <c r="O44" s="285"/>
      <c r="P44" s="285"/>
    </row>
    <row r="45" spans="1:225">
      <c r="E45" s="283"/>
    </row>
    <row r="46" spans="1:225" ht="15">
      <c r="D46" s="291"/>
      <c r="E46" s="292"/>
      <c r="F46" s="263" t="s">
        <v>402</v>
      </c>
      <c r="G46" s="263" t="s">
        <v>403</v>
      </c>
      <c r="H46" s="263" t="s">
        <v>404</v>
      </c>
      <c r="I46" s="263" t="s">
        <v>405</v>
      </c>
      <c r="J46" s="263" t="s">
        <v>406</v>
      </c>
      <c r="K46" s="263" t="s">
        <v>407</v>
      </c>
      <c r="L46" s="263" t="s">
        <v>408</v>
      </c>
      <c r="M46" s="263" t="s">
        <v>408</v>
      </c>
      <c r="N46" s="263" t="s">
        <v>409</v>
      </c>
      <c r="O46" s="293" t="s">
        <v>410</v>
      </c>
      <c r="P46" s="293" t="s">
        <v>411</v>
      </c>
      <c r="Q46" s="293" t="s">
        <v>157</v>
      </c>
    </row>
    <row r="47" spans="1:225">
      <c r="D47" s="294" t="s">
        <v>415</v>
      </c>
      <c r="E47" s="294" t="s">
        <v>436</v>
      </c>
      <c r="F47" s="295">
        <v>0.34678074010026638</v>
      </c>
      <c r="G47" s="295">
        <v>0.28195663425883188</v>
      </c>
      <c r="H47" s="295">
        <v>8.5371834065938651E-2</v>
      </c>
      <c r="I47" s="295">
        <v>2.0731250890519198E-3</v>
      </c>
      <c r="J47" s="295">
        <v>0.17001473612184112</v>
      </c>
      <c r="K47" s="295">
        <v>7.5236331740348855E-3</v>
      </c>
      <c r="L47" s="295">
        <v>2.1273082361717073E-4</v>
      </c>
      <c r="M47" s="295">
        <v>3.853886201956081E-4</v>
      </c>
      <c r="N47" s="295">
        <v>6.9074733988795212E-2</v>
      </c>
      <c r="O47" s="295">
        <v>1.9269619761758498E-2</v>
      </c>
      <c r="P47" s="295">
        <v>1.733682399566859E-2</v>
      </c>
      <c r="Q47" s="296">
        <f>SUM(F47:P47)</f>
        <v>0.99999999999999989</v>
      </c>
    </row>
    <row r="48" spans="1:225" ht="15.75">
      <c r="D48" s="291"/>
      <c r="E48" s="297"/>
      <c r="F48" s="298"/>
      <c r="G48" s="298"/>
      <c r="H48" s="298"/>
      <c r="I48" s="298"/>
      <c r="J48" s="298"/>
      <c r="K48" s="298"/>
      <c r="L48" s="298"/>
      <c r="M48" s="298"/>
      <c r="N48" s="298"/>
      <c r="O48" s="298"/>
      <c r="P48" s="298"/>
      <c r="Q48" s="298"/>
    </row>
    <row r="49" spans="4:17">
      <c r="D49" s="299" t="s">
        <v>419</v>
      </c>
      <c r="E49" s="299" t="s">
        <v>437</v>
      </c>
      <c r="F49" s="300">
        <v>0.30077923533111905</v>
      </c>
      <c r="G49" s="300">
        <v>0.27433992811173291</v>
      </c>
      <c r="H49" s="300">
        <v>9.3352210709511496E-2</v>
      </c>
      <c r="I49" s="300">
        <v>3.8593922680979047E-3</v>
      </c>
      <c r="J49" s="300">
        <v>0.19893146273395665</v>
      </c>
      <c r="K49" s="300">
        <v>8.5061701290549824E-3</v>
      </c>
      <c r="L49" s="300">
        <v>2.5720004511809916E-4</v>
      </c>
      <c r="M49" s="300">
        <v>7.1388085786798635E-4</v>
      </c>
      <c r="N49" s="300">
        <v>6.4465129429370133E-2</v>
      </c>
      <c r="O49" s="300">
        <v>2.3623214488544257E-2</v>
      </c>
      <c r="P49" s="300">
        <v>3.1172175895626444E-2</v>
      </c>
      <c r="Q49" s="301">
        <f>ROUND(SUM(F49:P49),6)</f>
        <v>1</v>
      </c>
    </row>
  </sheetData>
  <pageMargins left="0.7" right="0.7" top="0.75" bottom="0.75" header="0.3" footer="0.3"/>
  <pageSetup scale="5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2"/>
  <sheetViews>
    <sheetView view="pageBreakPreview" zoomScale="70" zoomScaleSheetLayoutView="70" workbookViewId="0">
      <selection activeCell="M36" sqref="M36"/>
    </sheetView>
  </sheetViews>
  <sheetFormatPr defaultColWidth="9" defaultRowHeight="15.75"/>
  <cols>
    <col min="1" max="1" width="44.125" style="68" customWidth="1"/>
    <col min="2" max="2" width="1.25" style="68" customWidth="1"/>
    <col min="3" max="3" width="16.375" style="68" customWidth="1"/>
    <col min="4" max="4" width="1.25" style="68" customWidth="1"/>
    <col min="5" max="5" width="14.625" style="68" customWidth="1"/>
    <col min="6" max="6" width="1.25" style="68" customWidth="1"/>
    <col min="7" max="7" width="9.625" style="68" bestFit="1" customWidth="1"/>
    <col min="8" max="8" width="8.375" style="68" customWidth="1"/>
    <col min="9" max="9" width="1.25" style="68" customWidth="1"/>
    <col min="10" max="10" width="9.625" style="68" bestFit="1" customWidth="1"/>
    <col min="11" max="11" width="8.375" style="68" customWidth="1"/>
    <col min="12" max="12" width="1.25" style="68" customWidth="1"/>
    <col min="13" max="13" width="9.625" style="68" customWidth="1"/>
    <col min="14" max="14" width="8.375" style="68" customWidth="1"/>
    <col min="15" max="16" width="8.75" style="68" bestFit="1" customWidth="1"/>
    <col min="17" max="204" width="7" style="68" customWidth="1"/>
    <col min="205" max="205" width="20.75" style="68" customWidth="1"/>
    <col min="206" max="206" width="1.875" style="68" customWidth="1"/>
    <col min="207" max="207" width="14.25" style="68" customWidth="1"/>
    <col min="208" max="208" width="4.25" style="68" customWidth="1"/>
    <col min="209" max="209" width="8.875" style="68" bestFit="1" customWidth="1"/>
    <col min="210" max="210" width="6.375" style="68" bestFit="1" customWidth="1"/>
    <col min="211" max="211" width="2.125" style="68" customWidth="1"/>
    <col min="212" max="212" width="8.5" style="68" bestFit="1" customWidth="1"/>
    <col min="213" max="213" width="6.375" style="68" bestFit="1" customWidth="1"/>
    <col min="214" max="214" width="2.375" style="68" customWidth="1"/>
    <col min="215" max="215" width="9.5" style="68" bestFit="1" customWidth="1"/>
    <col min="216" max="216" width="7" style="68" bestFit="1" customWidth="1"/>
    <col min="217" max="217" width="1.75" style="68" customWidth="1"/>
    <col min="218" max="218" width="8.875" style="68" bestFit="1" customWidth="1"/>
    <col min="219" max="219" width="2" style="68" customWidth="1"/>
    <col min="220" max="220" width="8.875" style="68" bestFit="1" customWidth="1"/>
    <col min="221" max="221" width="6.375" style="68" bestFit="1" customWidth="1"/>
    <col min="222" max="222" width="1.375" style="68" customWidth="1"/>
    <col min="223" max="223" width="8.5" style="68" bestFit="1" customWidth="1"/>
    <col min="224" max="224" width="6.375" style="68" bestFit="1" customWidth="1"/>
    <col min="225" max="225" width="1.75" style="68" customWidth="1"/>
    <col min="226" max="226" width="9.5" style="68" bestFit="1" customWidth="1"/>
    <col min="227" max="227" width="7" style="68" bestFit="1" customWidth="1"/>
    <col min="228" max="228" width="1.625" style="68" customWidth="1"/>
    <col min="229" max="229" width="7.25" style="68" bestFit="1" customWidth="1"/>
    <col min="230" max="230" width="2.625" style="68" customWidth="1"/>
    <col min="231" max="231" width="13.25" style="68" customWidth="1"/>
    <col min="232" max="232" width="6.375" style="68" bestFit="1" customWidth="1"/>
    <col min="233" max="233" width="1.75" style="68" customWidth="1"/>
    <col min="234" max="234" width="8.5" style="68"/>
    <col min="235" max="235" width="42.25" style="68" bestFit="1" customWidth="1"/>
    <col min="236" max="236" width="1.25" style="68" customWidth="1"/>
    <col min="237" max="237" width="11.625" style="68" customWidth="1"/>
    <col min="238" max="238" width="1.25" style="68" customWidth="1"/>
    <col min="239" max="239" width="9.625" style="68" customWidth="1"/>
    <col min="240" max="240" width="8.125" style="68" customWidth="1"/>
    <col min="241" max="241" width="1.25" style="68" customWidth="1"/>
    <col min="242" max="242" width="8.125" style="68" customWidth="1"/>
    <col min="243" max="243" width="1.625" style="68" customWidth="1"/>
    <col min="244" max="244" width="8" style="68" bestFit="1" customWidth="1"/>
    <col min="245" max="245" width="9.75" style="68" bestFit="1" customWidth="1"/>
    <col min="246" max="460" width="7" style="68" customWidth="1"/>
    <col min="461" max="461" width="20.75" style="68" customWidth="1"/>
    <col min="462" max="462" width="1.875" style="68" customWidth="1"/>
    <col min="463" max="463" width="14.25" style="68" customWidth="1"/>
    <col min="464" max="464" width="4.25" style="68" customWidth="1"/>
    <col min="465" max="465" width="8.875" style="68" bestFit="1" customWidth="1"/>
    <col min="466" max="466" width="6.375" style="68" bestFit="1" customWidth="1"/>
    <col min="467" max="467" width="2.125" style="68" customWidth="1"/>
    <col min="468" max="468" width="8.5" style="68" bestFit="1" customWidth="1"/>
    <col min="469" max="469" width="6.375" style="68" bestFit="1" customWidth="1"/>
    <col min="470" max="470" width="2.375" style="68" customWidth="1"/>
    <col min="471" max="471" width="9.5" style="68" bestFit="1" customWidth="1"/>
    <col min="472" max="472" width="7" style="68" bestFit="1" customWidth="1"/>
    <col min="473" max="473" width="1.75" style="68" customWidth="1"/>
    <col min="474" max="474" width="8.875" style="68" bestFit="1" customWidth="1"/>
    <col min="475" max="475" width="2" style="68" customWidth="1"/>
    <col min="476" max="476" width="8.875" style="68" bestFit="1" customWidth="1"/>
    <col min="477" max="477" width="6.375" style="68" bestFit="1" customWidth="1"/>
    <col min="478" max="478" width="1.375" style="68" customWidth="1"/>
    <col min="479" max="479" width="8.5" style="68" bestFit="1" customWidth="1"/>
    <col min="480" max="480" width="6.375" style="68" bestFit="1" customWidth="1"/>
    <col min="481" max="481" width="1.75" style="68" customWidth="1"/>
    <col min="482" max="482" width="9.5" style="68" bestFit="1" customWidth="1"/>
    <col min="483" max="483" width="7" style="68" bestFit="1" customWidth="1"/>
    <col min="484" max="484" width="1.625" style="68" customWidth="1"/>
    <col min="485" max="485" width="7.25" style="68" bestFit="1" customWidth="1"/>
    <col min="486" max="486" width="2.625" style="68" customWidth="1"/>
    <col min="487" max="487" width="13.25" style="68" customWidth="1"/>
    <col min="488" max="488" width="6.375" style="68" bestFit="1" customWidth="1"/>
    <col min="489" max="489" width="1.75" style="68" customWidth="1"/>
    <col min="490" max="490" width="8.5" style="68"/>
    <col min="491" max="491" width="42.25" style="68" bestFit="1" customWidth="1"/>
    <col min="492" max="492" width="1.25" style="68" customWidth="1"/>
    <col min="493" max="493" width="11.625" style="68" customWidth="1"/>
    <col min="494" max="494" width="1.25" style="68" customWidth="1"/>
    <col min="495" max="495" width="9.625" style="68" customWidth="1"/>
    <col min="496" max="496" width="8.125" style="68" customWidth="1"/>
    <col min="497" max="497" width="1.25" style="68" customWidth="1"/>
    <col min="498" max="498" width="8.125" style="68" customWidth="1"/>
    <col min="499" max="499" width="1.625" style="68" customWidth="1"/>
    <col min="500" max="500" width="8" style="68" bestFit="1" customWidth="1"/>
    <col min="501" max="501" width="9.75" style="68" bestFit="1" customWidth="1"/>
    <col min="502" max="716" width="7" style="68" customWidth="1"/>
    <col min="717" max="717" width="20.75" style="68" customWidth="1"/>
    <col min="718" max="718" width="1.875" style="68" customWidth="1"/>
    <col min="719" max="719" width="14.25" style="68" customWidth="1"/>
    <col min="720" max="720" width="4.25" style="68" customWidth="1"/>
    <col min="721" max="721" width="8.875" style="68" bestFit="1" customWidth="1"/>
    <col min="722" max="722" width="6.375" style="68" bestFit="1" customWidth="1"/>
    <col min="723" max="723" width="2.125" style="68" customWidth="1"/>
    <col min="724" max="724" width="8.5" style="68" bestFit="1" customWidth="1"/>
    <col min="725" max="725" width="6.375" style="68" bestFit="1" customWidth="1"/>
    <col min="726" max="726" width="2.375" style="68" customWidth="1"/>
    <col min="727" max="727" width="9.5" style="68" bestFit="1" customWidth="1"/>
    <col min="728" max="728" width="7" style="68" bestFit="1" customWidth="1"/>
    <col min="729" max="729" width="1.75" style="68" customWidth="1"/>
    <col min="730" max="730" width="8.875" style="68" bestFit="1" customWidth="1"/>
    <col min="731" max="731" width="2" style="68" customWidth="1"/>
    <col min="732" max="732" width="8.875" style="68" bestFit="1" customWidth="1"/>
    <col min="733" max="733" width="6.375" style="68" bestFit="1" customWidth="1"/>
    <col min="734" max="734" width="1.375" style="68" customWidth="1"/>
    <col min="735" max="735" width="8.5" style="68" bestFit="1" customWidth="1"/>
    <col min="736" max="736" width="6.375" style="68" bestFit="1" customWidth="1"/>
    <col min="737" max="737" width="1.75" style="68" customWidth="1"/>
    <col min="738" max="738" width="9.5" style="68" bestFit="1" customWidth="1"/>
    <col min="739" max="739" width="7" style="68" bestFit="1" customWidth="1"/>
    <col min="740" max="740" width="1.625" style="68" customWidth="1"/>
    <col min="741" max="741" width="7.25" style="68" bestFit="1" customWidth="1"/>
    <col min="742" max="742" width="2.625" style="68" customWidth="1"/>
    <col min="743" max="743" width="13.25" style="68" customWidth="1"/>
    <col min="744" max="744" width="6.375" style="68" bestFit="1" customWidth="1"/>
    <col min="745" max="745" width="1.75" style="68" customWidth="1"/>
    <col min="746" max="746" width="8.5" style="68"/>
    <col min="747" max="747" width="42.25" style="68" bestFit="1" customWidth="1"/>
    <col min="748" max="748" width="1.25" style="68" customWidth="1"/>
    <col min="749" max="749" width="11.625" style="68" customWidth="1"/>
    <col min="750" max="750" width="1.25" style="68" customWidth="1"/>
    <col min="751" max="751" width="9.625" style="68" customWidth="1"/>
    <col min="752" max="752" width="8.125" style="68" customWidth="1"/>
    <col min="753" max="753" width="1.25" style="68" customWidth="1"/>
    <col min="754" max="754" width="8.125" style="68" customWidth="1"/>
    <col min="755" max="755" width="1.625" style="68" customWidth="1"/>
    <col min="756" max="756" width="8" style="68" bestFit="1" customWidth="1"/>
    <col min="757" max="757" width="9.75" style="68" bestFit="1" customWidth="1"/>
    <col min="758" max="972" width="7" style="68" customWidth="1"/>
    <col min="973" max="973" width="20.75" style="68" customWidth="1"/>
    <col min="974" max="974" width="1.875" style="68" customWidth="1"/>
    <col min="975" max="975" width="14.25" style="68" customWidth="1"/>
    <col min="976" max="976" width="4.25" style="68" customWidth="1"/>
    <col min="977" max="977" width="8.875" style="68" bestFit="1" customWidth="1"/>
    <col min="978" max="978" width="6.375" style="68" bestFit="1" customWidth="1"/>
    <col min="979" max="979" width="2.125" style="68" customWidth="1"/>
    <col min="980" max="980" width="8.5" style="68" bestFit="1" customWidth="1"/>
    <col min="981" max="981" width="6.375" style="68" bestFit="1" customWidth="1"/>
    <col min="982" max="982" width="2.375" style="68" customWidth="1"/>
    <col min="983" max="983" width="9.5" style="68" bestFit="1" customWidth="1"/>
    <col min="984" max="984" width="7" style="68" bestFit="1" customWidth="1"/>
    <col min="985" max="985" width="1.75" style="68" customWidth="1"/>
    <col min="986" max="986" width="8.875" style="68" bestFit="1" customWidth="1"/>
    <col min="987" max="987" width="2" style="68" customWidth="1"/>
    <col min="988" max="988" width="8.875" style="68" bestFit="1" customWidth="1"/>
    <col min="989" max="989" width="6.375" style="68" bestFit="1" customWidth="1"/>
    <col min="990" max="990" width="1.375" style="68" customWidth="1"/>
    <col min="991" max="991" width="8.5" style="68" bestFit="1" customWidth="1"/>
    <col min="992" max="992" width="6.375" style="68" bestFit="1" customWidth="1"/>
    <col min="993" max="993" width="1.75" style="68" customWidth="1"/>
    <col min="994" max="994" width="9.5" style="68" bestFit="1" customWidth="1"/>
    <col min="995" max="995" width="7" style="68" bestFit="1" customWidth="1"/>
    <col min="996" max="996" width="1.625" style="68" customWidth="1"/>
    <col min="997" max="997" width="7.25" style="68" bestFit="1" customWidth="1"/>
    <col min="998" max="998" width="2.625" style="68" customWidth="1"/>
    <col min="999" max="999" width="13.25" style="68" customWidth="1"/>
    <col min="1000" max="1000" width="6.375" style="68" bestFit="1" customWidth="1"/>
    <col min="1001" max="1001" width="1.75" style="68" customWidth="1"/>
    <col min="1002" max="1002" width="8.5" style="68"/>
    <col min="1003" max="1003" width="42.25" style="68" bestFit="1" customWidth="1"/>
    <col min="1004" max="1004" width="1.25" style="68" customWidth="1"/>
    <col min="1005" max="1005" width="11.625" style="68" customWidth="1"/>
    <col min="1006" max="1006" width="1.25" style="68" customWidth="1"/>
    <col min="1007" max="1007" width="9.625" style="68" customWidth="1"/>
    <col min="1008" max="1008" width="8.125" style="68" customWidth="1"/>
    <col min="1009" max="1009" width="1.25" style="68" customWidth="1"/>
    <col min="1010" max="1010" width="8.125" style="68" customWidth="1"/>
    <col min="1011" max="1011" width="1.625" style="68" customWidth="1"/>
    <col min="1012" max="1012" width="8" style="68" bestFit="1" customWidth="1"/>
    <col min="1013" max="1013" width="9.75" style="68" bestFit="1" customWidth="1"/>
    <col min="1014" max="1228" width="7" style="68" customWidth="1"/>
    <col min="1229" max="1229" width="20.75" style="68" customWidth="1"/>
    <col min="1230" max="1230" width="1.875" style="68" customWidth="1"/>
    <col min="1231" max="1231" width="14.25" style="68" customWidth="1"/>
    <col min="1232" max="1232" width="4.25" style="68" customWidth="1"/>
    <col min="1233" max="1233" width="8.875" style="68" bestFit="1" customWidth="1"/>
    <col min="1234" max="1234" width="6.375" style="68" bestFit="1" customWidth="1"/>
    <col min="1235" max="1235" width="2.125" style="68" customWidth="1"/>
    <col min="1236" max="1236" width="8.5" style="68" bestFit="1" customWidth="1"/>
    <col min="1237" max="1237" width="6.375" style="68" bestFit="1" customWidth="1"/>
    <col min="1238" max="1238" width="2.375" style="68" customWidth="1"/>
    <col min="1239" max="1239" width="9.5" style="68" bestFit="1" customWidth="1"/>
    <col min="1240" max="1240" width="7" style="68" bestFit="1" customWidth="1"/>
    <col min="1241" max="1241" width="1.75" style="68" customWidth="1"/>
    <col min="1242" max="1242" width="8.875" style="68" bestFit="1" customWidth="1"/>
    <col min="1243" max="1243" width="2" style="68" customWidth="1"/>
    <col min="1244" max="1244" width="8.875" style="68" bestFit="1" customWidth="1"/>
    <col min="1245" max="1245" width="6.375" style="68" bestFit="1" customWidth="1"/>
    <col min="1246" max="1246" width="1.375" style="68" customWidth="1"/>
    <col min="1247" max="1247" width="8.5" style="68" bestFit="1" customWidth="1"/>
    <col min="1248" max="1248" width="6.375" style="68" bestFit="1" customWidth="1"/>
    <col min="1249" max="1249" width="1.75" style="68" customWidth="1"/>
    <col min="1250" max="1250" width="9.5" style="68" bestFit="1" customWidth="1"/>
    <col min="1251" max="1251" width="7" style="68" bestFit="1" customWidth="1"/>
    <col min="1252" max="1252" width="1.625" style="68" customWidth="1"/>
    <col min="1253" max="1253" width="7.25" style="68" bestFit="1" customWidth="1"/>
    <col min="1254" max="1254" width="2.625" style="68" customWidth="1"/>
    <col min="1255" max="1255" width="13.25" style="68" customWidth="1"/>
    <col min="1256" max="1256" width="6.375" style="68" bestFit="1" customWidth="1"/>
    <col min="1257" max="1257" width="1.75" style="68" customWidth="1"/>
    <col min="1258" max="1258" width="8.5" style="68"/>
    <col min="1259" max="1259" width="42.25" style="68" bestFit="1" customWidth="1"/>
    <col min="1260" max="1260" width="1.25" style="68" customWidth="1"/>
    <col min="1261" max="1261" width="11.625" style="68" customWidth="1"/>
    <col min="1262" max="1262" width="1.25" style="68" customWidth="1"/>
    <col min="1263" max="1263" width="9.625" style="68" customWidth="1"/>
    <col min="1264" max="1264" width="8.125" style="68" customWidth="1"/>
    <col min="1265" max="1265" width="1.25" style="68" customWidth="1"/>
    <col min="1266" max="1266" width="8.125" style="68" customWidth="1"/>
    <col min="1267" max="1267" width="1.625" style="68" customWidth="1"/>
    <col min="1268" max="1268" width="8" style="68" bestFit="1" customWidth="1"/>
    <col min="1269" max="1269" width="9.75" style="68" bestFit="1" customWidth="1"/>
    <col min="1270" max="1484" width="7" style="68" customWidth="1"/>
    <col min="1485" max="1485" width="20.75" style="68" customWidth="1"/>
    <col min="1486" max="1486" width="1.875" style="68" customWidth="1"/>
    <col min="1487" max="1487" width="14.25" style="68" customWidth="1"/>
    <col min="1488" max="1488" width="4.25" style="68" customWidth="1"/>
    <col min="1489" max="1489" width="8.875" style="68" bestFit="1" customWidth="1"/>
    <col min="1490" max="1490" width="6.375" style="68" bestFit="1" customWidth="1"/>
    <col min="1491" max="1491" width="2.125" style="68" customWidth="1"/>
    <col min="1492" max="1492" width="8.5" style="68" bestFit="1" customWidth="1"/>
    <col min="1493" max="1493" width="6.375" style="68" bestFit="1" customWidth="1"/>
    <col min="1494" max="1494" width="2.375" style="68" customWidth="1"/>
    <col min="1495" max="1495" width="9.5" style="68" bestFit="1" customWidth="1"/>
    <col min="1496" max="1496" width="7" style="68" bestFit="1" customWidth="1"/>
    <col min="1497" max="1497" width="1.75" style="68" customWidth="1"/>
    <col min="1498" max="1498" width="8.875" style="68" bestFit="1" customWidth="1"/>
    <col min="1499" max="1499" width="2" style="68" customWidth="1"/>
    <col min="1500" max="1500" width="8.875" style="68" bestFit="1" customWidth="1"/>
    <col min="1501" max="1501" width="6.375" style="68" bestFit="1" customWidth="1"/>
    <col min="1502" max="1502" width="1.375" style="68" customWidth="1"/>
    <col min="1503" max="1503" width="8.5" style="68" bestFit="1" customWidth="1"/>
    <col min="1504" max="1504" width="6.375" style="68" bestFit="1" customWidth="1"/>
    <col min="1505" max="1505" width="1.75" style="68" customWidth="1"/>
    <col min="1506" max="1506" width="9.5" style="68" bestFit="1" customWidth="1"/>
    <col min="1507" max="1507" width="7" style="68" bestFit="1" customWidth="1"/>
    <col min="1508" max="1508" width="1.625" style="68" customWidth="1"/>
    <col min="1509" max="1509" width="7.25" style="68" bestFit="1" customWidth="1"/>
    <col min="1510" max="1510" width="2.625" style="68" customWidth="1"/>
    <col min="1511" max="1511" width="13.25" style="68" customWidth="1"/>
    <col min="1512" max="1512" width="6.375" style="68" bestFit="1" customWidth="1"/>
    <col min="1513" max="1513" width="1.75" style="68" customWidth="1"/>
    <col min="1514" max="1514" width="8.5" style="68"/>
    <col min="1515" max="1515" width="42.25" style="68" bestFit="1" customWidth="1"/>
    <col min="1516" max="1516" width="1.25" style="68" customWidth="1"/>
    <col min="1517" max="1517" width="11.625" style="68" customWidth="1"/>
    <col min="1518" max="1518" width="1.25" style="68" customWidth="1"/>
    <col min="1519" max="1519" width="9.625" style="68" customWidth="1"/>
    <col min="1520" max="1520" width="8.125" style="68" customWidth="1"/>
    <col min="1521" max="1521" width="1.25" style="68" customWidth="1"/>
    <col min="1522" max="1522" width="8.125" style="68" customWidth="1"/>
    <col min="1523" max="1523" width="1.625" style="68" customWidth="1"/>
    <col min="1524" max="1524" width="8" style="68" bestFit="1" customWidth="1"/>
    <col min="1525" max="1525" width="9.75" style="68" bestFit="1" customWidth="1"/>
    <col min="1526" max="1740" width="7" style="68" customWidth="1"/>
    <col min="1741" max="1741" width="20.75" style="68" customWidth="1"/>
    <col min="1742" max="1742" width="1.875" style="68" customWidth="1"/>
    <col min="1743" max="1743" width="14.25" style="68" customWidth="1"/>
    <col min="1744" max="1744" width="4.25" style="68" customWidth="1"/>
    <col min="1745" max="1745" width="8.875" style="68" bestFit="1" customWidth="1"/>
    <col min="1746" max="1746" width="6.375" style="68" bestFit="1" customWidth="1"/>
    <col min="1747" max="1747" width="2.125" style="68" customWidth="1"/>
    <col min="1748" max="1748" width="8.5" style="68" bestFit="1" customWidth="1"/>
    <col min="1749" max="1749" width="6.375" style="68" bestFit="1" customWidth="1"/>
    <col min="1750" max="1750" width="2.375" style="68" customWidth="1"/>
    <col min="1751" max="1751" width="9.5" style="68" bestFit="1" customWidth="1"/>
    <col min="1752" max="1752" width="7" style="68" bestFit="1" customWidth="1"/>
    <col min="1753" max="1753" width="1.75" style="68" customWidth="1"/>
    <col min="1754" max="1754" width="8.875" style="68" bestFit="1" customWidth="1"/>
    <col min="1755" max="1755" width="2" style="68" customWidth="1"/>
    <col min="1756" max="1756" width="8.875" style="68" bestFit="1" customWidth="1"/>
    <col min="1757" max="1757" width="6.375" style="68" bestFit="1" customWidth="1"/>
    <col min="1758" max="1758" width="1.375" style="68" customWidth="1"/>
    <col min="1759" max="1759" width="8.5" style="68" bestFit="1" customWidth="1"/>
    <col min="1760" max="1760" width="6.375" style="68" bestFit="1" customWidth="1"/>
    <col min="1761" max="1761" width="1.75" style="68" customWidth="1"/>
    <col min="1762" max="1762" width="9.5" style="68" bestFit="1" customWidth="1"/>
    <col min="1763" max="1763" width="7" style="68" bestFit="1" customWidth="1"/>
    <col min="1764" max="1764" width="1.625" style="68" customWidth="1"/>
    <col min="1765" max="1765" width="7.25" style="68" bestFit="1" customWidth="1"/>
    <col min="1766" max="1766" width="2.625" style="68" customWidth="1"/>
    <col min="1767" max="1767" width="13.25" style="68" customWidth="1"/>
    <col min="1768" max="1768" width="6.375" style="68" bestFit="1" customWidth="1"/>
    <col min="1769" max="1769" width="1.75" style="68" customWidth="1"/>
    <col min="1770" max="1770" width="8.5" style="68"/>
    <col min="1771" max="1771" width="42.25" style="68" bestFit="1" customWidth="1"/>
    <col min="1772" max="1772" width="1.25" style="68" customWidth="1"/>
    <col min="1773" max="1773" width="11.625" style="68" customWidth="1"/>
    <col min="1774" max="1774" width="1.25" style="68" customWidth="1"/>
    <col min="1775" max="1775" width="9.625" style="68" customWidth="1"/>
    <col min="1776" max="1776" width="8.125" style="68" customWidth="1"/>
    <col min="1777" max="1777" width="1.25" style="68" customWidth="1"/>
    <col min="1778" max="1778" width="8.125" style="68" customWidth="1"/>
    <col min="1779" max="1779" width="1.625" style="68" customWidth="1"/>
    <col min="1780" max="1780" width="8" style="68" bestFit="1" customWidth="1"/>
    <col min="1781" max="1781" width="9.75" style="68" bestFit="1" customWidth="1"/>
    <col min="1782" max="1996" width="7" style="68" customWidth="1"/>
    <col min="1997" max="1997" width="20.75" style="68" customWidth="1"/>
    <col min="1998" max="1998" width="1.875" style="68" customWidth="1"/>
    <col min="1999" max="1999" width="14.25" style="68" customWidth="1"/>
    <col min="2000" max="2000" width="4.25" style="68" customWidth="1"/>
    <col min="2001" max="2001" width="8.875" style="68" bestFit="1" customWidth="1"/>
    <col min="2002" max="2002" width="6.375" style="68" bestFit="1" customWidth="1"/>
    <col min="2003" max="2003" width="2.125" style="68" customWidth="1"/>
    <col min="2004" max="2004" width="8.5" style="68" bestFit="1" customWidth="1"/>
    <col min="2005" max="2005" width="6.375" style="68" bestFit="1" customWidth="1"/>
    <col min="2006" max="2006" width="2.375" style="68" customWidth="1"/>
    <col min="2007" max="2007" width="9.5" style="68" bestFit="1" customWidth="1"/>
    <col min="2008" max="2008" width="7" style="68" bestFit="1" customWidth="1"/>
    <col min="2009" max="2009" width="1.75" style="68" customWidth="1"/>
    <col min="2010" max="2010" width="8.875" style="68" bestFit="1" customWidth="1"/>
    <col min="2011" max="2011" width="2" style="68" customWidth="1"/>
    <col min="2012" max="2012" width="8.875" style="68" bestFit="1" customWidth="1"/>
    <col min="2013" max="2013" width="6.375" style="68" bestFit="1" customWidth="1"/>
    <col min="2014" max="2014" width="1.375" style="68" customWidth="1"/>
    <col min="2015" max="2015" width="8.5" style="68" bestFit="1" customWidth="1"/>
    <col min="2016" max="2016" width="6.375" style="68" bestFit="1" customWidth="1"/>
    <col min="2017" max="2017" width="1.75" style="68" customWidth="1"/>
    <col min="2018" max="2018" width="9.5" style="68" bestFit="1" customWidth="1"/>
    <col min="2019" max="2019" width="7" style="68" bestFit="1" customWidth="1"/>
    <col min="2020" max="2020" width="1.625" style="68" customWidth="1"/>
    <col min="2021" max="2021" width="7.25" style="68" bestFit="1" customWidth="1"/>
    <col min="2022" max="2022" width="2.625" style="68" customWidth="1"/>
    <col min="2023" max="2023" width="13.25" style="68" customWidth="1"/>
    <col min="2024" max="2024" width="6.375" style="68" bestFit="1" customWidth="1"/>
    <col min="2025" max="2025" width="1.75" style="68" customWidth="1"/>
    <col min="2026" max="2026" width="8.5" style="68"/>
    <col min="2027" max="2027" width="42.25" style="68" bestFit="1" customWidth="1"/>
    <col min="2028" max="2028" width="1.25" style="68" customWidth="1"/>
    <col min="2029" max="2029" width="11.625" style="68" customWidth="1"/>
    <col min="2030" max="2030" width="1.25" style="68" customWidth="1"/>
    <col min="2031" max="2031" width="9.625" style="68" customWidth="1"/>
    <col min="2032" max="2032" width="8.125" style="68" customWidth="1"/>
    <col min="2033" max="2033" width="1.25" style="68" customWidth="1"/>
    <col min="2034" max="2034" width="8.125" style="68" customWidth="1"/>
    <col min="2035" max="2035" width="1.625" style="68" customWidth="1"/>
    <col min="2036" max="2036" width="8" style="68" bestFit="1" customWidth="1"/>
    <col min="2037" max="2037" width="9.75" style="68" bestFit="1" customWidth="1"/>
    <col min="2038" max="2252" width="7" style="68" customWidth="1"/>
    <col min="2253" max="2253" width="20.75" style="68" customWidth="1"/>
    <col min="2254" max="2254" width="1.875" style="68" customWidth="1"/>
    <col min="2255" max="2255" width="14.25" style="68" customWidth="1"/>
    <col min="2256" max="2256" width="4.25" style="68" customWidth="1"/>
    <col min="2257" max="2257" width="8.875" style="68" bestFit="1" customWidth="1"/>
    <col min="2258" max="2258" width="6.375" style="68" bestFit="1" customWidth="1"/>
    <col min="2259" max="2259" width="2.125" style="68" customWidth="1"/>
    <col min="2260" max="2260" width="8.5" style="68" bestFit="1" customWidth="1"/>
    <col min="2261" max="2261" width="6.375" style="68" bestFit="1" customWidth="1"/>
    <col min="2262" max="2262" width="2.375" style="68" customWidth="1"/>
    <col min="2263" max="2263" width="9.5" style="68" bestFit="1" customWidth="1"/>
    <col min="2264" max="2264" width="7" style="68" bestFit="1" customWidth="1"/>
    <col min="2265" max="2265" width="1.75" style="68" customWidth="1"/>
    <col min="2266" max="2266" width="8.875" style="68" bestFit="1" customWidth="1"/>
    <col min="2267" max="2267" width="2" style="68" customWidth="1"/>
    <col min="2268" max="2268" width="8.875" style="68" bestFit="1" customWidth="1"/>
    <col min="2269" max="2269" width="6.375" style="68" bestFit="1" customWidth="1"/>
    <col min="2270" max="2270" width="1.375" style="68" customWidth="1"/>
    <col min="2271" max="2271" width="8.5" style="68" bestFit="1" customWidth="1"/>
    <col min="2272" max="2272" width="6.375" style="68" bestFit="1" customWidth="1"/>
    <col min="2273" max="2273" width="1.75" style="68" customWidth="1"/>
    <col min="2274" max="2274" width="9.5" style="68" bestFit="1" customWidth="1"/>
    <col min="2275" max="2275" width="7" style="68" bestFit="1" customWidth="1"/>
    <col min="2276" max="2276" width="1.625" style="68" customWidth="1"/>
    <col min="2277" max="2277" width="7.25" style="68" bestFit="1" customWidth="1"/>
    <col min="2278" max="2278" width="2.625" style="68" customWidth="1"/>
    <col min="2279" max="2279" width="13.25" style="68" customWidth="1"/>
    <col min="2280" max="2280" width="6.375" style="68" bestFit="1" customWidth="1"/>
    <col min="2281" max="2281" width="1.75" style="68" customWidth="1"/>
    <col min="2282" max="2282" width="8.5" style="68"/>
    <col min="2283" max="2283" width="42.25" style="68" bestFit="1" customWidth="1"/>
    <col min="2284" max="2284" width="1.25" style="68" customWidth="1"/>
    <col min="2285" max="2285" width="11.625" style="68" customWidth="1"/>
    <col min="2286" max="2286" width="1.25" style="68" customWidth="1"/>
    <col min="2287" max="2287" width="9.625" style="68" customWidth="1"/>
    <col min="2288" max="2288" width="8.125" style="68" customWidth="1"/>
    <col min="2289" max="2289" width="1.25" style="68" customWidth="1"/>
    <col min="2290" max="2290" width="8.125" style="68" customWidth="1"/>
    <col min="2291" max="2291" width="1.625" style="68" customWidth="1"/>
    <col min="2292" max="2292" width="8" style="68" bestFit="1" customWidth="1"/>
    <col min="2293" max="2293" width="9.75" style="68" bestFit="1" customWidth="1"/>
    <col min="2294" max="2508" width="7" style="68" customWidth="1"/>
    <col min="2509" max="2509" width="20.75" style="68" customWidth="1"/>
    <col min="2510" max="2510" width="1.875" style="68" customWidth="1"/>
    <col min="2511" max="2511" width="14.25" style="68" customWidth="1"/>
    <col min="2512" max="2512" width="4.25" style="68" customWidth="1"/>
    <col min="2513" max="2513" width="8.875" style="68" bestFit="1" customWidth="1"/>
    <col min="2514" max="2514" width="6.375" style="68" bestFit="1" customWidth="1"/>
    <col min="2515" max="2515" width="2.125" style="68" customWidth="1"/>
    <col min="2516" max="2516" width="8.5" style="68" bestFit="1" customWidth="1"/>
    <col min="2517" max="2517" width="6.375" style="68" bestFit="1" customWidth="1"/>
    <col min="2518" max="2518" width="2.375" style="68" customWidth="1"/>
    <col min="2519" max="2519" width="9.5" style="68" bestFit="1" customWidth="1"/>
    <col min="2520" max="2520" width="7" style="68" bestFit="1" customWidth="1"/>
    <col min="2521" max="2521" width="1.75" style="68" customWidth="1"/>
    <col min="2522" max="2522" width="8.875" style="68" bestFit="1" customWidth="1"/>
    <col min="2523" max="2523" width="2" style="68" customWidth="1"/>
    <col min="2524" max="2524" width="8.875" style="68" bestFit="1" customWidth="1"/>
    <col min="2525" max="2525" width="6.375" style="68" bestFit="1" customWidth="1"/>
    <col min="2526" max="2526" width="1.375" style="68" customWidth="1"/>
    <col min="2527" max="2527" width="8.5" style="68" bestFit="1" customWidth="1"/>
    <col min="2528" max="2528" width="6.375" style="68" bestFit="1" customWidth="1"/>
    <col min="2529" max="2529" width="1.75" style="68" customWidth="1"/>
    <col min="2530" max="2530" width="9.5" style="68" bestFit="1" customWidth="1"/>
    <col min="2531" max="2531" width="7" style="68" bestFit="1" customWidth="1"/>
    <col min="2532" max="2532" width="1.625" style="68" customWidth="1"/>
    <col min="2533" max="2533" width="7.25" style="68" bestFit="1" customWidth="1"/>
    <col min="2534" max="2534" width="2.625" style="68" customWidth="1"/>
    <col min="2535" max="2535" width="13.25" style="68" customWidth="1"/>
    <col min="2536" max="2536" width="6.375" style="68" bestFit="1" customWidth="1"/>
    <col min="2537" max="2537" width="1.75" style="68" customWidth="1"/>
    <col min="2538" max="2538" width="8.5" style="68"/>
    <col min="2539" max="2539" width="42.25" style="68" bestFit="1" customWidth="1"/>
    <col min="2540" max="2540" width="1.25" style="68" customWidth="1"/>
    <col min="2541" max="2541" width="11.625" style="68" customWidth="1"/>
    <col min="2542" max="2542" width="1.25" style="68" customWidth="1"/>
    <col min="2543" max="2543" width="9.625" style="68" customWidth="1"/>
    <col min="2544" max="2544" width="8.125" style="68" customWidth="1"/>
    <col min="2545" max="2545" width="1.25" style="68" customWidth="1"/>
    <col min="2546" max="2546" width="8.125" style="68" customWidth="1"/>
    <col min="2547" max="2547" width="1.625" style="68" customWidth="1"/>
    <col min="2548" max="2548" width="8" style="68" bestFit="1" customWidth="1"/>
    <col min="2549" max="2549" width="9.75" style="68" bestFit="1" customWidth="1"/>
    <col min="2550" max="2764" width="7" style="68" customWidth="1"/>
    <col min="2765" max="2765" width="20.75" style="68" customWidth="1"/>
    <col min="2766" max="2766" width="1.875" style="68" customWidth="1"/>
    <col min="2767" max="2767" width="14.25" style="68" customWidth="1"/>
    <col min="2768" max="2768" width="4.25" style="68" customWidth="1"/>
    <col min="2769" max="2769" width="8.875" style="68" bestFit="1" customWidth="1"/>
    <col min="2770" max="2770" width="6.375" style="68" bestFit="1" customWidth="1"/>
    <col min="2771" max="2771" width="2.125" style="68" customWidth="1"/>
    <col min="2772" max="2772" width="8.5" style="68" bestFit="1" customWidth="1"/>
    <col min="2773" max="2773" width="6.375" style="68" bestFit="1" customWidth="1"/>
    <col min="2774" max="2774" width="2.375" style="68" customWidth="1"/>
    <col min="2775" max="2775" width="9.5" style="68" bestFit="1" customWidth="1"/>
    <col min="2776" max="2776" width="7" style="68" bestFit="1" customWidth="1"/>
    <col min="2777" max="2777" width="1.75" style="68" customWidth="1"/>
    <col min="2778" max="2778" width="8.875" style="68" bestFit="1" customWidth="1"/>
    <col min="2779" max="2779" width="2" style="68" customWidth="1"/>
    <col min="2780" max="2780" width="8.875" style="68" bestFit="1" customWidth="1"/>
    <col min="2781" max="2781" width="6.375" style="68" bestFit="1" customWidth="1"/>
    <col min="2782" max="2782" width="1.375" style="68" customWidth="1"/>
    <col min="2783" max="2783" width="8.5" style="68" bestFit="1" customWidth="1"/>
    <col min="2784" max="2784" width="6.375" style="68" bestFit="1" customWidth="1"/>
    <col min="2785" max="2785" width="1.75" style="68" customWidth="1"/>
    <col min="2786" max="2786" width="9.5" style="68" bestFit="1" customWidth="1"/>
    <col min="2787" max="2787" width="7" style="68" bestFit="1" customWidth="1"/>
    <col min="2788" max="2788" width="1.625" style="68" customWidth="1"/>
    <col min="2789" max="2789" width="7.25" style="68" bestFit="1" customWidth="1"/>
    <col min="2790" max="2790" width="2.625" style="68" customWidth="1"/>
    <col min="2791" max="2791" width="13.25" style="68" customWidth="1"/>
    <col min="2792" max="2792" width="6.375" style="68" bestFit="1" customWidth="1"/>
    <col min="2793" max="2793" width="1.75" style="68" customWidth="1"/>
    <col min="2794" max="2794" width="8.5" style="68"/>
    <col min="2795" max="2795" width="42.25" style="68" bestFit="1" customWidth="1"/>
    <col min="2796" max="2796" width="1.25" style="68" customWidth="1"/>
    <col min="2797" max="2797" width="11.625" style="68" customWidth="1"/>
    <col min="2798" max="2798" width="1.25" style="68" customWidth="1"/>
    <col min="2799" max="2799" width="9.625" style="68" customWidth="1"/>
    <col min="2800" max="2800" width="8.125" style="68" customWidth="1"/>
    <col min="2801" max="2801" width="1.25" style="68" customWidth="1"/>
    <col min="2802" max="2802" width="8.125" style="68" customWidth="1"/>
    <col min="2803" max="2803" width="1.625" style="68" customWidth="1"/>
    <col min="2804" max="2804" width="8" style="68" bestFit="1" customWidth="1"/>
    <col min="2805" max="2805" width="9.75" style="68" bestFit="1" customWidth="1"/>
    <col min="2806" max="3020" width="7" style="68" customWidth="1"/>
    <col min="3021" max="3021" width="20.75" style="68" customWidth="1"/>
    <col min="3022" max="3022" width="1.875" style="68" customWidth="1"/>
    <col min="3023" max="3023" width="14.25" style="68" customWidth="1"/>
    <col min="3024" max="3024" width="4.25" style="68" customWidth="1"/>
    <col min="3025" max="3025" width="8.875" style="68" bestFit="1" customWidth="1"/>
    <col min="3026" max="3026" width="6.375" style="68" bestFit="1" customWidth="1"/>
    <col min="3027" max="3027" width="2.125" style="68" customWidth="1"/>
    <col min="3028" max="3028" width="8.5" style="68" bestFit="1" customWidth="1"/>
    <col min="3029" max="3029" width="6.375" style="68" bestFit="1" customWidth="1"/>
    <col min="3030" max="3030" width="2.375" style="68" customWidth="1"/>
    <col min="3031" max="3031" width="9.5" style="68" bestFit="1" customWidth="1"/>
    <col min="3032" max="3032" width="7" style="68" bestFit="1" customWidth="1"/>
    <col min="3033" max="3033" width="1.75" style="68" customWidth="1"/>
    <col min="3034" max="3034" width="8.875" style="68" bestFit="1" customWidth="1"/>
    <col min="3035" max="3035" width="2" style="68" customWidth="1"/>
    <col min="3036" max="3036" width="8.875" style="68" bestFit="1" customWidth="1"/>
    <col min="3037" max="3037" width="6.375" style="68" bestFit="1" customWidth="1"/>
    <col min="3038" max="3038" width="1.375" style="68" customWidth="1"/>
    <col min="3039" max="3039" width="8.5" style="68" bestFit="1" customWidth="1"/>
    <col min="3040" max="3040" width="6.375" style="68" bestFit="1" customWidth="1"/>
    <col min="3041" max="3041" width="1.75" style="68" customWidth="1"/>
    <col min="3042" max="3042" width="9.5" style="68" bestFit="1" customWidth="1"/>
    <col min="3043" max="3043" width="7" style="68" bestFit="1" customWidth="1"/>
    <col min="3044" max="3044" width="1.625" style="68" customWidth="1"/>
    <col min="3045" max="3045" width="7.25" style="68" bestFit="1" customWidth="1"/>
    <col min="3046" max="3046" width="2.625" style="68" customWidth="1"/>
    <col min="3047" max="3047" width="13.25" style="68" customWidth="1"/>
    <col min="3048" max="3048" width="6.375" style="68" bestFit="1" customWidth="1"/>
    <col min="3049" max="3049" width="1.75" style="68" customWidth="1"/>
    <col min="3050" max="3050" width="8.5" style="68"/>
    <col min="3051" max="3051" width="42.25" style="68" bestFit="1" customWidth="1"/>
    <col min="3052" max="3052" width="1.25" style="68" customWidth="1"/>
    <col min="3053" max="3053" width="11.625" style="68" customWidth="1"/>
    <col min="3054" max="3054" width="1.25" style="68" customWidth="1"/>
    <col min="3055" max="3055" width="9.625" style="68" customWidth="1"/>
    <col min="3056" max="3056" width="8.125" style="68" customWidth="1"/>
    <col min="3057" max="3057" width="1.25" style="68" customWidth="1"/>
    <col min="3058" max="3058" width="8.125" style="68" customWidth="1"/>
    <col min="3059" max="3059" width="1.625" style="68" customWidth="1"/>
    <col min="3060" max="3060" width="8" style="68" bestFit="1" customWidth="1"/>
    <col min="3061" max="3061" width="9.75" style="68" bestFit="1" customWidth="1"/>
    <col min="3062" max="3276" width="7" style="68" customWidth="1"/>
    <col min="3277" max="3277" width="20.75" style="68" customWidth="1"/>
    <col min="3278" max="3278" width="1.875" style="68" customWidth="1"/>
    <col min="3279" max="3279" width="14.25" style="68" customWidth="1"/>
    <col min="3280" max="3280" width="4.25" style="68" customWidth="1"/>
    <col min="3281" max="3281" width="8.875" style="68" bestFit="1" customWidth="1"/>
    <col min="3282" max="3282" width="6.375" style="68" bestFit="1" customWidth="1"/>
    <col min="3283" max="3283" width="2.125" style="68" customWidth="1"/>
    <col min="3284" max="3284" width="8.5" style="68" bestFit="1" customWidth="1"/>
    <col min="3285" max="3285" width="6.375" style="68" bestFit="1" customWidth="1"/>
    <col min="3286" max="3286" width="2.375" style="68" customWidth="1"/>
    <col min="3287" max="3287" width="9.5" style="68" bestFit="1" customWidth="1"/>
    <col min="3288" max="3288" width="7" style="68" bestFit="1" customWidth="1"/>
    <col min="3289" max="3289" width="1.75" style="68" customWidth="1"/>
    <col min="3290" max="3290" width="8.875" style="68" bestFit="1" customWidth="1"/>
    <col min="3291" max="3291" width="2" style="68" customWidth="1"/>
    <col min="3292" max="3292" width="8.875" style="68" bestFit="1" customWidth="1"/>
    <col min="3293" max="3293" width="6.375" style="68" bestFit="1" customWidth="1"/>
    <col min="3294" max="3294" width="1.375" style="68" customWidth="1"/>
    <col min="3295" max="3295" width="8.5" style="68" bestFit="1" customWidth="1"/>
    <col min="3296" max="3296" width="6.375" style="68" bestFit="1" customWidth="1"/>
    <col min="3297" max="3297" width="1.75" style="68" customWidth="1"/>
    <col min="3298" max="3298" width="9.5" style="68" bestFit="1" customWidth="1"/>
    <col min="3299" max="3299" width="7" style="68" bestFit="1" customWidth="1"/>
    <col min="3300" max="3300" width="1.625" style="68" customWidth="1"/>
    <col min="3301" max="3301" width="7.25" style="68" bestFit="1" customWidth="1"/>
    <col min="3302" max="3302" width="2.625" style="68" customWidth="1"/>
    <col min="3303" max="3303" width="13.25" style="68" customWidth="1"/>
    <col min="3304" max="3304" width="6.375" style="68" bestFit="1" customWidth="1"/>
    <col min="3305" max="3305" width="1.75" style="68" customWidth="1"/>
    <col min="3306" max="3306" width="8.5" style="68"/>
    <col min="3307" max="3307" width="42.25" style="68" bestFit="1" customWidth="1"/>
    <col min="3308" max="3308" width="1.25" style="68" customWidth="1"/>
    <col min="3309" max="3309" width="11.625" style="68" customWidth="1"/>
    <col min="3310" max="3310" width="1.25" style="68" customWidth="1"/>
    <col min="3311" max="3311" width="9.625" style="68" customWidth="1"/>
    <col min="3312" max="3312" width="8.125" style="68" customWidth="1"/>
    <col min="3313" max="3313" width="1.25" style="68" customWidth="1"/>
    <col min="3314" max="3314" width="8.125" style="68" customWidth="1"/>
    <col min="3315" max="3315" width="1.625" style="68" customWidth="1"/>
    <col min="3316" max="3316" width="8" style="68" bestFit="1" customWidth="1"/>
    <col min="3317" max="3317" width="9.75" style="68" bestFit="1" customWidth="1"/>
    <col min="3318" max="3532" width="7" style="68" customWidth="1"/>
    <col min="3533" max="3533" width="20.75" style="68" customWidth="1"/>
    <col min="3534" max="3534" width="1.875" style="68" customWidth="1"/>
    <col min="3535" max="3535" width="14.25" style="68" customWidth="1"/>
    <col min="3536" max="3536" width="4.25" style="68" customWidth="1"/>
    <col min="3537" max="3537" width="8.875" style="68" bestFit="1" customWidth="1"/>
    <col min="3538" max="3538" width="6.375" style="68" bestFit="1" customWidth="1"/>
    <col min="3539" max="3539" width="2.125" style="68" customWidth="1"/>
    <col min="3540" max="3540" width="8.5" style="68" bestFit="1" customWidth="1"/>
    <col min="3541" max="3541" width="6.375" style="68" bestFit="1" customWidth="1"/>
    <col min="3542" max="3542" width="2.375" style="68" customWidth="1"/>
    <col min="3543" max="3543" width="9.5" style="68" bestFit="1" customWidth="1"/>
    <col min="3544" max="3544" width="7" style="68" bestFit="1" customWidth="1"/>
    <col min="3545" max="3545" width="1.75" style="68" customWidth="1"/>
    <col min="3546" max="3546" width="8.875" style="68" bestFit="1" customWidth="1"/>
    <col min="3547" max="3547" width="2" style="68" customWidth="1"/>
    <col min="3548" max="3548" width="8.875" style="68" bestFit="1" customWidth="1"/>
    <col min="3549" max="3549" width="6.375" style="68" bestFit="1" customWidth="1"/>
    <col min="3550" max="3550" width="1.375" style="68" customWidth="1"/>
    <col min="3551" max="3551" width="8.5" style="68" bestFit="1" customWidth="1"/>
    <col min="3552" max="3552" width="6.375" style="68" bestFit="1" customWidth="1"/>
    <col min="3553" max="3553" width="1.75" style="68" customWidth="1"/>
    <col min="3554" max="3554" width="9.5" style="68" bestFit="1" customWidth="1"/>
    <col min="3555" max="3555" width="7" style="68" bestFit="1" customWidth="1"/>
    <col min="3556" max="3556" width="1.625" style="68" customWidth="1"/>
    <col min="3557" max="3557" width="7.25" style="68" bestFit="1" customWidth="1"/>
    <col min="3558" max="3558" width="2.625" style="68" customWidth="1"/>
    <col min="3559" max="3559" width="13.25" style="68" customWidth="1"/>
    <col min="3560" max="3560" width="6.375" style="68" bestFit="1" customWidth="1"/>
    <col min="3561" max="3561" width="1.75" style="68" customWidth="1"/>
    <col min="3562" max="3562" width="8.5" style="68"/>
    <col min="3563" max="3563" width="42.25" style="68" bestFit="1" customWidth="1"/>
    <col min="3564" max="3564" width="1.25" style="68" customWidth="1"/>
    <col min="3565" max="3565" width="11.625" style="68" customWidth="1"/>
    <col min="3566" max="3566" width="1.25" style="68" customWidth="1"/>
    <col min="3567" max="3567" width="9.625" style="68" customWidth="1"/>
    <col min="3568" max="3568" width="8.125" style="68" customWidth="1"/>
    <col min="3569" max="3569" width="1.25" style="68" customWidth="1"/>
    <col min="3570" max="3570" width="8.125" style="68" customWidth="1"/>
    <col min="3571" max="3571" width="1.625" style="68" customWidth="1"/>
    <col min="3572" max="3572" width="8" style="68" bestFit="1" customWidth="1"/>
    <col min="3573" max="3573" width="9.75" style="68" bestFit="1" customWidth="1"/>
    <col min="3574" max="3788" width="7" style="68" customWidth="1"/>
    <col min="3789" max="3789" width="20.75" style="68" customWidth="1"/>
    <col min="3790" max="3790" width="1.875" style="68" customWidth="1"/>
    <col min="3791" max="3791" width="14.25" style="68" customWidth="1"/>
    <col min="3792" max="3792" width="4.25" style="68" customWidth="1"/>
    <col min="3793" max="3793" width="8.875" style="68" bestFit="1" customWidth="1"/>
    <col min="3794" max="3794" width="6.375" style="68" bestFit="1" customWidth="1"/>
    <col min="3795" max="3795" width="2.125" style="68" customWidth="1"/>
    <col min="3796" max="3796" width="8.5" style="68" bestFit="1" customWidth="1"/>
    <col min="3797" max="3797" width="6.375" style="68" bestFit="1" customWidth="1"/>
    <col min="3798" max="3798" width="2.375" style="68" customWidth="1"/>
    <col min="3799" max="3799" width="9.5" style="68" bestFit="1" customWidth="1"/>
    <col min="3800" max="3800" width="7" style="68" bestFit="1" customWidth="1"/>
    <col min="3801" max="3801" width="1.75" style="68" customWidth="1"/>
    <col min="3802" max="3802" width="8.875" style="68" bestFit="1" customWidth="1"/>
    <col min="3803" max="3803" width="2" style="68" customWidth="1"/>
    <col min="3804" max="3804" width="8.875" style="68" bestFit="1" customWidth="1"/>
    <col min="3805" max="3805" width="6.375" style="68" bestFit="1" customWidth="1"/>
    <col min="3806" max="3806" width="1.375" style="68" customWidth="1"/>
    <col min="3807" max="3807" width="8.5" style="68" bestFit="1" customWidth="1"/>
    <col min="3808" max="3808" width="6.375" style="68" bestFit="1" customWidth="1"/>
    <col min="3809" max="3809" width="1.75" style="68" customWidth="1"/>
    <col min="3810" max="3810" width="9.5" style="68" bestFit="1" customWidth="1"/>
    <col min="3811" max="3811" width="7" style="68" bestFit="1" customWidth="1"/>
    <col min="3812" max="3812" width="1.625" style="68" customWidth="1"/>
    <col min="3813" max="3813" width="7.25" style="68" bestFit="1" customWidth="1"/>
    <col min="3814" max="3814" width="2.625" style="68" customWidth="1"/>
    <col min="3815" max="3815" width="13.25" style="68" customWidth="1"/>
    <col min="3816" max="3816" width="6.375" style="68" bestFit="1" customWidth="1"/>
    <col min="3817" max="3817" width="1.75" style="68" customWidth="1"/>
    <col min="3818" max="3818" width="8.5" style="68"/>
    <col min="3819" max="3819" width="42.25" style="68" bestFit="1" customWidth="1"/>
    <col min="3820" max="3820" width="1.25" style="68" customWidth="1"/>
    <col min="3821" max="3821" width="11.625" style="68" customWidth="1"/>
    <col min="3822" max="3822" width="1.25" style="68" customWidth="1"/>
    <col min="3823" max="3823" width="9.625" style="68" customWidth="1"/>
    <col min="3824" max="3824" width="8.125" style="68" customWidth="1"/>
    <col min="3825" max="3825" width="1.25" style="68" customWidth="1"/>
    <col min="3826" max="3826" width="8.125" style="68" customWidth="1"/>
    <col min="3827" max="3827" width="1.625" style="68" customWidth="1"/>
    <col min="3828" max="3828" width="8" style="68" bestFit="1" customWidth="1"/>
    <col min="3829" max="3829" width="9.75" style="68" bestFit="1" customWidth="1"/>
    <col min="3830" max="4044" width="7" style="68" customWidth="1"/>
    <col min="4045" max="4045" width="20.75" style="68" customWidth="1"/>
    <col min="4046" max="4046" width="1.875" style="68" customWidth="1"/>
    <col min="4047" max="4047" width="14.25" style="68" customWidth="1"/>
    <col min="4048" max="4048" width="4.25" style="68" customWidth="1"/>
    <col min="4049" max="4049" width="8.875" style="68" bestFit="1" customWidth="1"/>
    <col min="4050" max="4050" width="6.375" style="68" bestFit="1" customWidth="1"/>
    <col min="4051" max="4051" width="2.125" style="68" customWidth="1"/>
    <col min="4052" max="4052" width="8.5" style="68" bestFit="1" customWidth="1"/>
    <col min="4053" max="4053" width="6.375" style="68" bestFit="1" customWidth="1"/>
    <col min="4054" max="4054" width="2.375" style="68" customWidth="1"/>
    <col min="4055" max="4055" width="9.5" style="68" bestFit="1" customWidth="1"/>
    <col min="4056" max="4056" width="7" style="68" bestFit="1" customWidth="1"/>
    <col min="4057" max="4057" width="1.75" style="68" customWidth="1"/>
    <col min="4058" max="4058" width="8.875" style="68" bestFit="1" customWidth="1"/>
    <col min="4059" max="4059" width="2" style="68" customWidth="1"/>
    <col min="4060" max="4060" width="8.875" style="68" bestFit="1" customWidth="1"/>
    <col min="4061" max="4061" width="6.375" style="68" bestFit="1" customWidth="1"/>
    <col min="4062" max="4062" width="1.375" style="68" customWidth="1"/>
    <col min="4063" max="4063" width="8.5" style="68" bestFit="1" customWidth="1"/>
    <col min="4064" max="4064" width="6.375" style="68" bestFit="1" customWidth="1"/>
    <col min="4065" max="4065" width="1.75" style="68" customWidth="1"/>
    <col min="4066" max="4066" width="9.5" style="68" bestFit="1" customWidth="1"/>
    <col min="4067" max="4067" width="7" style="68" bestFit="1" customWidth="1"/>
    <col min="4068" max="4068" width="1.625" style="68" customWidth="1"/>
    <col min="4069" max="4069" width="7.25" style="68" bestFit="1" customWidth="1"/>
    <col min="4070" max="4070" width="2.625" style="68" customWidth="1"/>
    <col min="4071" max="4071" width="13.25" style="68" customWidth="1"/>
    <col min="4072" max="4072" width="6.375" style="68" bestFit="1" customWidth="1"/>
    <col min="4073" max="4073" width="1.75" style="68" customWidth="1"/>
    <col min="4074" max="4074" width="8.5" style="68"/>
    <col min="4075" max="4075" width="42.25" style="68" bestFit="1" customWidth="1"/>
    <col min="4076" max="4076" width="1.25" style="68" customWidth="1"/>
    <col min="4077" max="4077" width="11.625" style="68" customWidth="1"/>
    <col min="4078" max="4078" width="1.25" style="68" customWidth="1"/>
    <col min="4079" max="4079" width="9.625" style="68" customWidth="1"/>
    <col min="4080" max="4080" width="8.125" style="68" customWidth="1"/>
    <col min="4081" max="4081" width="1.25" style="68" customWidth="1"/>
    <col min="4082" max="4082" width="8.125" style="68" customWidth="1"/>
    <col min="4083" max="4083" width="1.625" style="68" customWidth="1"/>
    <col min="4084" max="4084" width="8" style="68" bestFit="1" customWidth="1"/>
    <col min="4085" max="4085" width="9.75" style="68" bestFit="1" customWidth="1"/>
    <col min="4086" max="4300" width="7" style="68" customWidth="1"/>
    <col min="4301" max="4301" width="20.75" style="68" customWidth="1"/>
    <col min="4302" max="4302" width="1.875" style="68" customWidth="1"/>
    <col min="4303" max="4303" width="14.25" style="68" customWidth="1"/>
    <col min="4304" max="4304" width="4.25" style="68" customWidth="1"/>
    <col min="4305" max="4305" width="8.875" style="68" bestFit="1" customWidth="1"/>
    <col min="4306" max="4306" width="6.375" style="68" bestFit="1" customWidth="1"/>
    <col min="4307" max="4307" width="2.125" style="68" customWidth="1"/>
    <col min="4308" max="4308" width="8.5" style="68" bestFit="1" customWidth="1"/>
    <col min="4309" max="4309" width="6.375" style="68" bestFit="1" customWidth="1"/>
    <col min="4310" max="4310" width="2.375" style="68" customWidth="1"/>
    <col min="4311" max="4311" width="9.5" style="68" bestFit="1" customWidth="1"/>
    <col min="4312" max="4312" width="7" style="68" bestFit="1" customWidth="1"/>
    <col min="4313" max="4313" width="1.75" style="68" customWidth="1"/>
    <col min="4314" max="4314" width="8.875" style="68" bestFit="1" customWidth="1"/>
    <col min="4315" max="4315" width="2" style="68" customWidth="1"/>
    <col min="4316" max="4316" width="8.875" style="68" bestFit="1" customWidth="1"/>
    <col min="4317" max="4317" width="6.375" style="68" bestFit="1" customWidth="1"/>
    <col min="4318" max="4318" width="1.375" style="68" customWidth="1"/>
    <col min="4319" max="4319" width="8.5" style="68" bestFit="1" customWidth="1"/>
    <col min="4320" max="4320" width="6.375" style="68" bestFit="1" customWidth="1"/>
    <col min="4321" max="4321" width="1.75" style="68" customWidth="1"/>
    <col min="4322" max="4322" width="9.5" style="68" bestFit="1" customWidth="1"/>
    <col min="4323" max="4323" width="7" style="68" bestFit="1" customWidth="1"/>
    <col min="4324" max="4324" width="1.625" style="68" customWidth="1"/>
    <col min="4325" max="4325" width="7.25" style="68" bestFit="1" customWidth="1"/>
    <col min="4326" max="4326" width="2.625" style="68" customWidth="1"/>
    <col min="4327" max="4327" width="13.25" style="68" customWidth="1"/>
    <col min="4328" max="4328" width="6.375" style="68" bestFit="1" customWidth="1"/>
    <col min="4329" max="4329" width="1.75" style="68" customWidth="1"/>
    <col min="4330" max="4330" width="8.5" style="68"/>
    <col min="4331" max="4331" width="42.25" style="68" bestFit="1" customWidth="1"/>
    <col min="4332" max="4332" width="1.25" style="68" customWidth="1"/>
    <col min="4333" max="4333" width="11.625" style="68" customWidth="1"/>
    <col min="4334" max="4334" width="1.25" style="68" customWidth="1"/>
    <col min="4335" max="4335" width="9.625" style="68" customWidth="1"/>
    <col min="4336" max="4336" width="8.125" style="68" customWidth="1"/>
    <col min="4337" max="4337" width="1.25" style="68" customWidth="1"/>
    <col min="4338" max="4338" width="8.125" style="68" customWidth="1"/>
    <col min="4339" max="4339" width="1.625" style="68" customWidth="1"/>
    <col min="4340" max="4340" width="8" style="68" bestFit="1" customWidth="1"/>
    <col min="4341" max="4341" width="9.75" style="68" bestFit="1" customWidth="1"/>
    <col min="4342" max="4556" width="7" style="68" customWidth="1"/>
    <col min="4557" max="4557" width="20.75" style="68" customWidth="1"/>
    <col min="4558" max="4558" width="1.875" style="68" customWidth="1"/>
    <col min="4559" max="4559" width="14.25" style="68" customWidth="1"/>
    <col min="4560" max="4560" width="4.25" style="68" customWidth="1"/>
    <col min="4561" max="4561" width="8.875" style="68" bestFit="1" customWidth="1"/>
    <col min="4562" max="4562" width="6.375" style="68" bestFit="1" customWidth="1"/>
    <col min="4563" max="4563" width="2.125" style="68" customWidth="1"/>
    <col min="4564" max="4564" width="8.5" style="68" bestFit="1" customWidth="1"/>
    <col min="4565" max="4565" width="6.375" style="68" bestFit="1" customWidth="1"/>
    <col min="4566" max="4566" width="2.375" style="68" customWidth="1"/>
    <col min="4567" max="4567" width="9.5" style="68" bestFit="1" customWidth="1"/>
    <col min="4568" max="4568" width="7" style="68" bestFit="1" customWidth="1"/>
    <col min="4569" max="4569" width="1.75" style="68" customWidth="1"/>
    <col min="4570" max="4570" width="8.875" style="68" bestFit="1" customWidth="1"/>
    <col min="4571" max="4571" width="2" style="68" customWidth="1"/>
    <col min="4572" max="4572" width="8.875" style="68" bestFit="1" customWidth="1"/>
    <col min="4573" max="4573" width="6.375" style="68" bestFit="1" customWidth="1"/>
    <col min="4574" max="4574" width="1.375" style="68" customWidth="1"/>
    <col min="4575" max="4575" width="8.5" style="68" bestFit="1" customWidth="1"/>
    <col min="4576" max="4576" width="6.375" style="68" bestFit="1" customWidth="1"/>
    <col min="4577" max="4577" width="1.75" style="68" customWidth="1"/>
    <col min="4578" max="4578" width="9.5" style="68" bestFit="1" customWidth="1"/>
    <col min="4579" max="4579" width="7" style="68" bestFit="1" customWidth="1"/>
    <col min="4580" max="4580" width="1.625" style="68" customWidth="1"/>
    <col min="4581" max="4581" width="7.25" style="68" bestFit="1" customWidth="1"/>
    <col min="4582" max="4582" width="2.625" style="68" customWidth="1"/>
    <col min="4583" max="4583" width="13.25" style="68" customWidth="1"/>
    <col min="4584" max="4584" width="6.375" style="68" bestFit="1" customWidth="1"/>
    <col min="4585" max="4585" width="1.75" style="68" customWidth="1"/>
    <col min="4586" max="4586" width="8.5" style="68"/>
    <col min="4587" max="4587" width="42.25" style="68" bestFit="1" customWidth="1"/>
    <col min="4588" max="4588" width="1.25" style="68" customWidth="1"/>
    <col min="4589" max="4589" width="11.625" style="68" customWidth="1"/>
    <col min="4590" max="4590" width="1.25" style="68" customWidth="1"/>
    <col min="4591" max="4591" width="9.625" style="68" customWidth="1"/>
    <col min="4592" max="4592" width="8.125" style="68" customWidth="1"/>
    <col min="4593" max="4593" width="1.25" style="68" customWidth="1"/>
    <col min="4594" max="4594" width="8.125" style="68" customWidth="1"/>
    <col min="4595" max="4595" width="1.625" style="68" customWidth="1"/>
    <col min="4596" max="4596" width="8" style="68" bestFit="1" customWidth="1"/>
    <col min="4597" max="4597" width="9.75" style="68" bestFit="1" customWidth="1"/>
    <col min="4598" max="4812" width="7" style="68" customWidth="1"/>
    <col min="4813" max="4813" width="20.75" style="68" customWidth="1"/>
    <col min="4814" max="4814" width="1.875" style="68" customWidth="1"/>
    <col min="4815" max="4815" width="14.25" style="68" customWidth="1"/>
    <col min="4816" max="4816" width="4.25" style="68" customWidth="1"/>
    <col min="4817" max="4817" width="8.875" style="68" bestFit="1" customWidth="1"/>
    <col min="4818" max="4818" width="6.375" style="68" bestFit="1" customWidth="1"/>
    <col min="4819" max="4819" width="2.125" style="68" customWidth="1"/>
    <col min="4820" max="4820" width="8.5" style="68" bestFit="1" customWidth="1"/>
    <col min="4821" max="4821" width="6.375" style="68" bestFit="1" customWidth="1"/>
    <col min="4822" max="4822" width="2.375" style="68" customWidth="1"/>
    <col min="4823" max="4823" width="9.5" style="68" bestFit="1" customWidth="1"/>
    <col min="4824" max="4824" width="7" style="68" bestFit="1" customWidth="1"/>
    <col min="4825" max="4825" width="1.75" style="68" customWidth="1"/>
    <col min="4826" max="4826" width="8.875" style="68" bestFit="1" customWidth="1"/>
    <col min="4827" max="4827" width="2" style="68" customWidth="1"/>
    <col min="4828" max="4828" width="8.875" style="68" bestFit="1" customWidth="1"/>
    <col min="4829" max="4829" width="6.375" style="68" bestFit="1" customWidth="1"/>
    <col min="4830" max="4830" width="1.375" style="68" customWidth="1"/>
    <col min="4831" max="4831" width="8.5" style="68" bestFit="1" customWidth="1"/>
    <col min="4832" max="4832" width="6.375" style="68" bestFit="1" customWidth="1"/>
    <col min="4833" max="4833" width="1.75" style="68" customWidth="1"/>
    <col min="4834" max="4834" width="9.5" style="68" bestFit="1" customWidth="1"/>
    <col min="4835" max="4835" width="7" style="68" bestFit="1" customWidth="1"/>
    <col min="4836" max="4836" width="1.625" style="68" customWidth="1"/>
    <col min="4837" max="4837" width="7.25" style="68" bestFit="1" customWidth="1"/>
    <col min="4838" max="4838" width="2.625" style="68" customWidth="1"/>
    <col min="4839" max="4839" width="13.25" style="68" customWidth="1"/>
    <col min="4840" max="4840" width="6.375" style="68" bestFit="1" customWidth="1"/>
    <col min="4841" max="4841" width="1.75" style="68" customWidth="1"/>
    <col min="4842" max="4842" width="8.5" style="68"/>
    <col min="4843" max="4843" width="42.25" style="68" bestFit="1" customWidth="1"/>
    <col min="4844" max="4844" width="1.25" style="68" customWidth="1"/>
    <col min="4845" max="4845" width="11.625" style="68" customWidth="1"/>
    <col min="4846" max="4846" width="1.25" style="68" customWidth="1"/>
    <col min="4847" max="4847" width="9.625" style="68" customWidth="1"/>
    <col min="4848" max="4848" width="8.125" style="68" customWidth="1"/>
    <col min="4849" max="4849" width="1.25" style="68" customWidth="1"/>
    <col min="4850" max="4850" width="8.125" style="68" customWidth="1"/>
    <col min="4851" max="4851" width="1.625" style="68" customWidth="1"/>
    <col min="4852" max="4852" width="8" style="68" bestFit="1" customWidth="1"/>
    <col min="4853" max="4853" width="9.75" style="68" bestFit="1" customWidth="1"/>
    <col min="4854" max="5068" width="7" style="68" customWidth="1"/>
    <col min="5069" max="5069" width="20.75" style="68" customWidth="1"/>
    <col min="5070" max="5070" width="1.875" style="68" customWidth="1"/>
    <col min="5071" max="5071" width="14.25" style="68" customWidth="1"/>
    <col min="5072" max="5072" width="4.25" style="68" customWidth="1"/>
    <col min="5073" max="5073" width="8.875" style="68" bestFit="1" customWidth="1"/>
    <col min="5074" max="5074" width="6.375" style="68" bestFit="1" customWidth="1"/>
    <col min="5075" max="5075" width="2.125" style="68" customWidth="1"/>
    <col min="5076" max="5076" width="8.5" style="68" bestFit="1" customWidth="1"/>
    <col min="5077" max="5077" width="6.375" style="68" bestFit="1" customWidth="1"/>
    <col min="5078" max="5078" width="2.375" style="68" customWidth="1"/>
    <col min="5079" max="5079" width="9.5" style="68" bestFit="1" customWidth="1"/>
    <col min="5080" max="5080" width="7" style="68" bestFit="1" customWidth="1"/>
    <col min="5081" max="5081" width="1.75" style="68" customWidth="1"/>
    <col min="5082" max="5082" width="8.875" style="68" bestFit="1" customWidth="1"/>
    <col min="5083" max="5083" width="2" style="68" customWidth="1"/>
    <col min="5084" max="5084" width="8.875" style="68" bestFit="1" customWidth="1"/>
    <col min="5085" max="5085" width="6.375" style="68" bestFit="1" customWidth="1"/>
    <col min="5086" max="5086" width="1.375" style="68" customWidth="1"/>
    <col min="5087" max="5087" width="8.5" style="68" bestFit="1" customWidth="1"/>
    <col min="5088" max="5088" width="6.375" style="68" bestFit="1" customWidth="1"/>
    <col min="5089" max="5089" width="1.75" style="68" customWidth="1"/>
    <col min="5090" max="5090" width="9.5" style="68" bestFit="1" customWidth="1"/>
    <col min="5091" max="5091" width="7" style="68" bestFit="1" customWidth="1"/>
    <col min="5092" max="5092" width="1.625" style="68" customWidth="1"/>
    <col min="5093" max="5093" width="7.25" style="68" bestFit="1" customWidth="1"/>
    <col min="5094" max="5094" width="2.625" style="68" customWidth="1"/>
    <col min="5095" max="5095" width="13.25" style="68" customWidth="1"/>
    <col min="5096" max="5096" width="6.375" style="68" bestFit="1" customWidth="1"/>
    <col min="5097" max="5097" width="1.75" style="68" customWidth="1"/>
    <col min="5098" max="5098" width="8.5" style="68"/>
    <col min="5099" max="5099" width="42.25" style="68" bestFit="1" customWidth="1"/>
    <col min="5100" max="5100" width="1.25" style="68" customWidth="1"/>
    <col min="5101" max="5101" width="11.625" style="68" customWidth="1"/>
    <col min="5102" max="5102" width="1.25" style="68" customWidth="1"/>
    <col min="5103" max="5103" width="9.625" style="68" customWidth="1"/>
    <col min="5104" max="5104" width="8.125" style="68" customWidth="1"/>
    <col min="5105" max="5105" width="1.25" style="68" customWidth="1"/>
    <col min="5106" max="5106" width="8.125" style="68" customWidth="1"/>
    <col min="5107" max="5107" width="1.625" style="68" customWidth="1"/>
    <col min="5108" max="5108" width="8" style="68" bestFit="1" customWidth="1"/>
    <col min="5109" max="5109" width="9.75" style="68" bestFit="1" customWidth="1"/>
    <col min="5110" max="5324" width="7" style="68" customWidth="1"/>
    <col min="5325" max="5325" width="20.75" style="68" customWidth="1"/>
    <col min="5326" max="5326" width="1.875" style="68" customWidth="1"/>
    <col min="5327" max="5327" width="14.25" style="68" customWidth="1"/>
    <col min="5328" max="5328" width="4.25" style="68" customWidth="1"/>
    <col min="5329" max="5329" width="8.875" style="68" bestFit="1" customWidth="1"/>
    <col min="5330" max="5330" width="6.375" style="68" bestFit="1" customWidth="1"/>
    <col min="5331" max="5331" width="2.125" style="68" customWidth="1"/>
    <col min="5332" max="5332" width="8.5" style="68" bestFit="1" customWidth="1"/>
    <col min="5333" max="5333" width="6.375" style="68" bestFit="1" customWidth="1"/>
    <col min="5334" max="5334" width="2.375" style="68" customWidth="1"/>
    <col min="5335" max="5335" width="9.5" style="68" bestFit="1" customWidth="1"/>
    <col min="5336" max="5336" width="7" style="68" bestFit="1" customWidth="1"/>
    <col min="5337" max="5337" width="1.75" style="68" customWidth="1"/>
    <col min="5338" max="5338" width="8.875" style="68" bestFit="1" customWidth="1"/>
    <col min="5339" max="5339" width="2" style="68" customWidth="1"/>
    <col min="5340" max="5340" width="8.875" style="68" bestFit="1" customWidth="1"/>
    <col min="5341" max="5341" width="6.375" style="68" bestFit="1" customWidth="1"/>
    <col min="5342" max="5342" width="1.375" style="68" customWidth="1"/>
    <col min="5343" max="5343" width="8.5" style="68" bestFit="1" customWidth="1"/>
    <col min="5344" max="5344" width="6.375" style="68" bestFit="1" customWidth="1"/>
    <col min="5345" max="5345" width="1.75" style="68" customWidth="1"/>
    <col min="5346" max="5346" width="9.5" style="68" bestFit="1" customWidth="1"/>
    <col min="5347" max="5347" width="7" style="68" bestFit="1" customWidth="1"/>
    <col min="5348" max="5348" width="1.625" style="68" customWidth="1"/>
    <col min="5349" max="5349" width="7.25" style="68" bestFit="1" customWidth="1"/>
    <col min="5350" max="5350" width="2.625" style="68" customWidth="1"/>
    <col min="5351" max="5351" width="13.25" style="68" customWidth="1"/>
    <col min="5352" max="5352" width="6.375" style="68" bestFit="1" customWidth="1"/>
    <col min="5353" max="5353" width="1.75" style="68" customWidth="1"/>
    <col min="5354" max="5354" width="8.5" style="68"/>
    <col min="5355" max="5355" width="42.25" style="68" bestFit="1" customWidth="1"/>
    <col min="5356" max="5356" width="1.25" style="68" customWidth="1"/>
    <col min="5357" max="5357" width="11.625" style="68" customWidth="1"/>
    <col min="5358" max="5358" width="1.25" style="68" customWidth="1"/>
    <col min="5359" max="5359" width="9.625" style="68" customWidth="1"/>
    <col min="5360" max="5360" width="8.125" style="68" customWidth="1"/>
    <col min="5361" max="5361" width="1.25" style="68" customWidth="1"/>
    <col min="5362" max="5362" width="8.125" style="68" customWidth="1"/>
    <col min="5363" max="5363" width="1.625" style="68" customWidth="1"/>
    <col min="5364" max="5364" width="8" style="68" bestFit="1" customWidth="1"/>
    <col min="5365" max="5365" width="9.75" style="68" bestFit="1" customWidth="1"/>
    <col min="5366" max="5580" width="7" style="68" customWidth="1"/>
    <col min="5581" max="5581" width="20.75" style="68" customWidth="1"/>
    <col min="5582" max="5582" width="1.875" style="68" customWidth="1"/>
    <col min="5583" max="5583" width="14.25" style="68" customWidth="1"/>
    <col min="5584" max="5584" width="4.25" style="68" customWidth="1"/>
    <col min="5585" max="5585" width="8.875" style="68" bestFit="1" customWidth="1"/>
    <col min="5586" max="5586" width="6.375" style="68" bestFit="1" customWidth="1"/>
    <col min="5587" max="5587" width="2.125" style="68" customWidth="1"/>
    <col min="5588" max="5588" width="8.5" style="68" bestFit="1" customWidth="1"/>
    <col min="5589" max="5589" width="6.375" style="68" bestFit="1" customWidth="1"/>
    <col min="5590" max="5590" width="2.375" style="68" customWidth="1"/>
    <col min="5591" max="5591" width="9.5" style="68" bestFit="1" customWidth="1"/>
    <col min="5592" max="5592" width="7" style="68" bestFit="1" customWidth="1"/>
    <col min="5593" max="5593" width="1.75" style="68" customWidth="1"/>
    <col min="5594" max="5594" width="8.875" style="68" bestFit="1" customWidth="1"/>
    <col min="5595" max="5595" width="2" style="68" customWidth="1"/>
    <col min="5596" max="5596" width="8.875" style="68" bestFit="1" customWidth="1"/>
    <col min="5597" max="5597" width="6.375" style="68" bestFit="1" customWidth="1"/>
    <col min="5598" max="5598" width="1.375" style="68" customWidth="1"/>
    <col min="5599" max="5599" width="8.5" style="68" bestFit="1" customWidth="1"/>
    <col min="5600" max="5600" width="6.375" style="68" bestFit="1" customWidth="1"/>
    <col min="5601" max="5601" width="1.75" style="68" customWidth="1"/>
    <col min="5602" max="5602" width="9.5" style="68" bestFit="1" customWidth="1"/>
    <col min="5603" max="5603" width="7" style="68" bestFit="1" customWidth="1"/>
    <col min="5604" max="5604" width="1.625" style="68" customWidth="1"/>
    <col min="5605" max="5605" width="7.25" style="68" bestFit="1" customWidth="1"/>
    <col min="5606" max="5606" width="2.625" style="68" customWidth="1"/>
    <col min="5607" max="5607" width="13.25" style="68" customWidth="1"/>
    <col min="5608" max="5608" width="6.375" style="68" bestFit="1" customWidth="1"/>
    <col min="5609" max="5609" width="1.75" style="68" customWidth="1"/>
    <col min="5610" max="5610" width="8.5" style="68"/>
    <col min="5611" max="5611" width="42.25" style="68" bestFit="1" customWidth="1"/>
    <col min="5612" max="5612" width="1.25" style="68" customWidth="1"/>
    <col min="5613" max="5613" width="11.625" style="68" customWidth="1"/>
    <col min="5614" max="5614" width="1.25" style="68" customWidth="1"/>
    <col min="5615" max="5615" width="9.625" style="68" customWidth="1"/>
    <col min="5616" max="5616" width="8.125" style="68" customWidth="1"/>
    <col min="5617" max="5617" width="1.25" style="68" customWidth="1"/>
    <col min="5618" max="5618" width="8.125" style="68" customWidth="1"/>
    <col min="5619" max="5619" width="1.625" style="68" customWidth="1"/>
    <col min="5620" max="5620" width="8" style="68" bestFit="1" customWidth="1"/>
    <col min="5621" max="5621" width="9.75" style="68" bestFit="1" customWidth="1"/>
    <col min="5622" max="5836" width="7" style="68" customWidth="1"/>
    <col min="5837" max="5837" width="20.75" style="68" customWidth="1"/>
    <col min="5838" max="5838" width="1.875" style="68" customWidth="1"/>
    <col min="5839" max="5839" width="14.25" style="68" customWidth="1"/>
    <col min="5840" max="5840" width="4.25" style="68" customWidth="1"/>
    <col min="5841" max="5841" width="8.875" style="68" bestFit="1" customWidth="1"/>
    <col min="5842" max="5842" width="6.375" style="68" bestFit="1" customWidth="1"/>
    <col min="5843" max="5843" width="2.125" style="68" customWidth="1"/>
    <col min="5844" max="5844" width="8.5" style="68" bestFit="1" customWidth="1"/>
    <col min="5845" max="5845" width="6.375" style="68" bestFit="1" customWidth="1"/>
    <col min="5846" max="5846" width="2.375" style="68" customWidth="1"/>
    <col min="5847" max="5847" width="9.5" style="68" bestFit="1" customWidth="1"/>
    <col min="5848" max="5848" width="7" style="68" bestFit="1" customWidth="1"/>
    <col min="5849" max="5849" width="1.75" style="68" customWidth="1"/>
    <col min="5850" max="5850" width="8.875" style="68" bestFit="1" customWidth="1"/>
    <col min="5851" max="5851" width="2" style="68" customWidth="1"/>
    <col min="5852" max="5852" width="8.875" style="68" bestFit="1" customWidth="1"/>
    <col min="5853" max="5853" width="6.375" style="68" bestFit="1" customWidth="1"/>
    <col min="5854" max="5854" width="1.375" style="68" customWidth="1"/>
    <col min="5855" max="5855" width="8.5" style="68" bestFit="1" customWidth="1"/>
    <col min="5856" max="5856" width="6.375" style="68" bestFit="1" customWidth="1"/>
    <col min="5857" max="5857" width="1.75" style="68" customWidth="1"/>
    <col min="5858" max="5858" width="9.5" style="68" bestFit="1" customWidth="1"/>
    <col min="5859" max="5859" width="7" style="68" bestFit="1" customWidth="1"/>
    <col min="5860" max="5860" width="1.625" style="68" customWidth="1"/>
    <col min="5861" max="5861" width="7.25" style="68" bestFit="1" customWidth="1"/>
    <col min="5862" max="5862" width="2.625" style="68" customWidth="1"/>
    <col min="5863" max="5863" width="13.25" style="68" customWidth="1"/>
    <col min="5864" max="5864" width="6.375" style="68" bestFit="1" customWidth="1"/>
    <col min="5865" max="5865" width="1.75" style="68" customWidth="1"/>
    <col min="5866" max="5866" width="8.5" style="68"/>
    <col min="5867" max="5867" width="42.25" style="68" bestFit="1" customWidth="1"/>
    <col min="5868" max="5868" width="1.25" style="68" customWidth="1"/>
    <col min="5869" max="5869" width="11.625" style="68" customWidth="1"/>
    <col min="5870" max="5870" width="1.25" style="68" customWidth="1"/>
    <col min="5871" max="5871" width="9.625" style="68" customWidth="1"/>
    <col min="5872" max="5872" width="8.125" style="68" customWidth="1"/>
    <col min="5873" max="5873" width="1.25" style="68" customWidth="1"/>
    <col min="5874" max="5874" width="8.125" style="68" customWidth="1"/>
    <col min="5875" max="5875" width="1.625" style="68" customWidth="1"/>
    <col min="5876" max="5876" width="8" style="68" bestFit="1" customWidth="1"/>
    <col min="5877" max="5877" width="9.75" style="68" bestFit="1" customWidth="1"/>
    <col min="5878" max="6092" width="7" style="68" customWidth="1"/>
    <col min="6093" max="6093" width="20.75" style="68" customWidth="1"/>
    <col min="6094" max="6094" width="1.875" style="68" customWidth="1"/>
    <col min="6095" max="6095" width="14.25" style="68" customWidth="1"/>
    <col min="6096" max="6096" width="4.25" style="68" customWidth="1"/>
    <col min="6097" max="6097" width="8.875" style="68" bestFit="1" customWidth="1"/>
    <col min="6098" max="6098" width="6.375" style="68" bestFit="1" customWidth="1"/>
    <col min="6099" max="6099" width="2.125" style="68" customWidth="1"/>
    <col min="6100" max="6100" width="8.5" style="68" bestFit="1" customWidth="1"/>
    <col min="6101" max="6101" width="6.375" style="68" bestFit="1" customWidth="1"/>
    <col min="6102" max="6102" width="2.375" style="68" customWidth="1"/>
    <col min="6103" max="6103" width="9.5" style="68" bestFit="1" customWidth="1"/>
    <col min="6104" max="6104" width="7" style="68" bestFit="1" customWidth="1"/>
    <col min="6105" max="6105" width="1.75" style="68" customWidth="1"/>
    <col min="6106" max="6106" width="8.875" style="68" bestFit="1" customWidth="1"/>
    <col min="6107" max="6107" width="2" style="68" customWidth="1"/>
    <col min="6108" max="6108" width="8.875" style="68" bestFit="1" customWidth="1"/>
    <col min="6109" max="6109" width="6.375" style="68" bestFit="1" customWidth="1"/>
    <col min="6110" max="6110" width="1.375" style="68" customWidth="1"/>
    <col min="6111" max="6111" width="8.5" style="68" bestFit="1" customWidth="1"/>
    <col min="6112" max="6112" width="6.375" style="68" bestFit="1" customWidth="1"/>
    <col min="6113" max="6113" width="1.75" style="68" customWidth="1"/>
    <col min="6114" max="6114" width="9.5" style="68" bestFit="1" customWidth="1"/>
    <col min="6115" max="6115" width="7" style="68" bestFit="1" customWidth="1"/>
    <col min="6116" max="6116" width="1.625" style="68" customWidth="1"/>
    <col min="6117" max="6117" width="7.25" style="68" bestFit="1" customWidth="1"/>
    <col min="6118" max="6118" width="2.625" style="68" customWidth="1"/>
    <col min="6119" max="6119" width="13.25" style="68" customWidth="1"/>
    <col min="6120" max="6120" width="6.375" style="68" bestFit="1" customWidth="1"/>
    <col min="6121" max="6121" width="1.75" style="68" customWidth="1"/>
    <col min="6122" max="6122" width="8.5" style="68"/>
    <col min="6123" max="6123" width="42.25" style="68" bestFit="1" customWidth="1"/>
    <col min="6124" max="6124" width="1.25" style="68" customWidth="1"/>
    <col min="6125" max="6125" width="11.625" style="68" customWidth="1"/>
    <col min="6126" max="6126" width="1.25" style="68" customWidth="1"/>
    <col min="6127" max="6127" width="9.625" style="68" customWidth="1"/>
    <col min="6128" max="6128" width="8.125" style="68" customWidth="1"/>
    <col min="6129" max="6129" width="1.25" style="68" customWidth="1"/>
    <col min="6130" max="6130" width="8.125" style="68" customWidth="1"/>
    <col min="6131" max="6131" width="1.625" style="68" customWidth="1"/>
    <col min="6132" max="6132" width="8" style="68" bestFit="1" customWidth="1"/>
    <col min="6133" max="6133" width="9.75" style="68" bestFit="1" customWidth="1"/>
    <col min="6134" max="6348" width="7" style="68" customWidth="1"/>
    <col min="6349" max="6349" width="20.75" style="68" customWidth="1"/>
    <col min="6350" max="6350" width="1.875" style="68" customWidth="1"/>
    <col min="6351" max="6351" width="14.25" style="68" customWidth="1"/>
    <col min="6352" max="6352" width="4.25" style="68" customWidth="1"/>
    <col min="6353" max="6353" width="8.875" style="68" bestFit="1" customWidth="1"/>
    <col min="6354" max="6354" width="6.375" style="68" bestFit="1" customWidth="1"/>
    <col min="6355" max="6355" width="2.125" style="68" customWidth="1"/>
    <col min="6356" max="6356" width="8.5" style="68" bestFit="1" customWidth="1"/>
    <col min="6357" max="6357" width="6.375" style="68" bestFit="1" customWidth="1"/>
    <col min="6358" max="6358" width="2.375" style="68" customWidth="1"/>
    <col min="6359" max="6359" width="9.5" style="68" bestFit="1" customWidth="1"/>
    <col min="6360" max="6360" width="7" style="68" bestFit="1" customWidth="1"/>
    <col min="6361" max="6361" width="1.75" style="68" customWidth="1"/>
    <col min="6362" max="6362" width="8.875" style="68" bestFit="1" customWidth="1"/>
    <col min="6363" max="6363" width="2" style="68" customWidth="1"/>
    <col min="6364" max="6364" width="8.875" style="68" bestFit="1" customWidth="1"/>
    <col min="6365" max="6365" width="6.375" style="68" bestFit="1" customWidth="1"/>
    <col min="6366" max="6366" width="1.375" style="68" customWidth="1"/>
    <col min="6367" max="6367" width="8.5" style="68" bestFit="1" customWidth="1"/>
    <col min="6368" max="6368" width="6.375" style="68" bestFit="1" customWidth="1"/>
    <col min="6369" max="6369" width="1.75" style="68" customWidth="1"/>
    <col min="6370" max="6370" width="9.5" style="68" bestFit="1" customWidth="1"/>
    <col min="6371" max="6371" width="7" style="68" bestFit="1" customWidth="1"/>
    <col min="6372" max="6372" width="1.625" style="68" customWidth="1"/>
    <col min="6373" max="6373" width="7.25" style="68" bestFit="1" customWidth="1"/>
    <col min="6374" max="6374" width="2.625" style="68" customWidth="1"/>
    <col min="6375" max="6375" width="13.25" style="68" customWidth="1"/>
    <col min="6376" max="6376" width="6.375" style="68" bestFit="1" customWidth="1"/>
    <col min="6377" max="6377" width="1.75" style="68" customWidth="1"/>
    <col min="6378" max="6378" width="8.5" style="68"/>
    <col min="6379" max="6379" width="42.25" style="68" bestFit="1" customWidth="1"/>
    <col min="6380" max="6380" width="1.25" style="68" customWidth="1"/>
    <col min="6381" max="6381" width="11.625" style="68" customWidth="1"/>
    <col min="6382" max="6382" width="1.25" style="68" customWidth="1"/>
    <col min="6383" max="6383" width="9.625" style="68" customWidth="1"/>
    <col min="6384" max="6384" width="8.125" style="68" customWidth="1"/>
    <col min="6385" max="6385" width="1.25" style="68" customWidth="1"/>
    <col min="6386" max="6386" width="8.125" style="68" customWidth="1"/>
    <col min="6387" max="6387" width="1.625" style="68" customWidth="1"/>
    <col min="6388" max="6388" width="8" style="68" bestFit="1" customWidth="1"/>
    <col min="6389" max="6389" width="9.75" style="68" bestFit="1" customWidth="1"/>
    <col min="6390" max="6604" width="7" style="68" customWidth="1"/>
    <col min="6605" max="6605" width="20.75" style="68" customWidth="1"/>
    <col min="6606" max="6606" width="1.875" style="68" customWidth="1"/>
    <col min="6607" max="6607" width="14.25" style="68" customWidth="1"/>
    <col min="6608" max="6608" width="4.25" style="68" customWidth="1"/>
    <col min="6609" max="6609" width="8.875" style="68" bestFit="1" customWidth="1"/>
    <col min="6610" max="6610" width="6.375" style="68" bestFit="1" customWidth="1"/>
    <col min="6611" max="6611" width="2.125" style="68" customWidth="1"/>
    <col min="6612" max="6612" width="8.5" style="68" bestFit="1" customWidth="1"/>
    <col min="6613" max="6613" width="6.375" style="68" bestFit="1" customWidth="1"/>
    <col min="6614" max="6614" width="2.375" style="68" customWidth="1"/>
    <col min="6615" max="6615" width="9.5" style="68" bestFit="1" customWidth="1"/>
    <col min="6616" max="6616" width="7" style="68" bestFit="1" customWidth="1"/>
    <col min="6617" max="6617" width="1.75" style="68" customWidth="1"/>
    <col min="6618" max="6618" width="8.875" style="68" bestFit="1" customWidth="1"/>
    <col min="6619" max="6619" width="2" style="68" customWidth="1"/>
    <col min="6620" max="6620" width="8.875" style="68" bestFit="1" customWidth="1"/>
    <col min="6621" max="6621" width="6.375" style="68" bestFit="1" customWidth="1"/>
    <col min="6622" max="6622" width="1.375" style="68" customWidth="1"/>
    <col min="6623" max="6623" width="8.5" style="68" bestFit="1" customWidth="1"/>
    <col min="6624" max="6624" width="6.375" style="68" bestFit="1" customWidth="1"/>
    <col min="6625" max="6625" width="1.75" style="68" customWidth="1"/>
    <col min="6626" max="6626" width="9.5" style="68" bestFit="1" customWidth="1"/>
    <col min="6627" max="6627" width="7" style="68" bestFit="1" customWidth="1"/>
    <col min="6628" max="6628" width="1.625" style="68" customWidth="1"/>
    <col min="6629" max="6629" width="7.25" style="68" bestFit="1" customWidth="1"/>
    <col min="6630" max="6630" width="2.625" style="68" customWidth="1"/>
    <col min="6631" max="6631" width="13.25" style="68" customWidth="1"/>
    <col min="6632" max="6632" width="6.375" style="68" bestFit="1" customWidth="1"/>
    <col min="6633" max="6633" width="1.75" style="68" customWidth="1"/>
    <col min="6634" max="6634" width="8.5" style="68"/>
    <col min="6635" max="6635" width="42.25" style="68" bestFit="1" customWidth="1"/>
    <col min="6636" max="6636" width="1.25" style="68" customWidth="1"/>
    <col min="6637" max="6637" width="11.625" style="68" customWidth="1"/>
    <col min="6638" max="6638" width="1.25" style="68" customWidth="1"/>
    <col min="6639" max="6639" width="9.625" style="68" customWidth="1"/>
    <col min="6640" max="6640" width="8.125" style="68" customWidth="1"/>
    <col min="6641" max="6641" width="1.25" style="68" customWidth="1"/>
    <col min="6642" max="6642" width="8.125" style="68" customWidth="1"/>
    <col min="6643" max="6643" width="1.625" style="68" customWidth="1"/>
    <col min="6644" max="6644" width="8" style="68" bestFit="1" customWidth="1"/>
    <col min="6645" max="6645" width="9.75" style="68" bestFit="1" customWidth="1"/>
    <col min="6646" max="6860" width="7" style="68" customWidth="1"/>
    <col min="6861" max="6861" width="20.75" style="68" customWidth="1"/>
    <col min="6862" max="6862" width="1.875" style="68" customWidth="1"/>
    <col min="6863" max="6863" width="14.25" style="68" customWidth="1"/>
    <col min="6864" max="6864" width="4.25" style="68" customWidth="1"/>
    <col min="6865" max="6865" width="8.875" style="68" bestFit="1" customWidth="1"/>
    <col min="6866" max="6866" width="6.375" style="68" bestFit="1" customWidth="1"/>
    <col min="6867" max="6867" width="2.125" style="68" customWidth="1"/>
    <col min="6868" max="6868" width="8.5" style="68" bestFit="1" customWidth="1"/>
    <col min="6869" max="6869" width="6.375" style="68" bestFit="1" customWidth="1"/>
    <col min="6870" max="6870" width="2.375" style="68" customWidth="1"/>
    <col min="6871" max="6871" width="9.5" style="68" bestFit="1" customWidth="1"/>
    <col min="6872" max="6872" width="7" style="68" bestFit="1" customWidth="1"/>
    <col min="6873" max="6873" width="1.75" style="68" customWidth="1"/>
    <col min="6874" max="6874" width="8.875" style="68" bestFit="1" customWidth="1"/>
    <col min="6875" max="6875" width="2" style="68" customWidth="1"/>
    <col min="6876" max="6876" width="8.875" style="68" bestFit="1" customWidth="1"/>
    <col min="6877" max="6877" width="6.375" style="68" bestFit="1" customWidth="1"/>
    <col min="6878" max="6878" width="1.375" style="68" customWidth="1"/>
    <col min="6879" max="6879" width="8.5" style="68" bestFit="1" customWidth="1"/>
    <col min="6880" max="6880" width="6.375" style="68" bestFit="1" customWidth="1"/>
    <col min="6881" max="6881" width="1.75" style="68" customWidth="1"/>
    <col min="6882" max="6882" width="9.5" style="68" bestFit="1" customWidth="1"/>
    <col min="6883" max="6883" width="7" style="68" bestFit="1" customWidth="1"/>
    <col min="6884" max="6884" width="1.625" style="68" customWidth="1"/>
    <col min="6885" max="6885" width="7.25" style="68" bestFit="1" customWidth="1"/>
    <col min="6886" max="6886" width="2.625" style="68" customWidth="1"/>
    <col min="6887" max="6887" width="13.25" style="68" customWidth="1"/>
    <col min="6888" max="6888" width="6.375" style="68" bestFit="1" customWidth="1"/>
    <col min="6889" max="6889" width="1.75" style="68" customWidth="1"/>
    <col min="6890" max="6890" width="8.5" style="68"/>
    <col min="6891" max="6891" width="42.25" style="68" bestFit="1" customWidth="1"/>
    <col min="6892" max="6892" width="1.25" style="68" customWidth="1"/>
    <col min="6893" max="6893" width="11.625" style="68" customWidth="1"/>
    <col min="6894" max="6894" width="1.25" style="68" customWidth="1"/>
    <col min="6895" max="6895" width="9.625" style="68" customWidth="1"/>
    <col min="6896" max="6896" width="8.125" style="68" customWidth="1"/>
    <col min="6897" max="6897" width="1.25" style="68" customWidth="1"/>
    <col min="6898" max="6898" width="8.125" style="68" customWidth="1"/>
    <col min="6899" max="6899" width="1.625" style="68" customWidth="1"/>
    <col min="6900" max="6900" width="8" style="68" bestFit="1" customWidth="1"/>
    <col min="6901" max="6901" width="9.75" style="68" bestFit="1" customWidth="1"/>
    <col min="6902" max="7116" width="7" style="68" customWidth="1"/>
    <col min="7117" max="7117" width="20.75" style="68" customWidth="1"/>
    <col min="7118" max="7118" width="1.875" style="68" customWidth="1"/>
    <col min="7119" max="7119" width="14.25" style="68" customWidth="1"/>
    <col min="7120" max="7120" width="4.25" style="68" customWidth="1"/>
    <col min="7121" max="7121" width="8.875" style="68" bestFit="1" customWidth="1"/>
    <col min="7122" max="7122" width="6.375" style="68" bestFit="1" customWidth="1"/>
    <col min="7123" max="7123" width="2.125" style="68" customWidth="1"/>
    <col min="7124" max="7124" width="8.5" style="68" bestFit="1" customWidth="1"/>
    <col min="7125" max="7125" width="6.375" style="68" bestFit="1" customWidth="1"/>
    <col min="7126" max="7126" width="2.375" style="68" customWidth="1"/>
    <col min="7127" max="7127" width="9.5" style="68" bestFit="1" customWidth="1"/>
    <col min="7128" max="7128" width="7" style="68" bestFit="1" customWidth="1"/>
    <col min="7129" max="7129" width="1.75" style="68" customWidth="1"/>
    <col min="7130" max="7130" width="8.875" style="68" bestFit="1" customWidth="1"/>
    <col min="7131" max="7131" width="2" style="68" customWidth="1"/>
    <col min="7132" max="7132" width="8.875" style="68" bestFit="1" customWidth="1"/>
    <col min="7133" max="7133" width="6.375" style="68" bestFit="1" customWidth="1"/>
    <col min="7134" max="7134" width="1.375" style="68" customWidth="1"/>
    <col min="7135" max="7135" width="8.5" style="68" bestFit="1" customWidth="1"/>
    <col min="7136" max="7136" width="6.375" style="68" bestFit="1" customWidth="1"/>
    <col min="7137" max="7137" width="1.75" style="68" customWidth="1"/>
    <col min="7138" max="7138" width="9.5" style="68" bestFit="1" customWidth="1"/>
    <col min="7139" max="7139" width="7" style="68" bestFit="1" customWidth="1"/>
    <col min="7140" max="7140" width="1.625" style="68" customWidth="1"/>
    <col min="7141" max="7141" width="7.25" style="68" bestFit="1" customWidth="1"/>
    <col min="7142" max="7142" width="2.625" style="68" customWidth="1"/>
    <col min="7143" max="7143" width="13.25" style="68" customWidth="1"/>
    <col min="7144" max="7144" width="6.375" style="68" bestFit="1" customWidth="1"/>
    <col min="7145" max="7145" width="1.75" style="68" customWidth="1"/>
    <col min="7146" max="7146" width="8.5" style="68"/>
    <col min="7147" max="7147" width="42.25" style="68" bestFit="1" customWidth="1"/>
    <col min="7148" max="7148" width="1.25" style="68" customWidth="1"/>
    <col min="7149" max="7149" width="11.625" style="68" customWidth="1"/>
    <col min="7150" max="7150" width="1.25" style="68" customWidth="1"/>
    <col min="7151" max="7151" width="9.625" style="68" customWidth="1"/>
    <col min="7152" max="7152" width="8.125" style="68" customWidth="1"/>
    <col min="7153" max="7153" width="1.25" style="68" customWidth="1"/>
    <col min="7154" max="7154" width="8.125" style="68" customWidth="1"/>
    <col min="7155" max="7155" width="1.625" style="68" customWidth="1"/>
    <col min="7156" max="7156" width="8" style="68" bestFit="1" customWidth="1"/>
    <col min="7157" max="7157" width="9.75" style="68" bestFit="1" customWidth="1"/>
    <col min="7158" max="7372" width="7" style="68" customWidth="1"/>
    <col min="7373" max="7373" width="20.75" style="68" customWidth="1"/>
    <col min="7374" max="7374" width="1.875" style="68" customWidth="1"/>
    <col min="7375" max="7375" width="14.25" style="68" customWidth="1"/>
    <col min="7376" max="7376" width="4.25" style="68" customWidth="1"/>
    <col min="7377" max="7377" width="8.875" style="68" bestFit="1" customWidth="1"/>
    <col min="7378" max="7378" width="6.375" style="68" bestFit="1" customWidth="1"/>
    <col min="7379" max="7379" width="2.125" style="68" customWidth="1"/>
    <col min="7380" max="7380" width="8.5" style="68" bestFit="1" customWidth="1"/>
    <col min="7381" max="7381" width="6.375" style="68" bestFit="1" customWidth="1"/>
    <col min="7382" max="7382" width="2.375" style="68" customWidth="1"/>
    <col min="7383" max="7383" width="9.5" style="68" bestFit="1" customWidth="1"/>
    <col min="7384" max="7384" width="7" style="68" bestFit="1" customWidth="1"/>
    <col min="7385" max="7385" width="1.75" style="68" customWidth="1"/>
    <col min="7386" max="7386" width="8.875" style="68" bestFit="1" customWidth="1"/>
    <col min="7387" max="7387" width="2" style="68" customWidth="1"/>
    <col min="7388" max="7388" width="8.875" style="68" bestFit="1" customWidth="1"/>
    <col min="7389" max="7389" width="6.375" style="68" bestFit="1" customWidth="1"/>
    <col min="7390" max="7390" width="1.375" style="68" customWidth="1"/>
    <col min="7391" max="7391" width="8.5" style="68" bestFit="1" customWidth="1"/>
    <col min="7392" max="7392" width="6.375" style="68" bestFit="1" customWidth="1"/>
    <col min="7393" max="7393" width="1.75" style="68" customWidth="1"/>
    <col min="7394" max="7394" width="9.5" style="68" bestFit="1" customWidth="1"/>
    <col min="7395" max="7395" width="7" style="68" bestFit="1" customWidth="1"/>
    <col min="7396" max="7396" width="1.625" style="68" customWidth="1"/>
    <col min="7397" max="7397" width="7.25" style="68" bestFit="1" customWidth="1"/>
    <col min="7398" max="7398" width="2.625" style="68" customWidth="1"/>
    <col min="7399" max="7399" width="13.25" style="68" customWidth="1"/>
    <col min="7400" max="7400" width="6.375" style="68" bestFit="1" customWidth="1"/>
    <col min="7401" max="7401" width="1.75" style="68" customWidth="1"/>
    <col min="7402" max="7402" width="8.5" style="68"/>
    <col min="7403" max="7403" width="42.25" style="68" bestFit="1" customWidth="1"/>
    <col min="7404" max="7404" width="1.25" style="68" customWidth="1"/>
    <col min="7405" max="7405" width="11.625" style="68" customWidth="1"/>
    <col min="7406" max="7406" width="1.25" style="68" customWidth="1"/>
    <col min="7407" max="7407" width="9.625" style="68" customWidth="1"/>
    <col min="7408" max="7408" width="8.125" style="68" customWidth="1"/>
    <col min="7409" max="7409" width="1.25" style="68" customWidth="1"/>
    <col min="7410" max="7410" width="8.125" style="68" customWidth="1"/>
    <col min="7411" max="7411" width="1.625" style="68" customWidth="1"/>
    <col min="7412" max="7412" width="8" style="68" bestFit="1" customWidth="1"/>
    <col min="7413" max="7413" width="9.75" style="68" bestFit="1" customWidth="1"/>
    <col min="7414" max="7628" width="7" style="68" customWidth="1"/>
    <col min="7629" max="7629" width="20.75" style="68" customWidth="1"/>
    <col min="7630" max="7630" width="1.875" style="68" customWidth="1"/>
    <col min="7631" max="7631" width="14.25" style="68" customWidth="1"/>
    <col min="7632" max="7632" width="4.25" style="68" customWidth="1"/>
    <col min="7633" max="7633" width="8.875" style="68" bestFit="1" customWidth="1"/>
    <col min="7634" max="7634" width="6.375" style="68" bestFit="1" customWidth="1"/>
    <col min="7635" max="7635" width="2.125" style="68" customWidth="1"/>
    <col min="7636" max="7636" width="8.5" style="68" bestFit="1" customWidth="1"/>
    <col min="7637" max="7637" width="6.375" style="68" bestFit="1" customWidth="1"/>
    <col min="7638" max="7638" width="2.375" style="68" customWidth="1"/>
    <col min="7639" max="7639" width="9.5" style="68" bestFit="1" customWidth="1"/>
    <col min="7640" max="7640" width="7" style="68" bestFit="1" customWidth="1"/>
    <col min="7641" max="7641" width="1.75" style="68" customWidth="1"/>
    <col min="7642" max="7642" width="8.875" style="68" bestFit="1" customWidth="1"/>
    <col min="7643" max="7643" width="2" style="68" customWidth="1"/>
    <col min="7644" max="7644" width="8.875" style="68" bestFit="1" customWidth="1"/>
    <col min="7645" max="7645" width="6.375" style="68" bestFit="1" customWidth="1"/>
    <col min="7646" max="7646" width="1.375" style="68" customWidth="1"/>
    <col min="7647" max="7647" width="8.5" style="68" bestFit="1" customWidth="1"/>
    <col min="7648" max="7648" width="6.375" style="68" bestFit="1" customWidth="1"/>
    <col min="7649" max="7649" width="1.75" style="68" customWidth="1"/>
    <col min="7650" max="7650" width="9.5" style="68" bestFit="1" customWidth="1"/>
    <col min="7651" max="7651" width="7" style="68" bestFit="1" customWidth="1"/>
    <col min="7652" max="7652" width="1.625" style="68" customWidth="1"/>
    <col min="7653" max="7653" width="7.25" style="68" bestFit="1" customWidth="1"/>
    <col min="7654" max="7654" width="2.625" style="68" customWidth="1"/>
    <col min="7655" max="7655" width="13.25" style="68" customWidth="1"/>
    <col min="7656" max="7656" width="6.375" style="68" bestFit="1" customWidth="1"/>
    <col min="7657" max="7657" width="1.75" style="68" customWidth="1"/>
    <col min="7658" max="7658" width="8.5" style="68"/>
    <col min="7659" max="7659" width="42.25" style="68" bestFit="1" customWidth="1"/>
    <col min="7660" max="7660" width="1.25" style="68" customWidth="1"/>
    <col min="7661" max="7661" width="11.625" style="68" customWidth="1"/>
    <col min="7662" max="7662" width="1.25" style="68" customWidth="1"/>
    <col min="7663" max="7663" width="9.625" style="68" customWidth="1"/>
    <col min="7664" max="7664" width="8.125" style="68" customWidth="1"/>
    <col min="7665" max="7665" width="1.25" style="68" customWidth="1"/>
    <col min="7666" max="7666" width="8.125" style="68" customWidth="1"/>
    <col min="7667" max="7667" width="1.625" style="68" customWidth="1"/>
    <col min="7668" max="7668" width="8" style="68" bestFit="1" customWidth="1"/>
    <col min="7669" max="7669" width="9.75" style="68" bestFit="1" customWidth="1"/>
    <col min="7670" max="7884" width="7" style="68" customWidth="1"/>
    <col min="7885" max="7885" width="20.75" style="68" customWidth="1"/>
    <col min="7886" max="7886" width="1.875" style="68" customWidth="1"/>
    <col min="7887" max="7887" width="14.25" style="68" customWidth="1"/>
    <col min="7888" max="7888" width="4.25" style="68" customWidth="1"/>
    <col min="7889" max="7889" width="8.875" style="68" bestFit="1" customWidth="1"/>
    <col min="7890" max="7890" width="6.375" style="68" bestFit="1" customWidth="1"/>
    <col min="7891" max="7891" width="2.125" style="68" customWidth="1"/>
    <col min="7892" max="7892" width="8.5" style="68" bestFit="1" customWidth="1"/>
    <col min="7893" max="7893" width="6.375" style="68" bestFit="1" customWidth="1"/>
    <col min="7894" max="7894" width="2.375" style="68" customWidth="1"/>
    <col min="7895" max="7895" width="9.5" style="68" bestFit="1" customWidth="1"/>
    <col min="7896" max="7896" width="7" style="68" bestFit="1" customWidth="1"/>
    <col min="7897" max="7897" width="1.75" style="68" customWidth="1"/>
    <col min="7898" max="7898" width="8.875" style="68" bestFit="1" customWidth="1"/>
    <col min="7899" max="7899" width="2" style="68" customWidth="1"/>
    <col min="7900" max="7900" width="8.875" style="68" bestFit="1" customWidth="1"/>
    <col min="7901" max="7901" width="6.375" style="68" bestFit="1" customWidth="1"/>
    <col min="7902" max="7902" width="1.375" style="68" customWidth="1"/>
    <col min="7903" max="7903" width="8.5" style="68" bestFit="1" customWidth="1"/>
    <col min="7904" max="7904" width="6.375" style="68" bestFit="1" customWidth="1"/>
    <col min="7905" max="7905" width="1.75" style="68" customWidth="1"/>
    <col min="7906" max="7906" width="9.5" style="68" bestFit="1" customWidth="1"/>
    <col min="7907" max="7907" width="7" style="68" bestFit="1" customWidth="1"/>
    <col min="7908" max="7908" width="1.625" style="68" customWidth="1"/>
    <col min="7909" max="7909" width="7.25" style="68" bestFit="1" customWidth="1"/>
    <col min="7910" max="7910" width="2.625" style="68" customWidth="1"/>
    <col min="7911" max="7911" width="13.25" style="68" customWidth="1"/>
    <col min="7912" max="7912" width="6.375" style="68" bestFit="1" customWidth="1"/>
    <col min="7913" max="7913" width="1.75" style="68" customWidth="1"/>
    <col min="7914" max="7914" width="8.5" style="68"/>
    <col min="7915" max="7915" width="42.25" style="68" bestFit="1" customWidth="1"/>
    <col min="7916" max="7916" width="1.25" style="68" customWidth="1"/>
    <col min="7917" max="7917" width="11.625" style="68" customWidth="1"/>
    <col min="7918" max="7918" width="1.25" style="68" customWidth="1"/>
    <col min="7919" max="7919" width="9.625" style="68" customWidth="1"/>
    <col min="7920" max="7920" width="8.125" style="68" customWidth="1"/>
    <col min="7921" max="7921" width="1.25" style="68" customWidth="1"/>
    <col min="7922" max="7922" width="8.125" style="68" customWidth="1"/>
    <col min="7923" max="7923" width="1.625" style="68" customWidth="1"/>
    <col min="7924" max="7924" width="8" style="68" bestFit="1" customWidth="1"/>
    <col min="7925" max="7925" width="9.75" style="68" bestFit="1" customWidth="1"/>
    <col min="7926" max="8140" width="7" style="68" customWidth="1"/>
    <col min="8141" max="8141" width="20.75" style="68" customWidth="1"/>
    <col min="8142" max="8142" width="1.875" style="68" customWidth="1"/>
    <col min="8143" max="8143" width="14.25" style="68" customWidth="1"/>
    <col min="8144" max="8144" width="4.25" style="68" customWidth="1"/>
    <col min="8145" max="8145" width="8.875" style="68" bestFit="1" customWidth="1"/>
    <col min="8146" max="8146" width="6.375" style="68" bestFit="1" customWidth="1"/>
    <col min="8147" max="8147" width="2.125" style="68" customWidth="1"/>
    <col min="8148" max="8148" width="8.5" style="68" bestFit="1" customWidth="1"/>
    <col min="8149" max="8149" width="6.375" style="68" bestFit="1" customWidth="1"/>
    <col min="8150" max="8150" width="2.375" style="68" customWidth="1"/>
    <col min="8151" max="8151" width="9.5" style="68" bestFit="1" customWidth="1"/>
    <col min="8152" max="8152" width="7" style="68" bestFit="1" customWidth="1"/>
    <col min="8153" max="8153" width="1.75" style="68" customWidth="1"/>
    <col min="8154" max="8154" width="8.875" style="68" bestFit="1" customWidth="1"/>
    <col min="8155" max="8155" width="2" style="68" customWidth="1"/>
    <col min="8156" max="8156" width="8.875" style="68" bestFit="1" customWidth="1"/>
    <col min="8157" max="8157" width="6.375" style="68" bestFit="1" customWidth="1"/>
    <col min="8158" max="8158" width="1.375" style="68" customWidth="1"/>
    <col min="8159" max="8159" width="8.5" style="68" bestFit="1" customWidth="1"/>
    <col min="8160" max="8160" width="6.375" style="68" bestFit="1" customWidth="1"/>
    <col min="8161" max="8161" width="1.75" style="68" customWidth="1"/>
    <col min="8162" max="8162" width="9.5" style="68" bestFit="1" customWidth="1"/>
    <col min="8163" max="8163" width="7" style="68" bestFit="1" customWidth="1"/>
    <col min="8164" max="8164" width="1.625" style="68" customWidth="1"/>
    <col min="8165" max="8165" width="7.25" style="68" bestFit="1" customWidth="1"/>
    <col min="8166" max="8166" width="2.625" style="68" customWidth="1"/>
    <col min="8167" max="8167" width="13.25" style="68" customWidth="1"/>
    <col min="8168" max="8168" width="6.375" style="68" bestFit="1" customWidth="1"/>
    <col min="8169" max="8169" width="1.75" style="68" customWidth="1"/>
    <col min="8170" max="8170" width="8.5" style="68"/>
    <col min="8171" max="8171" width="42.25" style="68" bestFit="1" customWidth="1"/>
    <col min="8172" max="8172" width="1.25" style="68" customWidth="1"/>
    <col min="8173" max="8173" width="11.625" style="68" customWidth="1"/>
    <col min="8174" max="8174" width="1.25" style="68" customWidth="1"/>
    <col min="8175" max="8175" width="9.625" style="68" customWidth="1"/>
    <col min="8176" max="8176" width="8.125" style="68" customWidth="1"/>
    <col min="8177" max="8177" width="1.25" style="68" customWidth="1"/>
    <col min="8178" max="8178" width="8.125" style="68" customWidth="1"/>
    <col min="8179" max="8179" width="1.625" style="68" customWidth="1"/>
    <col min="8180" max="8180" width="8" style="68" bestFit="1" customWidth="1"/>
    <col min="8181" max="8181" width="9.75" style="68" bestFit="1" customWidth="1"/>
    <col min="8182" max="8396" width="7" style="68" customWidth="1"/>
    <col min="8397" max="8397" width="20.75" style="68" customWidth="1"/>
    <col min="8398" max="8398" width="1.875" style="68" customWidth="1"/>
    <col min="8399" max="8399" width="14.25" style="68" customWidth="1"/>
    <col min="8400" max="8400" width="4.25" style="68" customWidth="1"/>
    <col min="8401" max="8401" width="8.875" style="68" bestFit="1" customWidth="1"/>
    <col min="8402" max="8402" width="6.375" style="68" bestFit="1" customWidth="1"/>
    <col min="8403" max="8403" width="2.125" style="68" customWidth="1"/>
    <col min="8404" max="8404" width="8.5" style="68" bestFit="1" customWidth="1"/>
    <col min="8405" max="8405" width="6.375" style="68" bestFit="1" customWidth="1"/>
    <col min="8406" max="8406" width="2.375" style="68" customWidth="1"/>
    <col min="8407" max="8407" width="9.5" style="68" bestFit="1" customWidth="1"/>
    <col min="8408" max="8408" width="7" style="68" bestFit="1" customWidth="1"/>
    <col min="8409" max="8409" width="1.75" style="68" customWidth="1"/>
    <col min="8410" max="8410" width="8.875" style="68" bestFit="1" customWidth="1"/>
    <col min="8411" max="8411" width="2" style="68" customWidth="1"/>
    <col min="8412" max="8412" width="8.875" style="68" bestFit="1" customWidth="1"/>
    <col min="8413" max="8413" width="6.375" style="68" bestFit="1" customWidth="1"/>
    <col min="8414" max="8414" width="1.375" style="68" customWidth="1"/>
    <col min="8415" max="8415" width="8.5" style="68" bestFit="1" customWidth="1"/>
    <col min="8416" max="8416" width="6.375" style="68" bestFit="1" customWidth="1"/>
    <col min="8417" max="8417" width="1.75" style="68" customWidth="1"/>
    <col min="8418" max="8418" width="9.5" style="68" bestFit="1" customWidth="1"/>
    <col min="8419" max="8419" width="7" style="68" bestFit="1" customWidth="1"/>
    <col min="8420" max="8420" width="1.625" style="68" customWidth="1"/>
    <col min="8421" max="8421" width="7.25" style="68" bestFit="1" customWidth="1"/>
    <col min="8422" max="8422" width="2.625" style="68" customWidth="1"/>
    <col min="8423" max="8423" width="13.25" style="68" customWidth="1"/>
    <col min="8424" max="8424" width="6.375" style="68" bestFit="1" customWidth="1"/>
    <col min="8425" max="8425" width="1.75" style="68" customWidth="1"/>
    <col min="8426" max="8426" width="8.5" style="68"/>
    <col min="8427" max="8427" width="42.25" style="68" bestFit="1" customWidth="1"/>
    <col min="8428" max="8428" width="1.25" style="68" customWidth="1"/>
    <col min="8429" max="8429" width="11.625" style="68" customWidth="1"/>
    <col min="8430" max="8430" width="1.25" style="68" customWidth="1"/>
    <col min="8431" max="8431" width="9.625" style="68" customWidth="1"/>
    <col min="8432" max="8432" width="8.125" style="68" customWidth="1"/>
    <col min="8433" max="8433" width="1.25" style="68" customWidth="1"/>
    <col min="8434" max="8434" width="8.125" style="68" customWidth="1"/>
    <col min="8435" max="8435" width="1.625" style="68" customWidth="1"/>
    <col min="8436" max="8436" width="8" style="68" bestFit="1" customWidth="1"/>
    <col min="8437" max="8437" width="9.75" style="68" bestFit="1" customWidth="1"/>
    <col min="8438" max="8652" width="7" style="68" customWidth="1"/>
    <col min="8653" max="8653" width="20.75" style="68" customWidth="1"/>
    <col min="8654" max="8654" width="1.875" style="68" customWidth="1"/>
    <col min="8655" max="8655" width="14.25" style="68" customWidth="1"/>
    <col min="8656" max="8656" width="4.25" style="68" customWidth="1"/>
    <col min="8657" max="8657" width="8.875" style="68" bestFit="1" customWidth="1"/>
    <col min="8658" max="8658" width="6.375" style="68" bestFit="1" customWidth="1"/>
    <col min="8659" max="8659" width="2.125" style="68" customWidth="1"/>
    <col min="8660" max="8660" width="8.5" style="68" bestFit="1" customWidth="1"/>
    <col min="8661" max="8661" width="6.375" style="68" bestFit="1" customWidth="1"/>
    <col min="8662" max="8662" width="2.375" style="68" customWidth="1"/>
    <col min="8663" max="8663" width="9.5" style="68" bestFit="1" customWidth="1"/>
    <col min="8664" max="8664" width="7" style="68" bestFit="1" customWidth="1"/>
    <col min="8665" max="8665" width="1.75" style="68" customWidth="1"/>
    <col min="8666" max="8666" width="8.875" style="68" bestFit="1" customWidth="1"/>
    <col min="8667" max="8667" width="2" style="68" customWidth="1"/>
    <col min="8668" max="8668" width="8.875" style="68" bestFit="1" customWidth="1"/>
    <col min="8669" max="8669" width="6.375" style="68" bestFit="1" customWidth="1"/>
    <col min="8670" max="8670" width="1.375" style="68" customWidth="1"/>
    <col min="8671" max="8671" width="8.5" style="68" bestFit="1" customWidth="1"/>
    <col min="8672" max="8672" width="6.375" style="68" bestFit="1" customWidth="1"/>
    <col min="8673" max="8673" width="1.75" style="68" customWidth="1"/>
    <col min="8674" max="8674" width="9.5" style="68" bestFit="1" customWidth="1"/>
    <col min="8675" max="8675" width="7" style="68" bestFit="1" customWidth="1"/>
    <col min="8676" max="8676" width="1.625" style="68" customWidth="1"/>
    <col min="8677" max="8677" width="7.25" style="68" bestFit="1" customWidth="1"/>
    <col min="8678" max="8678" width="2.625" style="68" customWidth="1"/>
    <col min="8679" max="8679" width="13.25" style="68" customWidth="1"/>
    <col min="8680" max="8680" width="6.375" style="68" bestFit="1" customWidth="1"/>
    <col min="8681" max="8681" width="1.75" style="68" customWidth="1"/>
    <col min="8682" max="8682" width="8.5" style="68"/>
    <col min="8683" max="8683" width="42.25" style="68" bestFit="1" customWidth="1"/>
    <col min="8684" max="8684" width="1.25" style="68" customWidth="1"/>
    <col min="8685" max="8685" width="11.625" style="68" customWidth="1"/>
    <col min="8686" max="8686" width="1.25" style="68" customWidth="1"/>
    <col min="8687" max="8687" width="9.625" style="68" customWidth="1"/>
    <col min="8688" max="8688" width="8.125" style="68" customWidth="1"/>
    <col min="8689" max="8689" width="1.25" style="68" customWidth="1"/>
    <col min="8690" max="8690" width="8.125" style="68" customWidth="1"/>
    <col min="8691" max="8691" width="1.625" style="68" customWidth="1"/>
    <col min="8692" max="8692" width="8" style="68" bestFit="1" customWidth="1"/>
    <col min="8693" max="8693" width="9.75" style="68" bestFit="1" customWidth="1"/>
    <col min="8694" max="8908" width="7" style="68" customWidth="1"/>
    <col min="8909" max="8909" width="20.75" style="68" customWidth="1"/>
    <col min="8910" max="8910" width="1.875" style="68" customWidth="1"/>
    <col min="8911" max="8911" width="14.25" style="68" customWidth="1"/>
    <col min="8912" max="8912" width="4.25" style="68" customWidth="1"/>
    <col min="8913" max="8913" width="8.875" style="68" bestFit="1" customWidth="1"/>
    <col min="8914" max="8914" width="6.375" style="68" bestFit="1" customWidth="1"/>
    <col min="8915" max="8915" width="2.125" style="68" customWidth="1"/>
    <col min="8916" max="8916" width="8.5" style="68" bestFit="1" customWidth="1"/>
    <col min="8917" max="8917" width="6.375" style="68" bestFit="1" customWidth="1"/>
    <col min="8918" max="8918" width="2.375" style="68" customWidth="1"/>
    <col min="8919" max="8919" width="9.5" style="68" bestFit="1" customWidth="1"/>
    <col min="8920" max="8920" width="7" style="68" bestFit="1" customWidth="1"/>
    <col min="8921" max="8921" width="1.75" style="68" customWidth="1"/>
    <col min="8922" max="8922" width="8.875" style="68" bestFit="1" customWidth="1"/>
    <col min="8923" max="8923" width="2" style="68" customWidth="1"/>
    <col min="8924" max="8924" width="8.875" style="68" bestFit="1" customWidth="1"/>
    <col min="8925" max="8925" width="6.375" style="68" bestFit="1" customWidth="1"/>
    <col min="8926" max="8926" width="1.375" style="68" customWidth="1"/>
    <col min="8927" max="8927" width="8.5" style="68" bestFit="1" customWidth="1"/>
    <col min="8928" max="8928" width="6.375" style="68" bestFit="1" customWidth="1"/>
    <col min="8929" max="8929" width="1.75" style="68" customWidth="1"/>
    <col min="8930" max="8930" width="9.5" style="68" bestFit="1" customWidth="1"/>
    <col min="8931" max="8931" width="7" style="68" bestFit="1" customWidth="1"/>
    <col min="8932" max="8932" width="1.625" style="68" customWidth="1"/>
    <col min="8933" max="8933" width="7.25" style="68" bestFit="1" customWidth="1"/>
    <col min="8934" max="8934" width="2.625" style="68" customWidth="1"/>
    <col min="8935" max="8935" width="13.25" style="68" customWidth="1"/>
    <col min="8936" max="8936" width="6.375" style="68" bestFit="1" customWidth="1"/>
    <col min="8937" max="8937" width="1.75" style="68" customWidth="1"/>
    <col min="8938" max="8938" width="8.5" style="68"/>
    <col min="8939" max="8939" width="42.25" style="68" bestFit="1" customWidth="1"/>
    <col min="8940" max="8940" width="1.25" style="68" customWidth="1"/>
    <col min="8941" max="8941" width="11.625" style="68" customWidth="1"/>
    <col min="8942" max="8942" width="1.25" style="68" customWidth="1"/>
    <col min="8943" max="8943" width="9.625" style="68" customWidth="1"/>
    <col min="8944" max="8944" width="8.125" style="68" customWidth="1"/>
    <col min="8945" max="8945" width="1.25" style="68" customWidth="1"/>
    <col min="8946" max="8946" width="8.125" style="68" customWidth="1"/>
    <col min="8947" max="8947" width="1.625" style="68" customWidth="1"/>
    <col min="8948" max="8948" width="8" style="68" bestFit="1" customWidth="1"/>
    <col min="8949" max="8949" width="9.75" style="68" bestFit="1" customWidth="1"/>
    <col min="8950" max="9164" width="7" style="68" customWidth="1"/>
    <col min="9165" max="9165" width="20.75" style="68" customWidth="1"/>
    <col min="9166" max="9166" width="1.875" style="68" customWidth="1"/>
    <col min="9167" max="9167" width="14.25" style="68" customWidth="1"/>
    <col min="9168" max="9168" width="4.25" style="68" customWidth="1"/>
    <col min="9169" max="9169" width="8.875" style="68" bestFit="1" customWidth="1"/>
    <col min="9170" max="9170" width="6.375" style="68" bestFit="1" customWidth="1"/>
    <col min="9171" max="9171" width="2.125" style="68" customWidth="1"/>
    <col min="9172" max="9172" width="8.5" style="68" bestFit="1" customWidth="1"/>
    <col min="9173" max="9173" width="6.375" style="68" bestFit="1" customWidth="1"/>
    <col min="9174" max="9174" width="2.375" style="68" customWidth="1"/>
    <col min="9175" max="9175" width="9.5" style="68" bestFit="1" customWidth="1"/>
    <col min="9176" max="9176" width="7" style="68" bestFit="1" customWidth="1"/>
    <col min="9177" max="9177" width="1.75" style="68" customWidth="1"/>
    <col min="9178" max="9178" width="8.875" style="68" bestFit="1" customWidth="1"/>
    <col min="9179" max="9179" width="2" style="68" customWidth="1"/>
    <col min="9180" max="9180" width="8.875" style="68" bestFit="1" customWidth="1"/>
    <col min="9181" max="9181" width="6.375" style="68" bestFit="1" customWidth="1"/>
    <col min="9182" max="9182" width="1.375" style="68" customWidth="1"/>
    <col min="9183" max="9183" width="8.5" style="68" bestFit="1" customWidth="1"/>
    <col min="9184" max="9184" width="6.375" style="68" bestFit="1" customWidth="1"/>
    <col min="9185" max="9185" width="1.75" style="68" customWidth="1"/>
    <col min="9186" max="9186" width="9.5" style="68" bestFit="1" customWidth="1"/>
    <col min="9187" max="9187" width="7" style="68" bestFit="1" customWidth="1"/>
    <col min="9188" max="9188" width="1.625" style="68" customWidth="1"/>
    <col min="9189" max="9189" width="7.25" style="68" bestFit="1" customWidth="1"/>
    <col min="9190" max="9190" width="2.625" style="68" customWidth="1"/>
    <col min="9191" max="9191" width="13.25" style="68" customWidth="1"/>
    <col min="9192" max="9192" width="6.375" style="68" bestFit="1" customWidth="1"/>
    <col min="9193" max="9193" width="1.75" style="68" customWidth="1"/>
    <col min="9194" max="9194" width="8.5" style="68"/>
    <col min="9195" max="9195" width="42.25" style="68" bestFit="1" customWidth="1"/>
    <col min="9196" max="9196" width="1.25" style="68" customWidth="1"/>
    <col min="9197" max="9197" width="11.625" style="68" customWidth="1"/>
    <col min="9198" max="9198" width="1.25" style="68" customWidth="1"/>
    <col min="9199" max="9199" width="9.625" style="68" customWidth="1"/>
    <col min="9200" max="9200" width="8.125" style="68" customWidth="1"/>
    <col min="9201" max="9201" width="1.25" style="68" customWidth="1"/>
    <col min="9202" max="9202" width="8.125" style="68" customWidth="1"/>
    <col min="9203" max="9203" width="1.625" style="68" customWidth="1"/>
    <col min="9204" max="9204" width="8" style="68" bestFit="1" customWidth="1"/>
    <col min="9205" max="9205" width="9.75" style="68" bestFit="1" customWidth="1"/>
    <col min="9206" max="9420" width="7" style="68" customWidth="1"/>
    <col min="9421" max="9421" width="20.75" style="68" customWidth="1"/>
    <col min="9422" max="9422" width="1.875" style="68" customWidth="1"/>
    <col min="9423" max="9423" width="14.25" style="68" customWidth="1"/>
    <col min="9424" max="9424" width="4.25" style="68" customWidth="1"/>
    <col min="9425" max="9425" width="8.875" style="68" bestFit="1" customWidth="1"/>
    <col min="9426" max="9426" width="6.375" style="68" bestFit="1" customWidth="1"/>
    <col min="9427" max="9427" width="2.125" style="68" customWidth="1"/>
    <col min="9428" max="9428" width="8.5" style="68" bestFit="1" customWidth="1"/>
    <col min="9429" max="9429" width="6.375" style="68" bestFit="1" customWidth="1"/>
    <col min="9430" max="9430" width="2.375" style="68" customWidth="1"/>
    <col min="9431" max="9431" width="9.5" style="68" bestFit="1" customWidth="1"/>
    <col min="9432" max="9432" width="7" style="68" bestFit="1" customWidth="1"/>
    <col min="9433" max="9433" width="1.75" style="68" customWidth="1"/>
    <col min="9434" max="9434" width="8.875" style="68" bestFit="1" customWidth="1"/>
    <col min="9435" max="9435" width="2" style="68" customWidth="1"/>
    <col min="9436" max="9436" width="8.875" style="68" bestFit="1" customWidth="1"/>
    <col min="9437" max="9437" width="6.375" style="68" bestFit="1" customWidth="1"/>
    <col min="9438" max="9438" width="1.375" style="68" customWidth="1"/>
    <col min="9439" max="9439" width="8.5" style="68" bestFit="1" customWidth="1"/>
    <col min="9440" max="9440" width="6.375" style="68" bestFit="1" customWidth="1"/>
    <col min="9441" max="9441" width="1.75" style="68" customWidth="1"/>
    <col min="9442" max="9442" width="9.5" style="68" bestFit="1" customWidth="1"/>
    <col min="9443" max="9443" width="7" style="68" bestFit="1" customWidth="1"/>
    <col min="9444" max="9444" width="1.625" style="68" customWidth="1"/>
    <col min="9445" max="9445" width="7.25" style="68" bestFit="1" customWidth="1"/>
    <col min="9446" max="9446" width="2.625" style="68" customWidth="1"/>
    <col min="9447" max="9447" width="13.25" style="68" customWidth="1"/>
    <col min="9448" max="9448" width="6.375" style="68" bestFit="1" customWidth="1"/>
    <col min="9449" max="9449" width="1.75" style="68" customWidth="1"/>
    <col min="9450" max="9450" width="8.5" style="68"/>
    <col min="9451" max="9451" width="42.25" style="68" bestFit="1" customWidth="1"/>
    <col min="9452" max="9452" width="1.25" style="68" customWidth="1"/>
    <col min="9453" max="9453" width="11.625" style="68" customWidth="1"/>
    <col min="9454" max="9454" width="1.25" style="68" customWidth="1"/>
    <col min="9455" max="9455" width="9.625" style="68" customWidth="1"/>
    <col min="9456" max="9456" width="8.125" style="68" customWidth="1"/>
    <col min="9457" max="9457" width="1.25" style="68" customWidth="1"/>
    <col min="9458" max="9458" width="8.125" style="68" customWidth="1"/>
    <col min="9459" max="9459" width="1.625" style="68" customWidth="1"/>
    <col min="9460" max="9460" width="8" style="68" bestFit="1" customWidth="1"/>
    <col min="9461" max="9461" width="9.75" style="68" bestFit="1" customWidth="1"/>
    <col min="9462" max="9676" width="7" style="68" customWidth="1"/>
    <col min="9677" max="9677" width="20.75" style="68" customWidth="1"/>
    <col min="9678" max="9678" width="1.875" style="68" customWidth="1"/>
    <col min="9679" max="9679" width="14.25" style="68" customWidth="1"/>
    <col min="9680" max="9680" width="4.25" style="68" customWidth="1"/>
    <col min="9681" max="9681" width="8.875" style="68" bestFit="1" customWidth="1"/>
    <col min="9682" max="9682" width="6.375" style="68" bestFit="1" customWidth="1"/>
    <col min="9683" max="9683" width="2.125" style="68" customWidth="1"/>
    <col min="9684" max="9684" width="8.5" style="68" bestFit="1" customWidth="1"/>
    <col min="9685" max="9685" width="6.375" style="68" bestFit="1" customWidth="1"/>
    <col min="9686" max="9686" width="2.375" style="68" customWidth="1"/>
    <col min="9687" max="9687" width="9.5" style="68" bestFit="1" customWidth="1"/>
    <col min="9688" max="9688" width="7" style="68" bestFit="1" customWidth="1"/>
    <col min="9689" max="9689" width="1.75" style="68" customWidth="1"/>
    <col min="9690" max="9690" width="8.875" style="68" bestFit="1" customWidth="1"/>
    <col min="9691" max="9691" width="2" style="68" customWidth="1"/>
    <col min="9692" max="9692" width="8.875" style="68" bestFit="1" customWidth="1"/>
    <col min="9693" max="9693" width="6.375" style="68" bestFit="1" customWidth="1"/>
    <col min="9694" max="9694" width="1.375" style="68" customWidth="1"/>
    <col min="9695" max="9695" width="8.5" style="68" bestFit="1" customWidth="1"/>
    <col min="9696" max="9696" width="6.375" style="68" bestFit="1" customWidth="1"/>
    <col min="9697" max="9697" width="1.75" style="68" customWidth="1"/>
    <col min="9698" max="9698" width="9.5" style="68" bestFit="1" customWidth="1"/>
    <col min="9699" max="9699" width="7" style="68" bestFit="1" customWidth="1"/>
    <col min="9700" max="9700" width="1.625" style="68" customWidth="1"/>
    <col min="9701" max="9701" width="7.25" style="68" bestFit="1" customWidth="1"/>
    <col min="9702" max="9702" width="2.625" style="68" customWidth="1"/>
    <col min="9703" max="9703" width="13.25" style="68" customWidth="1"/>
    <col min="9704" max="9704" width="6.375" style="68" bestFit="1" customWidth="1"/>
    <col min="9705" max="9705" width="1.75" style="68" customWidth="1"/>
    <col min="9706" max="9706" width="8.5" style="68"/>
    <col min="9707" max="9707" width="42.25" style="68" bestFit="1" customWidth="1"/>
    <col min="9708" max="9708" width="1.25" style="68" customWidth="1"/>
    <col min="9709" max="9709" width="11.625" style="68" customWidth="1"/>
    <col min="9710" max="9710" width="1.25" style="68" customWidth="1"/>
    <col min="9711" max="9711" width="9.625" style="68" customWidth="1"/>
    <col min="9712" max="9712" width="8.125" style="68" customWidth="1"/>
    <col min="9713" max="9713" width="1.25" style="68" customWidth="1"/>
    <col min="9714" max="9714" width="8.125" style="68" customWidth="1"/>
    <col min="9715" max="9715" width="1.625" style="68" customWidth="1"/>
    <col min="9716" max="9716" width="8" style="68" bestFit="1" customWidth="1"/>
    <col min="9717" max="9717" width="9.75" style="68" bestFit="1" customWidth="1"/>
    <col min="9718" max="9932" width="7" style="68" customWidth="1"/>
    <col min="9933" max="9933" width="20.75" style="68" customWidth="1"/>
    <col min="9934" max="9934" width="1.875" style="68" customWidth="1"/>
    <col min="9935" max="9935" width="14.25" style="68" customWidth="1"/>
    <col min="9936" max="9936" width="4.25" style="68" customWidth="1"/>
    <col min="9937" max="9937" width="8.875" style="68" bestFit="1" customWidth="1"/>
    <col min="9938" max="9938" width="6.375" style="68" bestFit="1" customWidth="1"/>
    <col min="9939" max="9939" width="2.125" style="68" customWidth="1"/>
    <col min="9940" max="9940" width="8.5" style="68" bestFit="1" customWidth="1"/>
    <col min="9941" max="9941" width="6.375" style="68" bestFit="1" customWidth="1"/>
    <col min="9942" max="9942" width="2.375" style="68" customWidth="1"/>
    <col min="9943" max="9943" width="9.5" style="68" bestFit="1" customWidth="1"/>
    <col min="9944" max="9944" width="7" style="68" bestFit="1" customWidth="1"/>
    <col min="9945" max="9945" width="1.75" style="68" customWidth="1"/>
    <col min="9946" max="9946" width="8.875" style="68" bestFit="1" customWidth="1"/>
    <col min="9947" max="9947" width="2" style="68" customWidth="1"/>
    <col min="9948" max="9948" width="8.875" style="68" bestFit="1" customWidth="1"/>
    <col min="9949" max="9949" width="6.375" style="68" bestFit="1" customWidth="1"/>
    <col min="9950" max="9950" width="1.375" style="68" customWidth="1"/>
    <col min="9951" max="9951" width="8.5" style="68" bestFit="1" customWidth="1"/>
    <col min="9952" max="9952" width="6.375" style="68" bestFit="1" customWidth="1"/>
    <col min="9953" max="9953" width="1.75" style="68" customWidth="1"/>
    <col min="9954" max="9954" width="9.5" style="68" bestFit="1" customWidth="1"/>
    <col min="9955" max="9955" width="7" style="68" bestFit="1" customWidth="1"/>
    <col min="9956" max="9956" width="1.625" style="68" customWidth="1"/>
    <col min="9957" max="9957" width="7.25" style="68" bestFit="1" customWidth="1"/>
    <col min="9958" max="9958" width="2.625" style="68" customWidth="1"/>
    <col min="9959" max="9959" width="13.25" style="68" customWidth="1"/>
    <col min="9960" max="9960" width="6.375" style="68" bestFit="1" customWidth="1"/>
    <col min="9961" max="9961" width="1.75" style="68" customWidth="1"/>
    <col min="9962" max="9962" width="8.5" style="68"/>
    <col min="9963" max="9963" width="42.25" style="68" bestFit="1" customWidth="1"/>
    <col min="9964" max="9964" width="1.25" style="68" customWidth="1"/>
    <col min="9965" max="9965" width="11.625" style="68" customWidth="1"/>
    <col min="9966" max="9966" width="1.25" style="68" customWidth="1"/>
    <col min="9967" max="9967" width="9.625" style="68" customWidth="1"/>
    <col min="9968" max="9968" width="8.125" style="68" customWidth="1"/>
    <col min="9969" max="9969" width="1.25" style="68" customWidth="1"/>
    <col min="9970" max="9970" width="8.125" style="68" customWidth="1"/>
    <col min="9971" max="9971" width="1.625" style="68" customWidth="1"/>
    <col min="9972" max="9972" width="8" style="68" bestFit="1" customWidth="1"/>
    <col min="9973" max="9973" width="9.75" style="68" bestFit="1" customWidth="1"/>
    <col min="9974" max="10188" width="7" style="68" customWidth="1"/>
    <col min="10189" max="10189" width="20.75" style="68" customWidth="1"/>
    <col min="10190" max="10190" width="1.875" style="68" customWidth="1"/>
    <col min="10191" max="10191" width="14.25" style="68" customWidth="1"/>
    <col min="10192" max="10192" width="4.25" style="68" customWidth="1"/>
    <col min="10193" max="10193" width="8.875" style="68" bestFit="1" customWidth="1"/>
    <col min="10194" max="10194" width="6.375" style="68" bestFit="1" customWidth="1"/>
    <col min="10195" max="10195" width="2.125" style="68" customWidth="1"/>
    <col min="10196" max="10196" width="8.5" style="68" bestFit="1" customWidth="1"/>
    <col min="10197" max="10197" width="6.375" style="68" bestFit="1" customWidth="1"/>
    <col min="10198" max="10198" width="2.375" style="68" customWidth="1"/>
    <col min="10199" max="10199" width="9.5" style="68" bestFit="1" customWidth="1"/>
    <col min="10200" max="10200" width="7" style="68" bestFit="1" customWidth="1"/>
    <col min="10201" max="10201" width="1.75" style="68" customWidth="1"/>
    <col min="10202" max="10202" width="8.875" style="68" bestFit="1" customWidth="1"/>
    <col min="10203" max="10203" width="2" style="68" customWidth="1"/>
    <col min="10204" max="10204" width="8.875" style="68" bestFit="1" customWidth="1"/>
    <col min="10205" max="10205" width="6.375" style="68" bestFit="1" customWidth="1"/>
    <col min="10206" max="10206" width="1.375" style="68" customWidth="1"/>
    <col min="10207" max="10207" width="8.5" style="68" bestFit="1" customWidth="1"/>
    <col min="10208" max="10208" width="6.375" style="68" bestFit="1" customWidth="1"/>
    <col min="10209" max="10209" width="1.75" style="68" customWidth="1"/>
    <col min="10210" max="10210" width="9.5" style="68" bestFit="1" customWidth="1"/>
    <col min="10211" max="10211" width="7" style="68" bestFit="1" customWidth="1"/>
    <col min="10212" max="10212" width="1.625" style="68" customWidth="1"/>
    <col min="10213" max="10213" width="7.25" style="68" bestFit="1" customWidth="1"/>
    <col min="10214" max="10214" width="2.625" style="68" customWidth="1"/>
    <col min="10215" max="10215" width="13.25" style="68" customWidth="1"/>
    <col min="10216" max="10216" width="6.375" style="68" bestFit="1" customWidth="1"/>
    <col min="10217" max="10217" width="1.75" style="68" customWidth="1"/>
    <col min="10218" max="10218" width="8.5" style="68"/>
    <col min="10219" max="10219" width="42.25" style="68" bestFit="1" customWidth="1"/>
    <col min="10220" max="10220" width="1.25" style="68" customWidth="1"/>
    <col min="10221" max="10221" width="11.625" style="68" customWidth="1"/>
    <col min="10222" max="10222" width="1.25" style="68" customWidth="1"/>
    <col min="10223" max="10223" width="9.625" style="68" customWidth="1"/>
    <col min="10224" max="10224" width="8.125" style="68" customWidth="1"/>
    <col min="10225" max="10225" width="1.25" style="68" customWidth="1"/>
    <col min="10226" max="10226" width="8.125" style="68" customWidth="1"/>
    <col min="10227" max="10227" width="1.625" style="68" customWidth="1"/>
    <col min="10228" max="10228" width="8" style="68" bestFit="1" customWidth="1"/>
    <col min="10229" max="10229" width="9.75" style="68" bestFit="1" customWidth="1"/>
    <col min="10230" max="10444" width="7" style="68" customWidth="1"/>
    <col min="10445" max="10445" width="20.75" style="68" customWidth="1"/>
    <col min="10446" max="10446" width="1.875" style="68" customWidth="1"/>
    <col min="10447" max="10447" width="14.25" style="68" customWidth="1"/>
    <col min="10448" max="10448" width="4.25" style="68" customWidth="1"/>
    <col min="10449" max="10449" width="8.875" style="68" bestFit="1" customWidth="1"/>
    <col min="10450" max="10450" width="6.375" style="68" bestFit="1" customWidth="1"/>
    <col min="10451" max="10451" width="2.125" style="68" customWidth="1"/>
    <col min="10452" max="10452" width="8.5" style="68" bestFit="1" customWidth="1"/>
    <col min="10453" max="10453" width="6.375" style="68" bestFit="1" customWidth="1"/>
    <col min="10454" max="10454" width="2.375" style="68" customWidth="1"/>
    <col min="10455" max="10455" width="9.5" style="68" bestFit="1" customWidth="1"/>
    <col min="10456" max="10456" width="7" style="68" bestFit="1" customWidth="1"/>
    <col min="10457" max="10457" width="1.75" style="68" customWidth="1"/>
    <col min="10458" max="10458" width="8.875" style="68" bestFit="1" customWidth="1"/>
    <col min="10459" max="10459" width="2" style="68" customWidth="1"/>
    <col min="10460" max="10460" width="8.875" style="68" bestFit="1" customWidth="1"/>
    <col min="10461" max="10461" width="6.375" style="68" bestFit="1" customWidth="1"/>
    <col min="10462" max="10462" width="1.375" style="68" customWidth="1"/>
    <col min="10463" max="10463" width="8.5" style="68" bestFit="1" customWidth="1"/>
    <col min="10464" max="10464" width="6.375" style="68" bestFit="1" customWidth="1"/>
    <col min="10465" max="10465" width="1.75" style="68" customWidth="1"/>
    <col min="10466" max="10466" width="9.5" style="68" bestFit="1" customWidth="1"/>
    <col min="10467" max="10467" width="7" style="68" bestFit="1" customWidth="1"/>
    <col min="10468" max="10468" width="1.625" style="68" customWidth="1"/>
    <col min="10469" max="10469" width="7.25" style="68" bestFit="1" customWidth="1"/>
    <col min="10470" max="10470" width="2.625" style="68" customWidth="1"/>
    <col min="10471" max="10471" width="13.25" style="68" customWidth="1"/>
    <col min="10472" max="10472" width="6.375" style="68" bestFit="1" customWidth="1"/>
    <col min="10473" max="10473" width="1.75" style="68" customWidth="1"/>
    <col min="10474" max="10474" width="8.5" style="68"/>
    <col min="10475" max="10475" width="42.25" style="68" bestFit="1" customWidth="1"/>
    <col min="10476" max="10476" width="1.25" style="68" customWidth="1"/>
    <col min="10477" max="10477" width="11.625" style="68" customWidth="1"/>
    <col min="10478" max="10478" width="1.25" style="68" customWidth="1"/>
    <col min="10479" max="10479" width="9.625" style="68" customWidth="1"/>
    <col min="10480" max="10480" width="8.125" style="68" customWidth="1"/>
    <col min="10481" max="10481" width="1.25" style="68" customWidth="1"/>
    <col min="10482" max="10482" width="8.125" style="68" customWidth="1"/>
    <col min="10483" max="10483" width="1.625" style="68" customWidth="1"/>
    <col min="10484" max="10484" width="8" style="68" bestFit="1" customWidth="1"/>
    <col min="10485" max="10485" width="9.75" style="68" bestFit="1" customWidth="1"/>
    <col min="10486" max="10700" width="7" style="68" customWidth="1"/>
    <col min="10701" max="10701" width="20.75" style="68" customWidth="1"/>
    <col min="10702" max="10702" width="1.875" style="68" customWidth="1"/>
    <col min="10703" max="10703" width="14.25" style="68" customWidth="1"/>
    <col min="10704" max="10704" width="4.25" style="68" customWidth="1"/>
    <col min="10705" max="10705" width="8.875" style="68" bestFit="1" customWidth="1"/>
    <col min="10706" max="10706" width="6.375" style="68" bestFit="1" customWidth="1"/>
    <col min="10707" max="10707" width="2.125" style="68" customWidth="1"/>
    <col min="10708" max="10708" width="8.5" style="68" bestFit="1" customWidth="1"/>
    <col min="10709" max="10709" width="6.375" style="68" bestFit="1" customWidth="1"/>
    <col min="10710" max="10710" width="2.375" style="68" customWidth="1"/>
    <col min="10711" max="10711" width="9.5" style="68" bestFit="1" customWidth="1"/>
    <col min="10712" max="10712" width="7" style="68" bestFit="1" customWidth="1"/>
    <col min="10713" max="10713" width="1.75" style="68" customWidth="1"/>
    <col min="10714" max="10714" width="8.875" style="68" bestFit="1" customWidth="1"/>
    <col min="10715" max="10715" width="2" style="68" customWidth="1"/>
    <col min="10716" max="10716" width="8.875" style="68" bestFit="1" customWidth="1"/>
    <col min="10717" max="10717" width="6.375" style="68" bestFit="1" customWidth="1"/>
    <col min="10718" max="10718" width="1.375" style="68" customWidth="1"/>
    <col min="10719" max="10719" width="8.5" style="68" bestFit="1" customWidth="1"/>
    <col min="10720" max="10720" width="6.375" style="68" bestFit="1" customWidth="1"/>
    <col min="10721" max="10721" width="1.75" style="68" customWidth="1"/>
    <col min="10722" max="10722" width="9.5" style="68" bestFit="1" customWidth="1"/>
    <col min="10723" max="10723" width="7" style="68" bestFit="1" customWidth="1"/>
    <col min="10724" max="10724" width="1.625" style="68" customWidth="1"/>
    <col min="10725" max="10725" width="7.25" style="68" bestFit="1" customWidth="1"/>
    <col min="10726" max="10726" width="2.625" style="68" customWidth="1"/>
    <col min="10727" max="10727" width="13.25" style="68" customWidth="1"/>
    <col min="10728" max="10728" width="6.375" style="68" bestFit="1" customWidth="1"/>
    <col min="10729" max="10729" width="1.75" style="68" customWidth="1"/>
    <col min="10730" max="10730" width="8.5" style="68"/>
    <col min="10731" max="10731" width="42.25" style="68" bestFit="1" customWidth="1"/>
    <col min="10732" max="10732" width="1.25" style="68" customWidth="1"/>
    <col min="10733" max="10733" width="11.625" style="68" customWidth="1"/>
    <col min="10734" max="10734" width="1.25" style="68" customWidth="1"/>
    <col min="10735" max="10735" width="9.625" style="68" customWidth="1"/>
    <col min="10736" max="10736" width="8.125" style="68" customWidth="1"/>
    <col min="10737" max="10737" width="1.25" style="68" customWidth="1"/>
    <col min="10738" max="10738" width="8.125" style="68" customWidth="1"/>
    <col min="10739" max="10739" width="1.625" style="68" customWidth="1"/>
    <col min="10740" max="10740" width="8" style="68" bestFit="1" customWidth="1"/>
    <col min="10741" max="10741" width="9.75" style="68" bestFit="1" customWidth="1"/>
    <col min="10742" max="10956" width="7" style="68" customWidth="1"/>
    <col min="10957" max="10957" width="20.75" style="68" customWidth="1"/>
    <col min="10958" max="10958" width="1.875" style="68" customWidth="1"/>
    <col min="10959" max="10959" width="14.25" style="68" customWidth="1"/>
    <col min="10960" max="10960" width="4.25" style="68" customWidth="1"/>
    <col min="10961" max="10961" width="8.875" style="68" bestFit="1" customWidth="1"/>
    <col min="10962" max="10962" width="6.375" style="68" bestFit="1" customWidth="1"/>
    <col min="10963" max="10963" width="2.125" style="68" customWidth="1"/>
    <col min="10964" max="10964" width="8.5" style="68" bestFit="1" customWidth="1"/>
    <col min="10965" max="10965" width="6.375" style="68" bestFit="1" customWidth="1"/>
    <col min="10966" max="10966" width="2.375" style="68" customWidth="1"/>
    <col min="10967" max="10967" width="9.5" style="68" bestFit="1" customWidth="1"/>
    <col min="10968" max="10968" width="7" style="68" bestFit="1" customWidth="1"/>
    <col min="10969" max="10969" width="1.75" style="68" customWidth="1"/>
    <col min="10970" max="10970" width="8.875" style="68" bestFit="1" customWidth="1"/>
    <col min="10971" max="10971" width="2" style="68" customWidth="1"/>
    <col min="10972" max="10972" width="8.875" style="68" bestFit="1" customWidth="1"/>
    <col min="10973" max="10973" width="6.375" style="68" bestFit="1" customWidth="1"/>
    <col min="10974" max="10974" width="1.375" style="68" customWidth="1"/>
    <col min="10975" max="10975" width="8.5" style="68" bestFit="1" customWidth="1"/>
    <col min="10976" max="10976" width="6.375" style="68" bestFit="1" customWidth="1"/>
    <col min="10977" max="10977" width="1.75" style="68" customWidth="1"/>
    <col min="10978" max="10978" width="9.5" style="68" bestFit="1" customWidth="1"/>
    <col min="10979" max="10979" width="7" style="68" bestFit="1" customWidth="1"/>
    <col min="10980" max="10980" width="1.625" style="68" customWidth="1"/>
    <col min="10981" max="10981" width="7.25" style="68" bestFit="1" customWidth="1"/>
    <col min="10982" max="10982" width="2.625" style="68" customWidth="1"/>
    <col min="10983" max="10983" width="13.25" style="68" customWidth="1"/>
    <col min="10984" max="10984" width="6.375" style="68" bestFit="1" customWidth="1"/>
    <col min="10985" max="10985" width="1.75" style="68" customWidth="1"/>
    <col min="10986" max="10986" width="8.5" style="68"/>
    <col min="10987" max="10987" width="42.25" style="68" bestFit="1" customWidth="1"/>
    <col min="10988" max="10988" width="1.25" style="68" customWidth="1"/>
    <col min="10989" max="10989" width="11.625" style="68" customWidth="1"/>
    <col min="10990" max="10990" width="1.25" style="68" customWidth="1"/>
    <col min="10991" max="10991" width="9.625" style="68" customWidth="1"/>
    <col min="10992" max="10992" width="8.125" style="68" customWidth="1"/>
    <col min="10993" max="10993" width="1.25" style="68" customWidth="1"/>
    <col min="10994" max="10994" width="8.125" style="68" customWidth="1"/>
    <col min="10995" max="10995" width="1.625" style="68" customWidth="1"/>
    <col min="10996" max="10996" width="8" style="68" bestFit="1" customWidth="1"/>
    <col min="10997" max="10997" width="9.75" style="68" bestFit="1" customWidth="1"/>
    <col min="10998" max="11212" width="7" style="68" customWidth="1"/>
    <col min="11213" max="11213" width="20.75" style="68" customWidth="1"/>
    <col min="11214" max="11214" width="1.875" style="68" customWidth="1"/>
    <col min="11215" max="11215" width="14.25" style="68" customWidth="1"/>
    <col min="11216" max="11216" width="4.25" style="68" customWidth="1"/>
    <col min="11217" max="11217" width="8.875" style="68" bestFit="1" customWidth="1"/>
    <col min="11218" max="11218" width="6.375" style="68" bestFit="1" customWidth="1"/>
    <col min="11219" max="11219" width="2.125" style="68" customWidth="1"/>
    <col min="11220" max="11220" width="8.5" style="68" bestFit="1" customWidth="1"/>
    <col min="11221" max="11221" width="6.375" style="68" bestFit="1" customWidth="1"/>
    <col min="11222" max="11222" width="2.375" style="68" customWidth="1"/>
    <col min="11223" max="11223" width="9.5" style="68" bestFit="1" customWidth="1"/>
    <col min="11224" max="11224" width="7" style="68" bestFit="1" customWidth="1"/>
    <col min="11225" max="11225" width="1.75" style="68" customWidth="1"/>
    <col min="11226" max="11226" width="8.875" style="68" bestFit="1" customWidth="1"/>
    <col min="11227" max="11227" width="2" style="68" customWidth="1"/>
    <col min="11228" max="11228" width="8.875" style="68" bestFit="1" customWidth="1"/>
    <col min="11229" max="11229" width="6.375" style="68" bestFit="1" customWidth="1"/>
    <col min="11230" max="11230" width="1.375" style="68" customWidth="1"/>
    <col min="11231" max="11231" width="8.5" style="68" bestFit="1" customWidth="1"/>
    <col min="11232" max="11232" width="6.375" style="68" bestFit="1" customWidth="1"/>
    <col min="11233" max="11233" width="1.75" style="68" customWidth="1"/>
    <col min="11234" max="11234" width="9.5" style="68" bestFit="1" customWidth="1"/>
    <col min="11235" max="11235" width="7" style="68" bestFit="1" customWidth="1"/>
    <col min="11236" max="11236" width="1.625" style="68" customWidth="1"/>
    <col min="11237" max="11237" width="7.25" style="68" bestFit="1" customWidth="1"/>
    <col min="11238" max="11238" width="2.625" style="68" customWidth="1"/>
    <col min="11239" max="11239" width="13.25" style="68" customWidth="1"/>
    <col min="11240" max="11240" width="6.375" style="68" bestFit="1" customWidth="1"/>
    <col min="11241" max="11241" width="1.75" style="68" customWidth="1"/>
    <col min="11242" max="11242" width="8.5" style="68"/>
    <col min="11243" max="11243" width="42.25" style="68" bestFit="1" customWidth="1"/>
    <col min="11244" max="11244" width="1.25" style="68" customWidth="1"/>
    <col min="11245" max="11245" width="11.625" style="68" customWidth="1"/>
    <col min="11246" max="11246" width="1.25" style="68" customWidth="1"/>
    <col min="11247" max="11247" width="9.625" style="68" customWidth="1"/>
    <col min="11248" max="11248" width="8.125" style="68" customWidth="1"/>
    <col min="11249" max="11249" width="1.25" style="68" customWidth="1"/>
    <col min="11250" max="11250" width="8.125" style="68" customWidth="1"/>
    <col min="11251" max="11251" width="1.625" style="68" customWidth="1"/>
    <col min="11252" max="11252" width="8" style="68" bestFit="1" customWidth="1"/>
    <col min="11253" max="11253" width="9.75" style="68" bestFit="1" customWidth="1"/>
    <col min="11254" max="11468" width="7" style="68" customWidth="1"/>
    <col min="11469" max="11469" width="20.75" style="68" customWidth="1"/>
    <col min="11470" max="11470" width="1.875" style="68" customWidth="1"/>
    <col min="11471" max="11471" width="14.25" style="68" customWidth="1"/>
    <col min="11472" max="11472" width="4.25" style="68" customWidth="1"/>
    <col min="11473" max="11473" width="8.875" style="68" bestFit="1" customWidth="1"/>
    <col min="11474" max="11474" width="6.375" style="68" bestFit="1" customWidth="1"/>
    <col min="11475" max="11475" width="2.125" style="68" customWidth="1"/>
    <col min="11476" max="11476" width="8.5" style="68" bestFit="1" customWidth="1"/>
    <col min="11477" max="11477" width="6.375" style="68" bestFit="1" customWidth="1"/>
    <col min="11478" max="11478" width="2.375" style="68" customWidth="1"/>
    <col min="11479" max="11479" width="9.5" style="68" bestFit="1" customWidth="1"/>
    <col min="11480" max="11480" width="7" style="68" bestFit="1" customWidth="1"/>
    <col min="11481" max="11481" width="1.75" style="68" customWidth="1"/>
    <col min="11482" max="11482" width="8.875" style="68" bestFit="1" customWidth="1"/>
    <col min="11483" max="11483" width="2" style="68" customWidth="1"/>
    <col min="11484" max="11484" width="8.875" style="68" bestFit="1" customWidth="1"/>
    <col min="11485" max="11485" width="6.375" style="68" bestFit="1" customWidth="1"/>
    <col min="11486" max="11486" width="1.375" style="68" customWidth="1"/>
    <col min="11487" max="11487" width="8.5" style="68" bestFit="1" customWidth="1"/>
    <col min="11488" max="11488" width="6.375" style="68" bestFit="1" customWidth="1"/>
    <col min="11489" max="11489" width="1.75" style="68" customWidth="1"/>
    <col min="11490" max="11490" width="9.5" style="68" bestFit="1" customWidth="1"/>
    <col min="11491" max="11491" width="7" style="68" bestFit="1" customWidth="1"/>
    <col min="11492" max="11492" width="1.625" style="68" customWidth="1"/>
    <col min="11493" max="11493" width="7.25" style="68" bestFit="1" customWidth="1"/>
    <col min="11494" max="11494" width="2.625" style="68" customWidth="1"/>
    <col min="11495" max="11495" width="13.25" style="68" customWidth="1"/>
    <col min="11496" max="11496" width="6.375" style="68" bestFit="1" customWidth="1"/>
    <col min="11497" max="11497" width="1.75" style="68" customWidth="1"/>
    <col min="11498" max="11498" width="8.5" style="68"/>
    <col min="11499" max="11499" width="42.25" style="68" bestFit="1" customWidth="1"/>
    <col min="11500" max="11500" width="1.25" style="68" customWidth="1"/>
    <col min="11501" max="11501" width="11.625" style="68" customWidth="1"/>
    <col min="11502" max="11502" width="1.25" style="68" customWidth="1"/>
    <col min="11503" max="11503" width="9.625" style="68" customWidth="1"/>
    <col min="11504" max="11504" width="8.125" style="68" customWidth="1"/>
    <col min="11505" max="11505" width="1.25" style="68" customWidth="1"/>
    <col min="11506" max="11506" width="8.125" style="68" customWidth="1"/>
    <col min="11507" max="11507" width="1.625" style="68" customWidth="1"/>
    <col min="11508" max="11508" width="8" style="68" bestFit="1" customWidth="1"/>
    <col min="11509" max="11509" width="9.75" style="68" bestFit="1" customWidth="1"/>
    <col min="11510" max="11724" width="7" style="68" customWidth="1"/>
    <col min="11725" max="11725" width="20.75" style="68" customWidth="1"/>
    <col min="11726" max="11726" width="1.875" style="68" customWidth="1"/>
    <col min="11727" max="11727" width="14.25" style="68" customWidth="1"/>
    <col min="11728" max="11728" width="4.25" style="68" customWidth="1"/>
    <col min="11729" max="11729" width="8.875" style="68" bestFit="1" customWidth="1"/>
    <col min="11730" max="11730" width="6.375" style="68" bestFit="1" customWidth="1"/>
    <col min="11731" max="11731" width="2.125" style="68" customWidth="1"/>
    <col min="11732" max="11732" width="8.5" style="68" bestFit="1" customWidth="1"/>
    <col min="11733" max="11733" width="6.375" style="68" bestFit="1" customWidth="1"/>
    <col min="11734" max="11734" width="2.375" style="68" customWidth="1"/>
    <col min="11735" max="11735" width="9.5" style="68" bestFit="1" customWidth="1"/>
    <col min="11736" max="11736" width="7" style="68" bestFit="1" customWidth="1"/>
    <col min="11737" max="11737" width="1.75" style="68" customWidth="1"/>
    <col min="11738" max="11738" width="8.875" style="68" bestFit="1" customWidth="1"/>
    <col min="11739" max="11739" width="2" style="68" customWidth="1"/>
    <col min="11740" max="11740" width="8.875" style="68" bestFit="1" customWidth="1"/>
    <col min="11741" max="11741" width="6.375" style="68" bestFit="1" customWidth="1"/>
    <col min="11742" max="11742" width="1.375" style="68" customWidth="1"/>
    <col min="11743" max="11743" width="8.5" style="68" bestFit="1" customWidth="1"/>
    <col min="11744" max="11744" width="6.375" style="68" bestFit="1" customWidth="1"/>
    <col min="11745" max="11745" width="1.75" style="68" customWidth="1"/>
    <col min="11746" max="11746" width="9.5" style="68" bestFit="1" customWidth="1"/>
    <col min="11747" max="11747" width="7" style="68" bestFit="1" customWidth="1"/>
    <col min="11748" max="11748" width="1.625" style="68" customWidth="1"/>
    <col min="11749" max="11749" width="7.25" style="68" bestFit="1" customWidth="1"/>
    <col min="11750" max="11750" width="2.625" style="68" customWidth="1"/>
    <col min="11751" max="11751" width="13.25" style="68" customWidth="1"/>
    <col min="11752" max="11752" width="6.375" style="68" bestFit="1" customWidth="1"/>
    <col min="11753" max="11753" width="1.75" style="68" customWidth="1"/>
    <col min="11754" max="11754" width="8.5" style="68"/>
    <col min="11755" max="11755" width="42.25" style="68" bestFit="1" customWidth="1"/>
    <col min="11756" max="11756" width="1.25" style="68" customWidth="1"/>
    <col min="11757" max="11757" width="11.625" style="68" customWidth="1"/>
    <col min="11758" max="11758" width="1.25" style="68" customWidth="1"/>
    <col min="11759" max="11759" width="9.625" style="68" customWidth="1"/>
    <col min="11760" max="11760" width="8.125" style="68" customWidth="1"/>
    <col min="11761" max="11761" width="1.25" style="68" customWidth="1"/>
    <col min="11762" max="11762" width="8.125" style="68" customWidth="1"/>
    <col min="11763" max="11763" width="1.625" style="68" customWidth="1"/>
    <col min="11764" max="11764" width="8" style="68" bestFit="1" customWidth="1"/>
    <col min="11765" max="11765" width="9.75" style="68" bestFit="1" customWidth="1"/>
    <col min="11766" max="11980" width="7" style="68" customWidth="1"/>
    <col min="11981" max="11981" width="20.75" style="68" customWidth="1"/>
    <col min="11982" max="11982" width="1.875" style="68" customWidth="1"/>
    <col min="11983" max="11983" width="14.25" style="68" customWidth="1"/>
    <col min="11984" max="11984" width="4.25" style="68" customWidth="1"/>
    <col min="11985" max="11985" width="8.875" style="68" bestFit="1" customWidth="1"/>
    <col min="11986" max="11986" width="6.375" style="68" bestFit="1" customWidth="1"/>
    <col min="11987" max="11987" width="2.125" style="68" customWidth="1"/>
    <col min="11988" max="11988" width="8.5" style="68" bestFit="1" customWidth="1"/>
    <col min="11989" max="11989" width="6.375" style="68" bestFit="1" customWidth="1"/>
    <col min="11990" max="11990" width="2.375" style="68" customWidth="1"/>
    <col min="11991" max="11991" width="9.5" style="68" bestFit="1" customWidth="1"/>
    <col min="11992" max="11992" width="7" style="68" bestFit="1" customWidth="1"/>
    <col min="11993" max="11993" width="1.75" style="68" customWidth="1"/>
    <col min="11994" max="11994" width="8.875" style="68" bestFit="1" customWidth="1"/>
    <col min="11995" max="11995" width="2" style="68" customWidth="1"/>
    <col min="11996" max="11996" width="8.875" style="68" bestFit="1" customWidth="1"/>
    <col min="11997" max="11997" width="6.375" style="68" bestFit="1" customWidth="1"/>
    <col min="11998" max="11998" width="1.375" style="68" customWidth="1"/>
    <col min="11999" max="11999" width="8.5" style="68" bestFit="1" customWidth="1"/>
    <col min="12000" max="12000" width="6.375" style="68" bestFit="1" customWidth="1"/>
    <col min="12001" max="12001" width="1.75" style="68" customWidth="1"/>
    <col min="12002" max="12002" width="9.5" style="68" bestFit="1" customWidth="1"/>
    <col min="12003" max="12003" width="7" style="68" bestFit="1" customWidth="1"/>
    <col min="12004" max="12004" width="1.625" style="68" customWidth="1"/>
    <col min="12005" max="12005" width="7.25" style="68" bestFit="1" customWidth="1"/>
    <col min="12006" max="12006" width="2.625" style="68" customWidth="1"/>
    <col min="12007" max="12007" width="13.25" style="68" customWidth="1"/>
    <col min="12008" max="12008" width="6.375" style="68" bestFit="1" customWidth="1"/>
    <col min="12009" max="12009" width="1.75" style="68" customWidth="1"/>
    <col min="12010" max="12010" width="8.5" style="68"/>
    <col min="12011" max="12011" width="42.25" style="68" bestFit="1" customWidth="1"/>
    <col min="12012" max="12012" width="1.25" style="68" customWidth="1"/>
    <col min="12013" max="12013" width="11.625" style="68" customWidth="1"/>
    <col min="12014" max="12014" width="1.25" style="68" customWidth="1"/>
    <col min="12015" max="12015" width="9.625" style="68" customWidth="1"/>
    <col min="12016" max="12016" width="8.125" style="68" customWidth="1"/>
    <col min="12017" max="12017" width="1.25" style="68" customWidth="1"/>
    <col min="12018" max="12018" width="8.125" style="68" customWidth="1"/>
    <col min="12019" max="12019" width="1.625" style="68" customWidth="1"/>
    <col min="12020" max="12020" width="8" style="68" bestFit="1" customWidth="1"/>
    <col min="12021" max="12021" width="9.75" style="68" bestFit="1" customWidth="1"/>
    <col min="12022" max="12236" width="7" style="68" customWidth="1"/>
    <col min="12237" max="12237" width="20.75" style="68" customWidth="1"/>
    <col min="12238" max="12238" width="1.875" style="68" customWidth="1"/>
    <col min="12239" max="12239" width="14.25" style="68" customWidth="1"/>
    <col min="12240" max="12240" width="4.25" style="68" customWidth="1"/>
    <col min="12241" max="12241" width="8.875" style="68" bestFit="1" customWidth="1"/>
    <col min="12242" max="12242" width="6.375" style="68" bestFit="1" customWidth="1"/>
    <col min="12243" max="12243" width="2.125" style="68" customWidth="1"/>
    <col min="12244" max="12244" width="8.5" style="68" bestFit="1" customWidth="1"/>
    <col min="12245" max="12245" width="6.375" style="68" bestFit="1" customWidth="1"/>
    <col min="12246" max="12246" width="2.375" style="68" customWidth="1"/>
    <col min="12247" max="12247" width="9.5" style="68" bestFit="1" customWidth="1"/>
    <col min="12248" max="12248" width="7" style="68" bestFit="1" customWidth="1"/>
    <col min="12249" max="12249" width="1.75" style="68" customWidth="1"/>
    <col min="12250" max="12250" width="8.875" style="68" bestFit="1" customWidth="1"/>
    <col min="12251" max="12251" width="2" style="68" customWidth="1"/>
    <col min="12252" max="12252" width="8.875" style="68" bestFit="1" customWidth="1"/>
    <col min="12253" max="12253" width="6.375" style="68" bestFit="1" customWidth="1"/>
    <col min="12254" max="12254" width="1.375" style="68" customWidth="1"/>
    <col min="12255" max="12255" width="8.5" style="68" bestFit="1" customWidth="1"/>
    <col min="12256" max="12256" width="6.375" style="68" bestFit="1" customWidth="1"/>
    <col min="12257" max="12257" width="1.75" style="68" customWidth="1"/>
    <col min="12258" max="12258" width="9.5" style="68" bestFit="1" customWidth="1"/>
    <col min="12259" max="12259" width="7" style="68" bestFit="1" customWidth="1"/>
    <col min="12260" max="12260" width="1.625" style="68" customWidth="1"/>
    <col min="12261" max="12261" width="7.25" style="68" bestFit="1" customWidth="1"/>
    <col min="12262" max="12262" width="2.625" style="68" customWidth="1"/>
    <col min="12263" max="12263" width="13.25" style="68" customWidth="1"/>
    <col min="12264" max="12264" width="6.375" style="68" bestFit="1" customWidth="1"/>
    <col min="12265" max="12265" width="1.75" style="68" customWidth="1"/>
    <col min="12266" max="12266" width="8.5" style="68"/>
    <col min="12267" max="12267" width="42.25" style="68" bestFit="1" customWidth="1"/>
    <col min="12268" max="12268" width="1.25" style="68" customWidth="1"/>
    <col min="12269" max="12269" width="11.625" style="68" customWidth="1"/>
    <col min="12270" max="12270" width="1.25" style="68" customWidth="1"/>
    <col min="12271" max="12271" width="9.625" style="68" customWidth="1"/>
    <col min="12272" max="12272" width="8.125" style="68" customWidth="1"/>
    <col min="12273" max="12273" width="1.25" style="68" customWidth="1"/>
    <col min="12274" max="12274" width="8.125" style="68" customWidth="1"/>
    <col min="12275" max="12275" width="1.625" style="68" customWidth="1"/>
    <col min="12276" max="12276" width="8" style="68" bestFit="1" customWidth="1"/>
    <col min="12277" max="12277" width="9.75" style="68" bestFit="1" customWidth="1"/>
    <col min="12278" max="12492" width="7" style="68" customWidth="1"/>
    <col min="12493" max="12493" width="20.75" style="68" customWidth="1"/>
    <col min="12494" max="12494" width="1.875" style="68" customWidth="1"/>
    <col min="12495" max="12495" width="14.25" style="68" customWidth="1"/>
    <col min="12496" max="12496" width="4.25" style="68" customWidth="1"/>
    <col min="12497" max="12497" width="8.875" style="68" bestFit="1" customWidth="1"/>
    <col min="12498" max="12498" width="6.375" style="68" bestFit="1" customWidth="1"/>
    <col min="12499" max="12499" width="2.125" style="68" customWidth="1"/>
    <col min="12500" max="12500" width="8.5" style="68" bestFit="1" customWidth="1"/>
    <col min="12501" max="12501" width="6.375" style="68" bestFit="1" customWidth="1"/>
    <col min="12502" max="12502" width="2.375" style="68" customWidth="1"/>
    <col min="12503" max="12503" width="9.5" style="68" bestFit="1" customWidth="1"/>
    <col min="12504" max="12504" width="7" style="68" bestFit="1" customWidth="1"/>
    <col min="12505" max="12505" width="1.75" style="68" customWidth="1"/>
    <col min="12506" max="12506" width="8.875" style="68" bestFit="1" customWidth="1"/>
    <col min="12507" max="12507" width="2" style="68" customWidth="1"/>
    <col min="12508" max="12508" width="8.875" style="68" bestFit="1" customWidth="1"/>
    <col min="12509" max="12509" width="6.375" style="68" bestFit="1" customWidth="1"/>
    <col min="12510" max="12510" width="1.375" style="68" customWidth="1"/>
    <col min="12511" max="12511" width="8.5" style="68" bestFit="1" customWidth="1"/>
    <col min="12512" max="12512" width="6.375" style="68" bestFit="1" customWidth="1"/>
    <col min="12513" max="12513" width="1.75" style="68" customWidth="1"/>
    <col min="12514" max="12514" width="9.5" style="68" bestFit="1" customWidth="1"/>
    <col min="12515" max="12515" width="7" style="68" bestFit="1" customWidth="1"/>
    <col min="12516" max="12516" width="1.625" style="68" customWidth="1"/>
    <col min="12517" max="12517" width="7.25" style="68" bestFit="1" customWidth="1"/>
    <col min="12518" max="12518" width="2.625" style="68" customWidth="1"/>
    <col min="12519" max="12519" width="13.25" style="68" customWidth="1"/>
    <col min="12520" max="12520" width="6.375" style="68" bestFit="1" customWidth="1"/>
    <col min="12521" max="12521" width="1.75" style="68" customWidth="1"/>
    <col min="12522" max="12522" width="8.5" style="68"/>
    <col min="12523" max="12523" width="42.25" style="68" bestFit="1" customWidth="1"/>
    <col min="12524" max="12524" width="1.25" style="68" customWidth="1"/>
    <col min="12525" max="12525" width="11.625" style="68" customWidth="1"/>
    <col min="12526" max="12526" width="1.25" style="68" customWidth="1"/>
    <col min="12527" max="12527" width="9.625" style="68" customWidth="1"/>
    <col min="12528" max="12528" width="8.125" style="68" customWidth="1"/>
    <col min="12529" max="12529" width="1.25" style="68" customWidth="1"/>
    <col min="12530" max="12530" width="8.125" style="68" customWidth="1"/>
    <col min="12531" max="12531" width="1.625" style="68" customWidth="1"/>
    <col min="12532" max="12532" width="8" style="68" bestFit="1" customWidth="1"/>
    <col min="12533" max="12533" width="9.75" style="68" bestFit="1" customWidth="1"/>
    <col min="12534" max="12748" width="7" style="68" customWidth="1"/>
    <col min="12749" max="12749" width="20.75" style="68" customWidth="1"/>
    <col min="12750" max="12750" width="1.875" style="68" customWidth="1"/>
    <col min="12751" max="12751" width="14.25" style="68" customWidth="1"/>
    <col min="12752" max="12752" width="4.25" style="68" customWidth="1"/>
    <col min="12753" max="12753" width="8.875" style="68" bestFit="1" customWidth="1"/>
    <col min="12754" max="12754" width="6.375" style="68" bestFit="1" customWidth="1"/>
    <col min="12755" max="12755" width="2.125" style="68" customWidth="1"/>
    <col min="12756" max="12756" width="8.5" style="68" bestFit="1" customWidth="1"/>
    <col min="12757" max="12757" width="6.375" style="68" bestFit="1" customWidth="1"/>
    <col min="12758" max="12758" width="2.375" style="68" customWidth="1"/>
    <col min="12759" max="12759" width="9.5" style="68" bestFit="1" customWidth="1"/>
    <col min="12760" max="12760" width="7" style="68" bestFit="1" customWidth="1"/>
    <col min="12761" max="12761" width="1.75" style="68" customWidth="1"/>
    <col min="12762" max="12762" width="8.875" style="68" bestFit="1" customWidth="1"/>
    <col min="12763" max="12763" width="2" style="68" customWidth="1"/>
    <col min="12764" max="12764" width="8.875" style="68" bestFit="1" customWidth="1"/>
    <col min="12765" max="12765" width="6.375" style="68" bestFit="1" customWidth="1"/>
    <col min="12766" max="12766" width="1.375" style="68" customWidth="1"/>
    <col min="12767" max="12767" width="8.5" style="68" bestFit="1" customWidth="1"/>
    <col min="12768" max="12768" width="6.375" style="68" bestFit="1" customWidth="1"/>
    <col min="12769" max="12769" width="1.75" style="68" customWidth="1"/>
    <col min="12770" max="12770" width="9.5" style="68" bestFit="1" customWidth="1"/>
    <col min="12771" max="12771" width="7" style="68" bestFit="1" customWidth="1"/>
    <col min="12772" max="12772" width="1.625" style="68" customWidth="1"/>
    <col min="12773" max="12773" width="7.25" style="68" bestFit="1" customWidth="1"/>
    <col min="12774" max="12774" width="2.625" style="68" customWidth="1"/>
    <col min="12775" max="12775" width="13.25" style="68" customWidth="1"/>
    <col min="12776" max="12776" width="6.375" style="68" bestFit="1" customWidth="1"/>
    <col min="12777" max="12777" width="1.75" style="68" customWidth="1"/>
    <col min="12778" max="12778" width="8.5" style="68"/>
    <col min="12779" max="12779" width="42.25" style="68" bestFit="1" customWidth="1"/>
    <col min="12780" max="12780" width="1.25" style="68" customWidth="1"/>
    <col min="12781" max="12781" width="11.625" style="68" customWidth="1"/>
    <col min="12782" max="12782" width="1.25" style="68" customWidth="1"/>
    <col min="12783" max="12783" width="9.625" style="68" customWidth="1"/>
    <col min="12784" max="12784" width="8.125" style="68" customWidth="1"/>
    <col min="12785" max="12785" width="1.25" style="68" customWidth="1"/>
    <col min="12786" max="12786" width="8.125" style="68" customWidth="1"/>
    <col min="12787" max="12787" width="1.625" style="68" customWidth="1"/>
    <col min="12788" max="12788" width="8" style="68" bestFit="1" customWidth="1"/>
    <col min="12789" max="12789" width="9.75" style="68" bestFit="1" customWidth="1"/>
    <col min="12790" max="13004" width="7" style="68" customWidth="1"/>
    <col min="13005" max="13005" width="20.75" style="68" customWidth="1"/>
    <col min="13006" max="13006" width="1.875" style="68" customWidth="1"/>
    <col min="13007" max="13007" width="14.25" style="68" customWidth="1"/>
    <col min="13008" max="13008" width="4.25" style="68" customWidth="1"/>
    <col min="13009" max="13009" width="8.875" style="68" bestFit="1" customWidth="1"/>
    <col min="13010" max="13010" width="6.375" style="68" bestFit="1" customWidth="1"/>
    <col min="13011" max="13011" width="2.125" style="68" customWidth="1"/>
    <col min="13012" max="13012" width="8.5" style="68" bestFit="1" customWidth="1"/>
    <col min="13013" max="13013" width="6.375" style="68" bestFit="1" customWidth="1"/>
    <col min="13014" max="13014" width="2.375" style="68" customWidth="1"/>
    <col min="13015" max="13015" width="9.5" style="68" bestFit="1" customWidth="1"/>
    <col min="13016" max="13016" width="7" style="68" bestFit="1" customWidth="1"/>
    <col min="13017" max="13017" width="1.75" style="68" customWidth="1"/>
    <col min="13018" max="13018" width="8.875" style="68" bestFit="1" customWidth="1"/>
    <col min="13019" max="13019" width="2" style="68" customWidth="1"/>
    <col min="13020" max="13020" width="8.875" style="68" bestFit="1" customWidth="1"/>
    <col min="13021" max="13021" width="6.375" style="68" bestFit="1" customWidth="1"/>
    <col min="13022" max="13022" width="1.375" style="68" customWidth="1"/>
    <col min="13023" max="13023" width="8.5" style="68" bestFit="1" customWidth="1"/>
    <col min="13024" max="13024" width="6.375" style="68" bestFit="1" customWidth="1"/>
    <col min="13025" max="13025" width="1.75" style="68" customWidth="1"/>
    <col min="13026" max="13026" width="9.5" style="68" bestFit="1" customWidth="1"/>
    <col min="13027" max="13027" width="7" style="68" bestFit="1" customWidth="1"/>
    <col min="13028" max="13028" width="1.625" style="68" customWidth="1"/>
    <col min="13029" max="13029" width="7.25" style="68" bestFit="1" customWidth="1"/>
    <col min="13030" max="13030" width="2.625" style="68" customWidth="1"/>
    <col min="13031" max="13031" width="13.25" style="68" customWidth="1"/>
    <col min="13032" max="13032" width="6.375" style="68" bestFit="1" customWidth="1"/>
    <col min="13033" max="13033" width="1.75" style="68" customWidth="1"/>
    <col min="13034" max="13034" width="8.5" style="68"/>
    <col min="13035" max="13035" width="42.25" style="68" bestFit="1" customWidth="1"/>
    <col min="13036" max="13036" width="1.25" style="68" customWidth="1"/>
    <col min="13037" max="13037" width="11.625" style="68" customWidth="1"/>
    <col min="13038" max="13038" width="1.25" style="68" customWidth="1"/>
    <col min="13039" max="13039" width="9.625" style="68" customWidth="1"/>
    <col min="13040" max="13040" width="8.125" style="68" customWidth="1"/>
    <col min="13041" max="13041" width="1.25" style="68" customWidth="1"/>
    <col min="13042" max="13042" width="8.125" style="68" customWidth="1"/>
    <col min="13043" max="13043" width="1.625" style="68" customWidth="1"/>
    <col min="13044" max="13044" width="8" style="68" bestFit="1" customWidth="1"/>
    <col min="13045" max="13045" width="9.75" style="68" bestFit="1" customWidth="1"/>
    <col min="13046" max="13260" width="7" style="68" customWidth="1"/>
    <col min="13261" max="13261" width="20.75" style="68" customWidth="1"/>
    <col min="13262" max="13262" width="1.875" style="68" customWidth="1"/>
    <col min="13263" max="13263" width="14.25" style="68" customWidth="1"/>
    <col min="13264" max="13264" width="4.25" style="68" customWidth="1"/>
    <col min="13265" max="13265" width="8.875" style="68" bestFit="1" customWidth="1"/>
    <col min="13266" max="13266" width="6.375" style="68" bestFit="1" customWidth="1"/>
    <col min="13267" max="13267" width="2.125" style="68" customWidth="1"/>
    <col min="13268" max="13268" width="8.5" style="68" bestFit="1" customWidth="1"/>
    <col min="13269" max="13269" width="6.375" style="68" bestFit="1" customWidth="1"/>
    <col min="13270" max="13270" width="2.375" style="68" customWidth="1"/>
    <col min="13271" max="13271" width="9.5" style="68" bestFit="1" customWidth="1"/>
    <col min="13272" max="13272" width="7" style="68" bestFit="1" customWidth="1"/>
    <col min="13273" max="13273" width="1.75" style="68" customWidth="1"/>
    <col min="13274" max="13274" width="8.875" style="68" bestFit="1" customWidth="1"/>
    <col min="13275" max="13275" width="2" style="68" customWidth="1"/>
    <col min="13276" max="13276" width="8.875" style="68" bestFit="1" customWidth="1"/>
    <col min="13277" max="13277" width="6.375" style="68" bestFit="1" customWidth="1"/>
    <col min="13278" max="13278" width="1.375" style="68" customWidth="1"/>
    <col min="13279" max="13279" width="8.5" style="68" bestFit="1" customWidth="1"/>
    <col min="13280" max="13280" width="6.375" style="68" bestFit="1" customWidth="1"/>
    <col min="13281" max="13281" width="1.75" style="68" customWidth="1"/>
    <col min="13282" max="13282" width="9.5" style="68" bestFit="1" customWidth="1"/>
    <col min="13283" max="13283" width="7" style="68" bestFit="1" customWidth="1"/>
    <col min="13284" max="13284" width="1.625" style="68" customWidth="1"/>
    <col min="13285" max="13285" width="7.25" style="68" bestFit="1" customWidth="1"/>
    <col min="13286" max="13286" width="2.625" style="68" customWidth="1"/>
    <col min="13287" max="13287" width="13.25" style="68" customWidth="1"/>
    <col min="13288" max="13288" width="6.375" style="68" bestFit="1" customWidth="1"/>
    <col min="13289" max="13289" width="1.75" style="68" customWidth="1"/>
    <col min="13290" max="13290" width="8.5" style="68"/>
    <col min="13291" max="13291" width="42.25" style="68" bestFit="1" customWidth="1"/>
    <col min="13292" max="13292" width="1.25" style="68" customWidth="1"/>
    <col min="13293" max="13293" width="11.625" style="68" customWidth="1"/>
    <col min="13294" max="13294" width="1.25" style="68" customWidth="1"/>
    <col min="13295" max="13295" width="9.625" style="68" customWidth="1"/>
    <col min="13296" max="13296" width="8.125" style="68" customWidth="1"/>
    <col min="13297" max="13297" width="1.25" style="68" customWidth="1"/>
    <col min="13298" max="13298" width="8.125" style="68" customWidth="1"/>
    <col min="13299" max="13299" width="1.625" style="68" customWidth="1"/>
    <col min="13300" max="13300" width="8" style="68" bestFit="1" customWidth="1"/>
    <col min="13301" max="13301" width="9.75" style="68" bestFit="1" customWidth="1"/>
    <col min="13302" max="13516" width="7" style="68" customWidth="1"/>
    <col min="13517" max="13517" width="20.75" style="68" customWidth="1"/>
    <col min="13518" max="13518" width="1.875" style="68" customWidth="1"/>
    <col min="13519" max="13519" width="14.25" style="68" customWidth="1"/>
    <col min="13520" max="13520" width="4.25" style="68" customWidth="1"/>
    <col min="13521" max="13521" width="8.875" style="68" bestFit="1" customWidth="1"/>
    <col min="13522" max="13522" width="6.375" style="68" bestFit="1" customWidth="1"/>
    <col min="13523" max="13523" width="2.125" style="68" customWidth="1"/>
    <col min="13524" max="13524" width="8.5" style="68" bestFit="1" customWidth="1"/>
    <col min="13525" max="13525" width="6.375" style="68" bestFit="1" customWidth="1"/>
    <col min="13526" max="13526" width="2.375" style="68" customWidth="1"/>
    <col min="13527" max="13527" width="9.5" style="68" bestFit="1" customWidth="1"/>
    <col min="13528" max="13528" width="7" style="68" bestFit="1" customWidth="1"/>
    <col min="13529" max="13529" width="1.75" style="68" customWidth="1"/>
    <col min="13530" max="13530" width="8.875" style="68" bestFit="1" customWidth="1"/>
    <col min="13531" max="13531" width="2" style="68" customWidth="1"/>
    <col min="13532" max="13532" width="8.875" style="68" bestFit="1" customWidth="1"/>
    <col min="13533" max="13533" width="6.375" style="68" bestFit="1" customWidth="1"/>
    <col min="13534" max="13534" width="1.375" style="68" customWidth="1"/>
    <col min="13535" max="13535" width="8.5" style="68" bestFit="1" customWidth="1"/>
    <col min="13536" max="13536" width="6.375" style="68" bestFit="1" customWidth="1"/>
    <col min="13537" max="13537" width="1.75" style="68" customWidth="1"/>
    <col min="13538" max="13538" width="9.5" style="68" bestFit="1" customWidth="1"/>
    <col min="13539" max="13539" width="7" style="68" bestFit="1" customWidth="1"/>
    <col min="13540" max="13540" width="1.625" style="68" customWidth="1"/>
    <col min="13541" max="13541" width="7.25" style="68" bestFit="1" customWidth="1"/>
    <col min="13542" max="13542" width="2.625" style="68" customWidth="1"/>
    <col min="13543" max="13543" width="13.25" style="68" customWidth="1"/>
    <col min="13544" max="13544" width="6.375" style="68" bestFit="1" customWidth="1"/>
    <col min="13545" max="13545" width="1.75" style="68" customWidth="1"/>
    <col min="13546" max="13546" width="8.5" style="68"/>
    <col min="13547" max="13547" width="42.25" style="68" bestFit="1" customWidth="1"/>
    <col min="13548" max="13548" width="1.25" style="68" customWidth="1"/>
    <col min="13549" max="13549" width="11.625" style="68" customWidth="1"/>
    <col min="13550" max="13550" width="1.25" style="68" customWidth="1"/>
    <col min="13551" max="13551" width="9.625" style="68" customWidth="1"/>
    <col min="13552" max="13552" width="8.125" style="68" customWidth="1"/>
    <col min="13553" max="13553" width="1.25" style="68" customWidth="1"/>
    <col min="13554" max="13554" width="8.125" style="68" customWidth="1"/>
    <col min="13555" max="13555" width="1.625" style="68" customWidth="1"/>
    <col min="13556" max="13556" width="8" style="68" bestFit="1" customWidth="1"/>
    <col min="13557" max="13557" width="9.75" style="68" bestFit="1" customWidth="1"/>
    <col min="13558" max="13772" width="7" style="68" customWidth="1"/>
    <col min="13773" max="13773" width="20.75" style="68" customWidth="1"/>
    <col min="13774" max="13774" width="1.875" style="68" customWidth="1"/>
    <col min="13775" max="13775" width="14.25" style="68" customWidth="1"/>
    <col min="13776" max="13776" width="4.25" style="68" customWidth="1"/>
    <col min="13777" max="13777" width="8.875" style="68" bestFit="1" customWidth="1"/>
    <col min="13778" max="13778" width="6.375" style="68" bestFit="1" customWidth="1"/>
    <col min="13779" max="13779" width="2.125" style="68" customWidth="1"/>
    <col min="13780" max="13780" width="8.5" style="68" bestFit="1" customWidth="1"/>
    <col min="13781" max="13781" width="6.375" style="68" bestFit="1" customWidth="1"/>
    <col min="13782" max="13782" width="2.375" style="68" customWidth="1"/>
    <col min="13783" max="13783" width="9.5" style="68" bestFit="1" customWidth="1"/>
    <col min="13784" max="13784" width="7" style="68" bestFit="1" customWidth="1"/>
    <col min="13785" max="13785" width="1.75" style="68" customWidth="1"/>
    <col min="13786" max="13786" width="8.875" style="68" bestFit="1" customWidth="1"/>
    <col min="13787" max="13787" width="2" style="68" customWidth="1"/>
    <col min="13788" max="13788" width="8.875" style="68" bestFit="1" customWidth="1"/>
    <col min="13789" max="13789" width="6.375" style="68" bestFit="1" customWidth="1"/>
    <col min="13790" max="13790" width="1.375" style="68" customWidth="1"/>
    <col min="13791" max="13791" width="8.5" style="68" bestFit="1" customWidth="1"/>
    <col min="13792" max="13792" width="6.375" style="68" bestFit="1" customWidth="1"/>
    <col min="13793" max="13793" width="1.75" style="68" customWidth="1"/>
    <col min="13794" max="13794" width="9.5" style="68" bestFit="1" customWidth="1"/>
    <col min="13795" max="13795" width="7" style="68" bestFit="1" customWidth="1"/>
    <col min="13796" max="13796" width="1.625" style="68" customWidth="1"/>
    <col min="13797" max="13797" width="7.25" style="68" bestFit="1" customWidth="1"/>
    <col min="13798" max="13798" width="2.625" style="68" customWidth="1"/>
    <col min="13799" max="13799" width="13.25" style="68" customWidth="1"/>
    <col min="13800" max="13800" width="6.375" style="68" bestFit="1" customWidth="1"/>
    <col min="13801" max="13801" width="1.75" style="68" customWidth="1"/>
    <col min="13802" max="13802" width="8.5" style="68"/>
    <col min="13803" max="13803" width="42.25" style="68" bestFit="1" customWidth="1"/>
    <col min="13804" max="13804" width="1.25" style="68" customWidth="1"/>
    <col min="13805" max="13805" width="11.625" style="68" customWidth="1"/>
    <col min="13806" max="13806" width="1.25" style="68" customWidth="1"/>
    <col min="13807" max="13807" width="9.625" style="68" customWidth="1"/>
    <col min="13808" max="13808" width="8.125" style="68" customWidth="1"/>
    <col min="13809" max="13809" width="1.25" style="68" customWidth="1"/>
    <col min="13810" max="13810" width="8.125" style="68" customWidth="1"/>
    <col min="13811" max="13811" width="1.625" style="68" customWidth="1"/>
    <col min="13812" max="13812" width="8" style="68" bestFit="1" customWidth="1"/>
    <col min="13813" max="13813" width="9.75" style="68" bestFit="1" customWidth="1"/>
    <col min="13814" max="14028" width="7" style="68" customWidth="1"/>
    <col min="14029" max="14029" width="20.75" style="68" customWidth="1"/>
    <col min="14030" max="14030" width="1.875" style="68" customWidth="1"/>
    <col min="14031" max="14031" width="14.25" style="68" customWidth="1"/>
    <col min="14032" max="14032" width="4.25" style="68" customWidth="1"/>
    <col min="14033" max="14033" width="8.875" style="68" bestFit="1" customWidth="1"/>
    <col min="14034" max="14034" width="6.375" style="68" bestFit="1" customWidth="1"/>
    <col min="14035" max="14035" width="2.125" style="68" customWidth="1"/>
    <col min="14036" max="14036" width="8.5" style="68" bestFit="1" customWidth="1"/>
    <col min="14037" max="14037" width="6.375" style="68" bestFit="1" customWidth="1"/>
    <col min="14038" max="14038" width="2.375" style="68" customWidth="1"/>
    <col min="14039" max="14039" width="9.5" style="68" bestFit="1" customWidth="1"/>
    <col min="14040" max="14040" width="7" style="68" bestFit="1" customWidth="1"/>
    <col min="14041" max="14041" width="1.75" style="68" customWidth="1"/>
    <col min="14042" max="14042" width="8.875" style="68" bestFit="1" customWidth="1"/>
    <col min="14043" max="14043" width="2" style="68" customWidth="1"/>
    <col min="14044" max="14044" width="8.875" style="68" bestFit="1" customWidth="1"/>
    <col min="14045" max="14045" width="6.375" style="68" bestFit="1" customWidth="1"/>
    <col min="14046" max="14046" width="1.375" style="68" customWidth="1"/>
    <col min="14047" max="14047" width="8.5" style="68" bestFit="1" customWidth="1"/>
    <col min="14048" max="14048" width="6.375" style="68" bestFit="1" customWidth="1"/>
    <col min="14049" max="14049" width="1.75" style="68" customWidth="1"/>
    <col min="14050" max="14050" width="9.5" style="68" bestFit="1" customWidth="1"/>
    <col min="14051" max="14051" width="7" style="68" bestFit="1" customWidth="1"/>
    <col min="14052" max="14052" width="1.625" style="68" customWidth="1"/>
    <col min="14053" max="14053" width="7.25" style="68" bestFit="1" customWidth="1"/>
    <col min="14054" max="14054" width="2.625" style="68" customWidth="1"/>
    <col min="14055" max="14055" width="13.25" style="68" customWidth="1"/>
    <col min="14056" max="14056" width="6.375" style="68" bestFit="1" customWidth="1"/>
    <col min="14057" max="14057" width="1.75" style="68" customWidth="1"/>
    <col min="14058" max="14058" width="8.5" style="68"/>
    <col min="14059" max="14059" width="42.25" style="68" bestFit="1" customWidth="1"/>
    <col min="14060" max="14060" width="1.25" style="68" customWidth="1"/>
    <col min="14061" max="14061" width="11.625" style="68" customWidth="1"/>
    <col min="14062" max="14062" width="1.25" style="68" customWidth="1"/>
    <col min="14063" max="14063" width="9.625" style="68" customWidth="1"/>
    <col min="14064" max="14064" width="8.125" style="68" customWidth="1"/>
    <col min="14065" max="14065" width="1.25" style="68" customWidth="1"/>
    <col min="14066" max="14066" width="8.125" style="68" customWidth="1"/>
    <col min="14067" max="14067" width="1.625" style="68" customWidth="1"/>
    <col min="14068" max="14068" width="8" style="68" bestFit="1" customWidth="1"/>
    <col min="14069" max="14069" width="9.75" style="68" bestFit="1" customWidth="1"/>
    <col min="14070" max="14284" width="7" style="68" customWidth="1"/>
    <col min="14285" max="14285" width="20.75" style="68" customWidth="1"/>
    <col min="14286" max="14286" width="1.875" style="68" customWidth="1"/>
    <col min="14287" max="14287" width="14.25" style="68" customWidth="1"/>
    <col min="14288" max="14288" width="4.25" style="68" customWidth="1"/>
    <col min="14289" max="14289" width="8.875" style="68" bestFit="1" customWidth="1"/>
    <col min="14290" max="14290" width="6.375" style="68" bestFit="1" customWidth="1"/>
    <col min="14291" max="14291" width="2.125" style="68" customWidth="1"/>
    <col min="14292" max="14292" width="8.5" style="68" bestFit="1" customWidth="1"/>
    <col min="14293" max="14293" width="6.375" style="68" bestFit="1" customWidth="1"/>
    <col min="14294" max="14294" width="2.375" style="68" customWidth="1"/>
    <col min="14295" max="14295" width="9.5" style="68" bestFit="1" customWidth="1"/>
    <col min="14296" max="14296" width="7" style="68" bestFit="1" customWidth="1"/>
    <col min="14297" max="14297" width="1.75" style="68" customWidth="1"/>
    <col min="14298" max="14298" width="8.875" style="68" bestFit="1" customWidth="1"/>
    <col min="14299" max="14299" width="2" style="68" customWidth="1"/>
    <col min="14300" max="14300" width="8.875" style="68" bestFit="1" customWidth="1"/>
    <col min="14301" max="14301" width="6.375" style="68" bestFit="1" customWidth="1"/>
    <col min="14302" max="14302" width="1.375" style="68" customWidth="1"/>
    <col min="14303" max="14303" width="8.5" style="68" bestFit="1" customWidth="1"/>
    <col min="14304" max="14304" width="6.375" style="68" bestFit="1" customWidth="1"/>
    <col min="14305" max="14305" width="1.75" style="68" customWidth="1"/>
    <col min="14306" max="14306" width="9.5" style="68" bestFit="1" customWidth="1"/>
    <col min="14307" max="14307" width="7" style="68" bestFit="1" customWidth="1"/>
    <col min="14308" max="14308" width="1.625" style="68" customWidth="1"/>
    <col min="14309" max="14309" width="7.25" style="68" bestFit="1" customWidth="1"/>
    <col min="14310" max="14310" width="2.625" style="68" customWidth="1"/>
    <col min="14311" max="14311" width="13.25" style="68" customWidth="1"/>
    <col min="14312" max="14312" width="6.375" style="68" bestFit="1" customWidth="1"/>
    <col min="14313" max="14313" width="1.75" style="68" customWidth="1"/>
    <col min="14314" max="14314" width="8.5" style="68"/>
    <col min="14315" max="14315" width="42.25" style="68" bestFit="1" customWidth="1"/>
    <col min="14316" max="14316" width="1.25" style="68" customWidth="1"/>
    <col min="14317" max="14317" width="11.625" style="68" customWidth="1"/>
    <col min="14318" max="14318" width="1.25" style="68" customWidth="1"/>
    <col min="14319" max="14319" width="9.625" style="68" customWidth="1"/>
    <col min="14320" max="14320" width="8.125" style="68" customWidth="1"/>
    <col min="14321" max="14321" width="1.25" style="68" customWidth="1"/>
    <col min="14322" max="14322" width="8.125" style="68" customWidth="1"/>
    <col min="14323" max="14323" width="1.625" style="68" customWidth="1"/>
    <col min="14324" max="14324" width="8" style="68" bestFit="1" customWidth="1"/>
    <col min="14325" max="14325" width="9.75" style="68" bestFit="1" customWidth="1"/>
    <col min="14326" max="14540" width="7" style="68" customWidth="1"/>
    <col min="14541" max="14541" width="20.75" style="68" customWidth="1"/>
    <col min="14542" max="14542" width="1.875" style="68" customWidth="1"/>
    <col min="14543" max="14543" width="14.25" style="68" customWidth="1"/>
    <col min="14544" max="14544" width="4.25" style="68" customWidth="1"/>
    <col min="14545" max="14545" width="8.875" style="68" bestFit="1" customWidth="1"/>
    <col min="14546" max="14546" width="6.375" style="68" bestFit="1" customWidth="1"/>
    <col min="14547" max="14547" width="2.125" style="68" customWidth="1"/>
    <col min="14548" max="14548" width="8.5" style="68" bestFit="1" customWidth="1"/>
    <col min="14549" max="14549" width="6.375" style="68" bestFit="1" customWidth="1"/>
    <col min="14550" max="14550" width="2.375" style="68" customWidth="1"/>
    <col min="14551" max="14551" width="9.5" style="68" bestFit="1" customWidth="1"/>
    <col min="14552" max="14552" width="7" style="68" bestFit="1" customWidth="1"/>
    <col min="14553" max="14553" width="1.75" style="68" customWidth="1"/>
    <col min="14554" max="14554" width="8.875" style="68" bestFit="1" customWidth="1"/>
    <col min="14555" max="14555" width="2" style="68" customWidth="1"/>
    <col min="14556" max="14556" width="8.875" style="68" bestFit="1" customWidth="1"/>
    <col min="14557" max="14557" width="6.375" style="68" bestFit="1" customWidth="1"/>
    <col min="14558" max="14558" width="1.375" style="68" customWidth="1"/>
    <col min="14559" max="14559" width="8.5" style="68" bestFit="1" customWidth="1"/>
    <col min="14560" max="14560" width="6.375" style="68" bestFit="1" customWidth="1"/>
    <col min="14561" max="14561" width="1.75" style="68" customWidth="1"/>
    <col min="14562" max="14562" width="9.5" style="68" bestFit="1" customWidth="1"/>
    <col min="14563" max="14563" width="7" style="68" bestFit="1" customWidth="1"/>
    <col min="14564" max="14564" width="1.625" style="68" customWidth="1"/>
    <col min="14565" max="14565" width="7.25" style="68" bestFit="1" customWidth="1"/>
    <col min="14566" max="14566" width="2.625" style="68" customWidth="1"/>
    <col min="14567" max="14567" width="13.25" style="68" customWidth="1"/>
    <col min="14568" max="14568" width="6.375" style="68" bestFit="1" customWidth="1"/>
    <col min="14569" max="14569" width="1.75" style="68" customWidth="1"/>
    <col min="14570" max="14570" width="8.5" style="68"/>
    <col min="14571" max="14571" width="42.25" style="68" bestFit="1" customWidth="1"/>
    <col min="14572" max="14572" width="1.25" style="68" customWidth="1"/>
    <col min="14573" max="14573" width="11.625" style="68" customWidth="1"/>
    <col min="14574" max="14574" width="1.25" style="68" customWidth="1"/>
    <col min="14575" max="14575" width="9.625" style="68" customWidth="1"/>
    <col min="14576" max="14576" width="8.125" style="68" customWidth="1"/>
    <col min="14577" max="14577" width="1.25" style="68" customWidth="1"/>
    <col min="14578" max="14578" width="8.125" style="68" customWidth="1"/>
    <col min="14579" max="14579" width="1.625" style="68" customWidth="1"/>
    <col min="14580" max="14580" width="8" style="68" bestFit="1" customWidth="1"/>
    <col min="14581" max="14581" width="9.75" style="68" bestFit="1" customWidth="1"/>
    <col min="14582" max="14796" width="7" style="68" customWidth="1"/>
    <col min="14797" max="14797" width="20.75" style="68" customWidth="1"/>
    <col min="14798" max="14798" width="1.875" style="68" customWidth="1"/>
    <col min="14799" max="14799" width="14.25" style="68" customWidth="1"/>
    <col min="14800" max="14800" width="4.25" style="68" customWidth="1"/>
    <col min="14801" max="14801" width="8.875" style="68" bestFit="1" customWidth="1"/>
    <col min="14802" max="14802" width="6.375" style="68" bestFit="1" customWidth="1"/>
    <col min="14803" max="14803" width="2.125" style="68" customWidth="1"/>
    <col min="14804" max="14804" width="8.5" style="68" bestFit="1" customWidth="1"/>
    <col min="14805" max="14805" width="6.375" style="68" bestFit="1" customWidth="1"/>
    <col min="14806" max="14806" width="2.375" style="68" customWidth="1"/>
    <col min="14807" max="14807" width="9.5" style="68" bestFit="1" customWidth="1"/>
    <col min="14808" max="14808" width="7" style="68" bestFit="1" customWidth="1"/>
    <col min="14809" max="14809" width="1.75" style="68" customWidth="1"/>
    <col min="14810" max="14810" width="8.875" style="68" bestFit="1" customWidth="1"/>
    <col min="14811" max="14811" width="2" style="68" customWidth="1"/>
    <col min="14812" max="14812" width="8.875" style="68" bestFit="1" customWidth="1"/>
    <col min="14813" max="14813" width="6.375" style="68" bestFit="1" customWidth="1"/>
    <col min="14814" max="14814" width="1.375" style="68" customWidth="1"/>
    <col min="14815" max="14815" width="8.5" style="68" bestFit="1" customWidth="1"/>
    <col min="14816" max="14816" width="6.375" style="68" bestFit="1" customWidth="1"/>
    <col min="14817" max="14817" width="1.75" style="68" customWidth="1"/>
    <col min="14818" max="14818" width="9.5" style="68" bestFit="1" customWidth="1"/>
    <col min="14819" max="14819" width="7" style="68" bestFit="1" customWidth="1"/>
    <col min="14820" max="14820" width="1.625" style="68" customWidth="1"/>
    <col min="14821" max="14821" width="7.25" style="68" bestFit="1" customWidth="1"/>
    <col min="14822" max="14822" width="2.625" style="68" customWidth="1"/>
    <col min="14823" max="14823" width="13.25" style="68" customWidth="1"/>
    <col min="14824" max="14824" width="6.375" style="68" bestFit="1" customWidth="1"/>
    <col min="14825" max="14825" width="1.75" style="68" customWidth="1"/>
    <col min="14826" max="14826" width="8.5" style="68"/>
    <col min="14827" max="14827" width="42.25" style="68" bestFit="1" customWidth="1"/>
    <col min="14828" max="14828" width="1.25" style="68" customWidth="1"/>
    <col min="14829" max="14829" width="11.625" style="68" customWidth="1"/>
    <col min="14830" max="14830" width="1.25" style="68" customWidth="1"/>
    <col min="14831" max="14831" width="9.625" style="68" customWidth="1"/>
    <col min="14832" max="14832" width="8.125" style="68" customWidth="1"/>
    <col min="14833" max="14833" width="1.25" style="68" customWidth="1"/>
    <col min="14834" max="14834" width="8.125" style="68" customWidth="1"/>
    <col min="14835" max="14835" width="1.625" style="68" customWidth="1"/>
    <col min="14836" max="14836" width="8" style="68" bestFit="1" customWidth="1"/>
    <col min="14837" max="14837" width="9.75" style="68" bestFit="1" customWidth="1"/>
    <col min="14838" max="15052" width="7" style="68" customWidth="1"/>
    <col min="15053" max="15053" width="20.75" style="68" customWidth="1"/>
    <col min="15054" max="15054" width="1.875" style="68" customWidth="1"/>
    <col min="15055" max="15055" width="14.25" style="68" customWidth="1"/>
    <col min="15056" max="15056" width="4.25" style="68" customWidth="1"/>
    <col min="15057" max="15057" width="8.875" style="68" bestFit="1" customWidth="1"/>
    <col min="15058" max="15058" width="6.375" style="68" bestFit="1" customWidth="1"/>
    <col min="15059" max="15059" width="2.125" style="68" customWidth="1"/>
    <col min="15060" max="15060" width="8.5" style="68" bestFit="1" customWidth="1"/>
    <col min="15061" max="15061" width="6.375" style="68" bestFit="1" customWidth="1"/>
    <col min="15062" max="15062" width="2.375" style="68" customWidth="1"/>
    <col min="15063" max="15063" width="9.5" style="68" bestFit="1" customWidth="1"/>
    <col min="15064" max="15064" width="7" style="68" bestFit="1" customWidth="1"/>
    <col min="15065" max="15065" width="1.75" style="68" customWidth="1"/>
    <col min="15066" max="15066" width="8.875" style="68" bestFit="1" customWidth="1"/>
    <col min="15067" max="15067" width="2" style="68" customWidth="1"/>
    <col min="15068" max="15068" width="8.875" style="68" bestFit="1" customWidth="1"/>
    <col min="15069" max="15069" width="6.375" style="68" bestFit="1" customWidth="1"/>
    <col min="15070" max="15070" width="1.375" style="68" customWidth="1"/>
    <col min="15071" max="15071" width="8.5" style="68" bestFit="1" customWidth="1"/>
    <col min="15072" max="15072" width="6.375" style="68" bestFit="1" customWidth="1"/>
    <col min="15073" max="15073" width="1.75" style="68" customWidth="1"/>
    <col min="15074" max="15074" width="9.5" style="68" bestFit="1" customWidth="1"/>
    <col min="15075" max="15075" width="7" style="68" bestFit="1" customWidth="1"/>
    <col min="15076" max="15076" width="1.625" style="68" customWidth="1"/>
    <col min="15077" max="15077" width="7.25" style="68" bestFit="1" customWidth="1"/>
    <col min="15078" max="15078" width="2.625" style="68" customWidth="1"/>
    <col min="15079" max="15079" width="13.25" style="68" customWidth="1"/>
    <col min="15080" max="15080" width="6.375" style="68" bestFit="1" customWidth="1"/>
    <col min="15081" max="15081" width="1.75" style="68" customWidth="1"/>
    <col min="15082" max="15082" width="8.5" style="68"/>
    <col min="15083" max="15083" width="42.25" style="68" bestFit="1" customWidth="1"/>
    <col min="15084" max="15084" width="1.25" style="68" customWidth="1"/>
    <col min="15085" max="15085" width="11.625" style="68" customWidth="1"/>
    <col min="15086" max="15086" width="1.25" style="68" customWidth="1"/>
    <col min="15087" max="15087" width="9.625" style="68" customWidth="1"/>
    <col min="15088" max="15088" width="8.125" style="68" customWidth="1"/>
    <col min="15089" max="15089" width="1.25" style="68" customWidth="1"/>
    <col min="15090" max="15090" width="8.125" style="68" customWidth="1"/>
    <col min="15091" max="15091" width="1.625" style="68" customWidth="1"/>
    <col min="15092" max="15092" width="8" style="68" bestFit="1" customWidth="1"/>
    <col min="15093" max="15093" width="9.75" style="68" bestFit="1" customWidth="1"/>
    <col min="15094" max="15308" width="7" style="68" customWidth="1"/>
    <col min="15309" max="15309" width="20.75" style="68" customWidth="1"/>
    <col min="15310" max="15310" width="1.875" style="68" customWidth="1"/>
    <col min="15311" max="15311" width="14.25" style="68" customWidth="1"/>
    <col min="15312" max="15312" width="4.25" style="68" customWidth="1"/>
    <col min="15313" max="15313" width="8.875" style="68" bestFit="1" customWidth="1"/>
    <col min="15314" max="15314" width="6.375" style="68" bestFit="1" customWidth="1"/>
    <col min="15315" max="15315" width="2.125" style="68" customWidth="1"/>
    <col min="15316" max="15316" width="8.5" style="68" bestFit="1" customWidth="1"/>
    <col min="15317" max="15317" width="6.375" style="68" bestFit="1" customWidth="1"/>
    <col min="15318" max="15318" width="2.375" style="68" customWidth="1"/>
    <col min="15319" max="15319" width="9.5" style="68" bestFit="1" customWidth="1"/>
    <col min="15320" max="15320" width="7" style="68" bestFit="1" customWidth="1"/>
    <col min="15321" max="15321" width="1.75" style="68" customWidth="1"/>
    <col min="15322" max="15322" width="8.875" style="68" bestFit="1" customWidth="1"/>
    <col min="15323" max="15323" width="2" style="68" customWidth="1"/>
    <col min="15324" max="15324" width="8.875" style="68" bestFit="1" customWidth="1"/>
    <col min="15325" max="15325" width="6.375" style="68" bestFit="1" customWidth="1"/>
    <col min="15326" max="15326" width="1.375" style="68" customWidth="1"/>
    <col min="15327" max="15327" width="8.5" style="68" bestFit="1" customWidth="1"/>
    <col min="15328" max="15328" width="6.375" style="68" bestFit="1" customWidth="1"/>
    <col min="15329" max="15329" width="1.75" style="68" customWidth="1"/>
    <col min="15330" max="15330" width="9.5" style="68" bestFit="1" customWidth="1"/>
    <col min="15331" max="15331" width="7" style="68" bestFit="1" customWidth="1"/>
    <col min="15332" max="15332" width="1.625" style="68" customWidth="1"/>
    <col min="15333" max="15333" width="7.25" style="68" bestFit="1" customWidth="1"/>
    <col min="15334" max="15334" width="2.625" style="68" customWidth="1"/>
    <col min="15335" max="15335" width="13.25" style="68" customWidth="1"/>
    <col min="15336" max="15336" width="6.375" style="68" bestFit="1" customWidth="1"/>
    <col min="15337" max="15337" width="1.75" style="68" customWidth="1"/>
    <col min="15338" max="15338" width="8.5" style="68"/>
    <col min="15339" max="15339" width="42.25" style="68" bestFit="1" customWidth="1"/>
    <col min="15340" max="15340" width="1.25" style="68" customWidth="1"/>
    <col min="15341" max="15341" width="11.625" style="68" customWidth="1"/>
    <col min="15342" max="15342" width="1.25" style="68" customWidth="1"/>
    <col min="15343" max="15343" width="9.625" style="68" customWidth="1"/>
    <col min="15344" max="15344" width="8.125" style="68" customWidth="1"/>
    <col min="15345" max="15345" width="1.25" style="68" customWidth="1"/>
    <col min="15346" max="15346" width="8.125" style="68" customWidth="1"/>
    <col min="15347" max="15347" width="1.625" style="68" customWidth="1"/>
    <col min="15348" max="15348" width="8" style="68" bestFit="1" customWidth="1"/>
    <col min="15349" max="15349" width="9.75" style="68" bestFit="1" customWidth="1"/>
    <col min="15350" max="15564" width="7" style="68" customWidth="1"/>
    <col min="15565" max="15565" width="20.75" style="68" customWidth="1"/>
    <col min="15566" max="15566" width="1.875" style="68" customWidth="1"/>
    <col min="15567" max="15567" width="14.25" style="68" customWidth="1"/>
    <col min="15568" max="15568" width="4.25" style="68" customWidth="1"/>
    <col min="15569" max="15569" width="8.875" style="68" bestFit="1" customWidth="1"/>
    <col min="15570" max="15570" width="6.375" style="68" bestFit="1" customWidth="1"/>
    <col min="15571" max="15571" width="2.125" style="68" customWidth="1"/>
    <col min="15572" max="15572" width="8.5" style="68" bestFit="1" customWidth="1"/>
    <col min="15573" max="15573" width="6.375" style="68" bestFit="1" customWidth="1"/>
    <col min="15574" max="15574" width="2.375" style="68" customWidth="1"/>
    <col min="15575" max="15575" width="9.5" style="68" bestFit="1" customWidth="1"/>
    <col min="15576" max="15576" width="7" style="68" bestFit="1" customWidth="1"/>
    <col min="15577" max="15577" width="1.75" style="68" customWidth="1"/>
    <col min="15578" max="15578" width="8.875" style="68" bestFit="1" customWidth="1"/>
    <col min="15579" max="15579" width="2" style="68" customWidth="1"/>
    <col min="15580" max="15580" width="8.875" style="68" bestFit="1" customWidth="1"/>
    <col min="15581" max="15581" width="6.375" style="68" bestFit="1" customWidth="1"/>
    <col min="15582" max="15582" width="1.375" style="68" customWidth="1"/>
    <col min="15583" max="15583" width="8.5" style="68" bestFit="1" customWidth="1"/>
    <col min="15584" max="15584" width="6.375" style="68" bestFit="1" customWidth="1"/>
    <col min="15585" max="15585" width="1.75" style="68" customWidth="1"/>
    <col min="15586" max="15586" width="9.5" style="68" bestFit="1" customWidth="1"/>
    <col min="15587" max="15587" width="7" style="68" bestFit="1" customWidth="1"/>
    <col min="15588" max="15588" width="1.625" style="68" customWidth="1"/>
    <col min="15589" max="15589" width="7.25" style="68" bestFit="1" customWidth="1"/>
    <col min="15590" max="15590" width="2.625" style="68" customWidth="1"/>
    <col min="15591" max="15591" width="13.25" style="68" customWidth="1"/>
    <col min="15592" max="15592" width="6.375" style="68" bestFit="1" customWidth="1"/>
    <col min="15593" max="15593" width="1.75" style="68" customWidth="1"/>
    <col min="15594" max="15594" width="8.5" style="68"/>
    <col min="15595" max="15595" width="42.25" style="68" bestFit="1" customWidth="1"/>
    <col min="15596" max="15596" width="1.25" style="68" customWidth="1"/>
    <col min="15597" max="15597" width="11.625" style="68" customWidth="1"/>
    <col min="15598" max="15598" width="1.25" style="68" customWidth="1"/>
    <col min="15599" max="15599" width="9.625" style="68" customWidth="1"/>
    <col min="15600" max="15600" width="8.125" style="68" customWidth="1"/>
    <col min="15601" max="15601" width="1.25" style="68" customWidth="1"/>
    <col min="15602" max="15602" width="8.125" style="68" customWidth="1"/>
    <col min="15603" max="15603" width="1.625" style="68" customWidth="1"/>
    <col min="15604" max="15604" width="8" style="68" bestFit="1" customWidth="1"/>
    <col min="15605" max="15605" width="9.75" style="68" bestFit="1" customWidth="1"/>
    <col min="15606" max="15820" width="7" style="68" customWidth="1"/>
    <col min="15821" max="15821" width="20.75" style="68" customWidth="1"/>
    <col min="15822" max="15822" width="1.875" style="68" customWidth="1"/>
    <col min="15823" max="15823" width="14.25" style="68" customWidth="1"/>
    <col min="15824" max="15824" width="4.25" style="68" customWidth="1"/>
    <col min="15825" max="15825" width="8.875" style="68" bestFit="1" customWidth="1"/>
    <col min="15826" max="15826" width="6.375" style="68" bestFit="1" customWidth="1"/>
    <col min="15827" max="15827" width="2.125" style="68" customWidth="1"/>
    <col min="15828" max="15828" width="8.5" style="68" bestFit="1" customWidth="1"/>
    <col min="15829" max="15829" width="6.375" style="68" bestFit="1" customWidth="1"/>
    <col min="15830" max="15830" width="2.375" style="68" customWidth="1"/>
    <col min="15831" max="15831" width="9.5" style="68" bestFit="1" customWidth="1"/>
    <col min="15832" max="15832" width="7" style="68" bestFit="1" customWidth="1"/>
    <col min="15833" max="15833" width="1.75" style="68" customWidth="1"/>
    <col min="15834" max="15834" width="8.875" style="68" bestFit="1" customWidth="1"/>
    <col min="15835" max="15835" width="2" style="68" customWidth="1"/>
    <col min="15836" max="15836" width="8.875" style="68" bestFit="1" customWidth="1"/>
    <col min="15837" max="15837" width="6.375" style="68" bestFit="1" customWidth="1"/>
    <col min="15838" max="15838" width="1.375" style="68" customWidth="1"/>
    <col min="15839" max="15839" width="8.5" style="68" bestFit="1" customWidth="1"/>
    <col min="15840" max="15840" width="6.375" style="68" bestFit="1" customWidth="1"/>
    <col min="15841" max="15841" width="1.75" style="68" customWidth="1"/>
    <col min="15842" max="15842" width="9.5" style="68" bestFit="1" customWidth="1"/>
    <col min="15843" max="15843" width="7" style="68" bestFit="1" customWidth="1"/>
    <col min="15844" max="15844" width="1.625" style="68" customWidth="1"/>
    <col min="15845" max="15845" width="7.25" style="68" bestFit="1" customWidth="1"/>
    <col min="15846" max="15846" width="2.625" style="68" customWidth="1"/>
    <col min="15847" max="15847" width="13.25" style="68" customWidth="1"/>
    <col min="15848" max="15848" width="6.375" style="68" bestFit="1" customWidth="1"/>
    <col min="15849" max="15849" width="1.75" style="68" customWidth="1"/>
    <col min="15850" max="15850" width="8.5" style="68"/>
    <col min="15851" max="15851" width="42.25" style="68" bestFit="1" customWidth="1"/>
    <col min="15852" max="15852" width="1.25" style="68" customWidth="1"/>
    <col min="15853" max="15853" width="11.625" style="68" customWidth="1"/>
    <col min="15854" max="15854" width="1.25" style="68" customWidth="1"/>
    <col min="15855" max="15855" width="9.625" style="68" customWidth="1"/>
    <col min="15856" max="15856" width="8.125" style="68" customWidth="1"/>
    <col min="15857" max="15857" width="1.25" style="68" customWidth="1"/>
    <col min="15858" max="15858" width="8.125" style="68" customWidth="1"/>
    <col min="15859" max="15859" width="1.625" style="68" customWidth="1"/>
    <col min="15860" max="15860" width="8" style="68" bestFit="1" customWidth="1"/>
    <col min="15861" max="15861" width="9.75" style="68" bestFit="1" customWidth="1"/>
    <col min="15862" max="16076" width="7" style="68" customWidth="1"/>
    <col min="16077" max="16077" width="20.75" style="68" customWidth="1"/>
    <col min="16078" max="16078" width="1.875" style="68" customWidth="1"/>
    <col min="16079" max="16079" width="14.25" style="68" customWidth="1"/>
    <col min="16080" max="16080" width="4.25" style="68" customWidth="1"/>
    <col min="16081" max="16081" width="8.875" style="68" bestFit="1" customWidth="1"/>
    <col min="16082" max="16082" width="6.375" style="68" bestFit="1" customWidth="1"/>
    <col min="16083" max="16083" width="2.125" style="68" customWidth="1"/>
    <col min="16084" max="16084" width="8.5" style="68" bestFit="1" customWidth="1"/>
    <col min="16085" max="16085" width="6.375" style="68" bestFit="1" customWidth="1"/>
    <col min="16086" max="16086" width="2.375" style="68" customWidth="1"/>
    <col min="16087" max="16087" width="9.5" style="68" bestFit="1" customWidth="1"/>
    <col min="16088" max="16088" width="7" style="68" bestFit="1" customWidth="1"/>
    <col min="16089" max="16089" width="1.75" style="68" customWidth="1"/>
    <col min="16090" max="16090" width="8.875" style="68" bestFit="1" customWidth="1"/>
    <col min="16091" max="16091" width="2" style="68" customWidth="1"/>
    <col min="16092" max="16092" width="8.875" style="68" bestFit="1" customWidth="1"/>
    <col min="16093" max="16093" width="6.375" style="68" bestFit="1" customWidth="1"/>
    <col min="16094" max="16094" width="1.375" style="68" customWidth="1"/>
    <col min="16095" max="16095" width="8.5" style="68" bestFit="1" customWidth="1"/>
    <col min="16096" max="16096" width="6.375" style="68" bestFit="1" customWidth="1"/>
    <col min="16097" max="16097" width="1.75" style="68" customWidth="1"/>
    <col min="16098" max="16098" width="9.5" style="68" bestFit="1" customWidth="1"/>
    <col min="16099" max="16099" width="7" style="68" bestFit="1" customWidth="1"/>
    <col min="16100" max="16100" width="1.625" style="68" customWidth="1"/>
    <col min="16101" max="16101" width="7.25" style="68" bestFit="1" customWidth="1"/>
    <col min="16102" max="16102" width="2.625" style="68" customWidth="1"/>
    <col min="16103" max="16103" width="13.25" style="68" customWidth="1"/>
    <col min="16104" max="16104" width="6.375" style="68" bestFit="1" customWidth="1"/>
    <col min="16105" max="16105" width="1.75" style="68" customWidth="1"/>
    <col min="16106" max="16106" width="8.5" style="68"/>
    <col min="16107" max="16107" width="42.25" style="68" bestFit="1" customWidth="1"/>
    <col min="16108" max="16108" width="1.25" style="68" customWidth="1"/>
    <col min="16109" max="16109" width="11.625" style="68" customWidth="1"/>
    <col min="16110" max="16110" width="1.25" style="68" customWidth="1"/>
    <col min="16111" max="16111" width="9.625" style="68" customWidth="1"/>
    <col min="16112" max="16112" width="8.125" style="68" customWidth="1"/>
    <col min="16113" max="16113" width="1.25" style="68" customWidth="1"/>
    <col min="16114" max="16114" width="8.125" style="68" customWidth="1"/>
    <col min="16115" max="16115" width="1.625" style="68" customWidth="1"/>
    <col min="16116" max="16116" width="8" style="68" bestFit="1" customWidth="1"/>
    <col min="16117" max="16117" width="9.75" style="68" bestFit="1" customWidth="1"/>
    <col min="16118" max="16332" width="7" style="68" customWidth="1"/>
    <col min="16333" max="16333" width="20.75" style="68" customWidth="1"/>
    <col min="16334" max="16334" width="1.875" style="68" customWidth="1"/>
    <col min="16335" max="16335" width="14.25" style="68" customWidth="1"/>
    <col min="16336" max="16336" width="4.25" style="68" customWidth="1"/>
    <col min="16337" max="16337" width="8.875" style="68" bestFit="1" customWidth="1"/>
    <col min="16338" max="16338" width="6.375" style="68" bestFit="1" customWidth="1"/>
    <col min="16339" max="16339" width="2.125" style="68" customWidth="1"/>
    <col min="16340" max="16340" width="8.5" style="68" bestFit="1" customWidth="1"/>
    <col min="16341" max="16341" width="6.375" style="68" bestFit="1" customWidth="1"/>
    <col min="16342" max="16342" width="2.375" style="68" customWidth="1"/>
    <col min="16343" max="16343" width="9.5" style="68" bestFit="1" customWidth="1"/>
    <col min="16344" max="16344" width="7" style="68" bestFit="1" customWidth="1"/>
    <col min="16345" max="16345" width="1.75" style="68" customWidth="1"/>
    <col min="16346" max="16346" width="8.875" style="68" bestFit="1" customWidth="1"/>
    <col min="16347" max="16347" width="2" style="68" customWidth="1"/>
    <col min="16348" max="16348" width="8.875" style="68" bestFit="1" customWidth="1"/>
    <col min="16349" max="16349" width="6.375" style="68" bestFit="1" customWidth="1"/>
    <col min="16350" max="16350" width="1.375" style="68" customWidth="1"/>
    <col min="16351" max="16351" width="8.5" style="68" bestFit="1" customWidth="1"/>
    <col min="16352" max="16352" width="6.375" style="68" bestFit="1" customWidth="1"/>
    <col min="16353" max="16353" width="1.75" style="68" customWidth="1"/>
    <col min="16354" max="16354" width="9.5" style="68" bestFit="1" customWidth="1"/>
    <col min="16355" max="16355" width="7" style="68" bestFit="1" customWidth="1"/>
    <col min="16356" max="16384" width="1.625" style="68" customWidth="1"/>
  </cols>
  <sheetData>
    <row r="1" spans="1:16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</row>
    <row r="2" spans="1:16" s="69" customFormat="1" ht="15.75" customHeight="1">
      <c r="A2" s="67" t="s">
        <v>336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</row>
    <row r="3" spans="1:16" ht="33" customHeight="1"/>
    <row r="4" spans="1:16" ht="33" customHeight="1">
      <c r="C4" s="164" t="s">
        <v>338</v>
      </c>
      <c r="D4" s="165"/>
      <c r="E4" s="165"/>
    </row>
    <row r="5" spans="1:16" s="69" customFormat="1">
      <c r="C5" s="70" t="s">
        <v>267</v>
      </c>
      <c r="D5" s="70"/>
      <c r="E5" s="67" t="s">
        <v>2</v>
      </c>
      <c r="F5" s="70"/>
      <c r="G5" s="67"/>
      <c r="H5" s="67"/>
      <c r="I5" s="70"/>
      <c r="J5" s="67"/>
      <c r="K5" s="67"/>
      <c r="L5" s="70"/>
      <c r="M5" s="67"/>
      <c r="N5" s="67"/>
    </row>
    <row r="6" spans="1:16" s="69" customFormat="1">
      <c r="C6" s="70" t="s">
        <v>309</v>
      </c>
      <c r="D6" s="70"/>
      <c r="E6" s="67" t="s">
        <v>264</v>
      </c>
      <c r="F6" s="70"/>
      <c r="G6" s="67" t="s">
        <v>339</v>
      </c>
      <c r="H6" s="67"/>
      <c r="I6" s="70"/>
      <c r="J6" s="67" t="s">
        <v>340</v>
      </c>
      <c r="K6" s="67"/>
      <c r="L6" s="70"/>
      <c r="M6" s="67" t="s">
        <v>341</v>
      </c>
      <c r="N6" s="67"/>
    </row>
    <row r="7" spans="1:16" s="69" customFormat="1">
      <c r="A7" s="71" t="s">
        <v>310</v>
      </c>
      <c r="C7" s="72" t="s">
        <v>268</v>
      </c>
      <c r="E7" s="72" t="s">
        <v>268</v>
      </c>
      <c r="G7" s="72" t="s">
        <v>268</v>
      </c>
      <c r="H7" s="72" t="s">
        <v>311</v>
      </c>
      <c r="J7" s="72" t="s">
        <v>268</v>
      </c>
      <c r="K7" s="72" t="s">
        <v>311</v>
      </c>
      <c r="M7" s="72" t="s">
        <v>268</v>
      </c>
      <c r="N7" s="72" t="s">
        <v>311</v>
      </c>
    </row>
    <row r="8" spans="1:16">
      <c r="A8" s="68" t="s">
        <v>312</v>
      </c>
      <c r="C8" s="73">
        <v>623014.36641879997</v>
      </c>
      <c r="E8" s="73">
        <v>45785.363888061358</v>
      </c>
      <c r="G8" s="73">
        <f>$E8/$E$26*G$26</f>
        <v>7826.5579295831367</v>
      </c>
      <c r="H8" s="74">
        <f>G8/($C8+$E8)</f>
        <v>1.1702393967760908E-2</v>
      </c>
      <c r="J8" s="73">
        <f>$E8/$E$26*J$26</f>
        <v>1526.1787962687117</v>
      </c>
      <c r="K8" s="74">
        <f>J8/($C8+$E8)</f>
        <v>2.2819668237133773E-3</v>
      </c>
      <c r="M8" s="73">
        <f>G8+J8</f>
        <v>9352.736725851848</v>
      </c>
      <c r="N8" s="74">
        <f>M8/($C8+$E8)</f>
        <v>1.3984360791474285E-2</v>
      </c>
      <c r="O8" s="171"/>
      <c r="P8" s="171"/>
    </row>
    <row r="9" spans="1:16">
      <c r="A9" s="68" t="s">
        <v>313</v>
      </c>
      <c r="C9" s="73">
        <v>460778.65638280002</v>
      </c>
      <c r="E9" s="73">
        <v>29080.853754948916</v>
      </c>
      <c r="G9" s="73">
        <f t="shared" ref="G9:G25" si="0">$E9/$E$26*G$26</f>
        <v>4971.0861119570791</v>
      </c>
      <c r="H9" s="74">
        <f t="shared" ref="H9:H27" si="1">G9/($C9+$E9)</f>
        <v>1.0147983266792565E-2</v>
      </c>
      <c r="J9" s="73">
        <f t="shared" ref="J9:J25" si="2">$E9/$E$26*J$26</f>
        <v>969.3617918316304</v>
      </c>
      <c r="K9" s="74">
        <f t="shared" ref="K9:K27" si="3">J9/($C9+$E9)</f>
        <v>1.9788567370245501E-3</v>
      </c>
      <c r="M9" s="73">
        <f t="shared" ref="M9:M27" si="4">G9+J9</f>
        <v>5940.4479037887095</v>
      </c>
      <c r="N9" s="74">
        <f t="shared" ref="N9:N27" si="5">M9/($C9+$E9)</f>
        <v>1.2126840003817115E-2</v>
      </c>
      <c r="O9" s="171"/>
      <c r="P9" s="171"/>
    </row>
    <row r="10" spans="1:16">
      <c r="A10" s="68" t="s">
        <v>314</v>
      </c>
      <c r="C10" s="73">
        <v>138876.68594639999</v>
      </c>
      <c r="E10" s="73">
        <v>10139.722219154162</v>
      </c>
      <c r="G10" s="73">
        <f t="shared" si="0"/>
        <v>1733.2858494280617</v>
      </c>
      <c r="H10" s="74">
        <f t="shared" si="1"/>
        <v>1.1631510051580475E-2</v>
      </c>
      <c r="J10" s="73">
        <f t="shared" si="2"/>
        <v>337.99074063847206</v>
      </c>
      <c r="K10" s="74">
        <f t="shared" si="3"/>
        <v>2.2681444600581926E-3</v>
      </c>
      <c r="M10" s="73">
        <f t="shared" si="4"/>
        <v>2071.2765900665336</v>
      </c>
      <c r="N10" s="74">
        <f t="shared" si="5"/>
        <v>1.3899654511638666E-2</v>
      </c>
      <c r="O10" s="171"/>
      <c r="P10" s="171"/>
    </row>
    <row r="11" spans="1:16">
      <c r="A11" s="68" t="s">
        <v>315</v>
      </c>
      <c r="C11" s="73">
        <v>13801.649793099999</v>
      </c>
      <c r="E11" s="73">
        <v>0</v>
      </c>
      <c r="G11" s="73">
        <f t="shared" si="0"/>
        <v>0</v>
      </c>
      <c r="H11" s="74">
        <f t="shared" si="1"/>
        <v>0</v>
      </c>
      <c r="J11" s="73">
        <f t="shared" si="2"/>
        <v>0</v>
      </c>
      <c r="K11" s="74">
        <f t="shared" si="3"/>
        <v>0</v>
      </c>
      <c r="M11" s="73">
        <f t="shared" si="4"/>
        <v>0</v>
      </c>
      <c r="N11" s="74">
        <f t="shared" si="5"/>
        <v>0</v>
      </c>
      <c r="O11" s="171"/>
      <c r="P11" s="171"/>
    </row>
    <row r="12" spans="1:16">
      <c r="A12" s="68" t="s">
        <v>316</v>
      </c>
      <c r="C12" s="73">
        <v>215589.84022069999</v>
      </c>
      <c r="E12" s="73">
        <v>18286.618830807558</v>
      </c>
      <c r="G12" s="73">
        <f t="shared" si="0"/>
        <v>3125.9177488559926</v>
      </c>
      <c r="H12" s="74">
        <f t="shared" si="1"/>
        <v>1.3365679305789212E-2</v>
      </c>
      <c r="J12" s="73">
        <f t="shared" si="2"/>
        <v>609.5539610269185</v>
      </c>
      <c r="K12" s="74">
        <f t="shared" si="3"/>
        <v>2.6063074646288961E-3</v>
      </c>
      <c r="M12" s="73">
        <f t="shared" si="4"/>
        <v>3735.471709882911</v>
      </c>
      <c r="N12" s="74">
        <f t="shared" si="5"/>
        <v>1.5971986770418108E-2</v>
      </c>
      <c r="O12" s="171"/>
      <c r="P12" s="171"/>
    </row>
    <row r="13" spans="1:16">
      <c r="A13" s="68" t="s">
        <v>317</v>
      </c>
      <c r="C13" s="73">
        <v>12157.883037200001</v>
      </c>
      <c r="E13" s="73">
        <v>865.79221157960365</v>
      </c>
      <c r="G13" s="73">
        <f t="shared" si="0"/>
        <v>147.99866864608606</v>
      </c>
      <c r="H13" s="74">
        <f t="shared" si="1"/>
        <v>1.1363817495369015E-2</v>
      </c>
      <c r="J13" s="73">
        <f t="shared" si="2"/>
        <v>28.859740385986782</v>
      </c>
      <c r="K13" s="74">
        <f t="shared" si="3"/>
        <v>2.215944411596958E-3</v>
      </c>
      <c r="M13" s="73">
        <f t="shared" si="4"/>
        <v>176.85840903207284</v>
      </c>
      <c r="N13" s="74">
        <f t="shared" si="5"/>
        <v>1.3579761906965972E-2</v>
      </c>
      <c r="O13" s="171"/>
      <c r="P13" s="171"/>
    </row>
    <row r="14" spans="1:16">
      <c r="A14" s="68" t="s">
        <v>318</v>
      </c>
      <c r="C14" s="73">
        <v>1218.1327200000001</v>
      </c>
      <c r="E14" s="73">
        <v>0</v>
      </c>
      <c r="G14" s="73">
        <f t="shared" si="0"/>
        <v>0</v>
      </c>
      <c r="H14" s="74">
        <f t="shared" si="1"/>
        <v>0</v>
      </c>
      <c r="J14" s="73">
        <f t="shared" si="2"/>
        <v>0</v>
      </c>
      <c r="K14" s="74">
        <f t="shared" si="3"/>
        <v>0</v>
      </c>
      <c r="M14" s="73">
        <f t="shared" si="4"/>
        <v>0</v>
      </c>
      <c r="N14" s="74">
        <f t="shared" si="5"/>
        <v>0</v>
      </c>
      <c r="O14" s="171"/>
      <c r="P14" s="171"/>
    </row>
    <row r="15" spans="1:16">
      <c r="A15" s="68" t="s">
        <v>319</v>
      </c>
      <c r="C15" s="73">
        <v>521.27995859999999</v>
      </c>
      <c r="E15" s="73">
        <v>38.059908634745128</v>
      </c>
      <c r="G15" s="73">
        <f t="shared" si="0"/>
        <v>6.505967287990619</v>
      </c>
      <c r="H15" s="74">
        <f t="shared" si="1"/>
        <v>1.1631510051580462E-2</v>
      </c>
      <c r="J15" s="73">
        <f t="shared" si="2"/>
        <v>1.2686636211581708</v>
      </c>
      <c r="K15" s="74">
        <f t="shared" si="3"/>
        <v>2.26814446005819E-3</v>
      </c>
      <c r="M15" s="73">
        <f t="shared" si="4"/>
        <v>7.7746309091487902</v>
      </c>
      <c r="N15" s="74">
        <f t="shared" si="5"/>
        <v>1.3899654511638652E-2</v>
      </c>
      <c r="O15" s="171"/>
      <c r="P15" s="171"/>
    </row>
    <row r="16" spans="1:16">
      <c r="A16" s="68" t="s">
        <v>320</v>
      </c>
      <c r="C16" s="73">
        <v>281.23465000000004</v>
      </c>
      <c r="E16" s="73">
        <v>23.824066364976286</v>
      </c>
      <c r="G16" s="73">
        <f t="shared" si="0"/>
        <v>4.072489976919023</v>
      </c>
      <c r="H16" s="74">
        <f t="shared" si="1"/>
        <v>1.3349856137356331E-2</v>
      </c>
      <c r="J16" s="73">
        <f t="shared" si="2"/>
        <v>0.79413554549920939</v>
      </c>
      <c r="K16" s="74">
        <f t="shared" si="3"/>
        <v>2.6032219467844843E-3</v>
      </c>
      <c r="M16" s="73">
        <f t="shared" si="4"/>
        <v>4.8666255224182322</v>
      </c>
      <c r="N16" s="74">
        <f t="shared" si="5"/>
        <v>1.5953078084140815E-2</v>
      </c>
      <c r="O16" s="171"/>
      <c r="P16" s="171"/>
    </row>
    <row r="17" spans="1:16">
      <c r="A17" s="68" t="s">
        <v>321</v>
      </c>
      <c r="C17" s="73">
        <v>121797.0054729</v>
      </c>
      <c r="E17" s="73">
        <v>7686.903147279394</v>
      </c>
      <c r="G17" s="73">
        <f t="shared" si="0"/>
        <v>1314.0005379964775</v>
      </c>
      <c r="H17" s="74">
        <f t="shared" si="1"/>
        <v>1.0147983266792561E-2</v>
      </c>
      <c r="J17" s="73">
        <f t="shared" si="2"/>
        <v>256.23010490931313</v>
      </c>
      <c r="K17" s="74">
        <f t="shared" si="3"/>
        <v>1.9788567370245492E-3</v>
      </c>
      <c r="M17" s="73">
        <f t="shared" si="4"/>
        <v>1570.2306429057908</v>
      </c>
      <c r="N17" s="74">
        <f t="shared" si="5"/>
        <v>1.2126840003817111E-2</v>
      </c>
      <c r="O17" s="171"/>
      <c r="P17" s="171"/>
    </row>
    <row r="18" spans="1:16">
      <c r="A18" s="68" t="s">
        <v>322</v>
      </c>
      <c r="C18" s="73">
        <v>793.09077920000004</v>
      </c>
      <c r="E18" s="73">
        <v>57.905473052289416</v>
      </c>
      <c r="G18" s="73">
        <f t="shared" si="0"/>
        <v>9.8983714619298127</v>
      </c>
      <c r="H18" s="74">
        <f t="shared" si="1"/>
        <v>1.1631510051580468E-2</v>
      </c>
      <c r="J18" s="73">
        <f t="shared" si="2"/>
        <v>1.9301824350763135</v>
      </c>
      <c r="K18" s="74">
        <f t="shared" si="3"/>
        <v>2.2681444600581913E-3</v>
      </c>
      <c r="M18" s="73">
        <f t="shared" si="4"/>
        <v>11.828553897006126</v>
      </c>
      <c r="N18" s="74">
        <f t="shared" si="5"/>
        <v>1.3899654511638659E-2</v>
      </c>
      <c r="O18" s="171"/>
      <c r="P18" s="171"/>
    </row>
    <row r="19" spans="1:16">
      <c r="A19" s="68" t="s">
        <v>323</v>
      </c>
      <c r="C19" s="73">
        <v>0.629</v>
      </c>
      <c r="E19" s="73">
        <v>0</v>
      </c>
      <c r="G19" s="73">
        <f t="shared" si="0"/>
        <v>0</v>
      </c>
      <c r="H19" s="74">
        <f t="shared" si="1"/>
        <v>0</v>
      </c>
      <c r="J19" s="73">
        <f t="shared" si="2"/>
        <v>0</v>
      </c>
      <c r="K19" s="74">
        <f t="shared" si="3"/>
        <v>0</v>
      </c>
      <c r="M19" s="73">
        <f t="shared" si="4"/>
        <v>0</v>
      </c>
      <c r="N19" s="74">
        <f t="shared" si="5"/>
        <v>0</v>
      </c>
      <c r="O19" s="171"/>
      <c r="P19" s="171"/>
    </row>
    <row r="20" spans="1:16">
      <c r="A20" s="68" t="s">
        <v>324</v>
      </c>
      <c r="C20" s="73">
        <v>17.277000000000001</v>
      </c>
      <c r="E20" s="73">
        <v>0</v>
      </c>
      <c r="G20" s="73">
        <f t="shared" si="0"/>
        <v>0</v>
      </c>
      <c r="H20" s="74">
        <f t="shared" si="1"/>
        <v>0</v>
      </c>
      <c r="J20" s="73">
        <f t="shared" si="2"/>
        <v>0</v>
      </c>
      <c r="K20" s="74">
        <f t="shared" si="3"/>
        <v>0</v>
      </c>
      <c r="M20" s="73">
        <f t="shared" si="4"/>
        <v>0</v>
      </c>
      <c r="N20" s="74">
        <f t="shared" si="5"/>
        <v>0</v>
      </c>
      <c r="O20" s="171"/>
      <c r="P20" s="171"/>
    </row>
    <row r="21" spans="1:16">
      <c r="A21" s="68" t="s">
        <v>325</v>
      </c>
      <c r="C21" s="73">
        <v>22942.658742756612</v>
      </c>
      <c r="E21" s="73">
        <v>0</v>
      </c>
      <c r="G21" s="73">
        <f t="shared" si="0"/>
        <v>0</v>
      </c>
      <c r="H21" s="74">
        <f t="shared" si="1"/>
        <v>0</v>
      </c>
      <c r="J21" s="73">
        <f t="shared" si="2"/>
        <v>0</v>
      </c>
      <c r="K21" s="74">
        <f t="shared" si="3"/>
        <v>0</v>
      </c>
      <c r="M21" s="73">
        <f t="shared" si="4"/>
        <v>0</v>
      </c>
      <c r="N21" s="74">
        <f t="shared" si="5"/>
        <v>0</v>
      </c>
      <c r="O21" s="171"/>
      <c r="P21" s="171"/>
    </row>
    <row r="22" spans="1:16">
      <c r="A22" s="68" t="s">
        <v>326</v>
      </c>
      <c r="C22" s="73">
        <v>30307.371080770277</v>
      </c>
      <c r="E22" s="73">
        <v>0</v>
      </c>
      <c r="G22" s="73">
        <f t="shared" si="0"/>
        <v>0</v>
      </c>
      <c r="H22" s="74">
        <f t="shared" si="1"/>
        <v>0</v>
      </c>
      <c r="J22" s="73">
        <f t="shared" si="2"/>
        <v>0</v>
      </c>
      <c r="K22" s="74">
        <f t="shared" si="3"/>
        <v>0</v>
      </c>
      <c r="M22" s="73">
        <f t="shared" si="4"/>
        <v>0</v>
      </c>
      <c r="N22" s="74">
        <f t="shared" si="5"/>
        <v>0</v>
      </c>
      <c r="O22" s="171"/>
      <c r="P22" s="171"/>
    </row>
    <row r="23" spans="1:16" s="75" customFormat="1">
      <c r="A23" s="68" t="s">
        <v>333</v>
      </c>
      <c r="B23" s="68"/>
      <c r="C23" s="73">
        <v>46004.667615563194</v>
      </c>
      <c r="D23" s="68"/>
      <c r="E23" s="73">
        <v>4267.0884459931249</v>
      </c>
      <c r="F23" s="68"/>
      <c r="G23" s="73">
        <f t="shared" si="0"/>
        <v>729.41682837489304</v>
      </c>
      <c r="H23" s="74">
        <f t="shared" si="1"/>
        <v>1.4509475807484089E-2</v>
      </c>
      <c r="I23" s="68"/>
      <c r="J23" s="73">
        <f t="shared" si="2"/>
        <v>142.23628153310415</v>
      </c>
      <c r="K23" s="74">
        <f t="shared" si="3"/>
        <v>2.8293477824593975E-3</v>
      </c>
      <c r="L23" s="68"/>
      <c r="M23" s="73">
        <f t="shared" si="4"/>
        <v>871.65310990799719</v>
      </c>
      <c r="N23" s="74">
        <f t="shared" si="5"/>
        <v>1.7338823589943486E-2</v>
      </c>
      <c r="O23" s="171"/>
      <c r="P23" s="171"/>
    </row>
    <row r="24" spans="1:16">
      <c r="A24" s="68" t="s">
        <v>334</v>
      </c>
      <c r="C24" s="73">
        <v>10557.777273195708</v>
      </c>
      <c r="E24" s="73">
        <v>767.86805412386332</v>
      </c>
      <c r="G24" s="73">
        <f t="shared" si="0"/>
        <v>131.2594964314296</v>
      </c>
      <c r="H24" s="74">
        <f t="shared" si="1"/>
        <v>1.1589582106620202E-2</v>
      </c>
      <c r="J24" s="73">
        <f t="shared" si="2"/>
        <v>25.595601804128773</v>
      </c>
      <c r="K24" s="74">
        <f t="shared" si="3"/>
        <v>2.2599685107909393E-3</v>
      </c>
      <c r="M24" s="73">
        <f t="shared" si="4"/>
        <v>156.85509823555836</v>
      </c>
      <c r="N24" s="74">
        <f t="shared" si="5"/>
        <v>1.384955061741114E-2</v>
      </c>
      <c r="O24" s="171"/>
      <c r="P24" s="171"/>
    </row>
    <row r="25" spans="1:16">
      <c r="A25" s="76" t="s">
        <v>272</v>
      </c>
      <c r="B25" s="76"/>
      <c r="C25" s="77">
        <v>3577.6234300000001</v>
      </c>
      <c r="D25" s="76"/>
      <c r="E25" s="77">
        <v>0</v>
      </c>
      <c r="F25" s="76"/>
      <c r="G25" s="77">
        <f t="shared" si="0"/>
        <v>0</v>
      </c>
      <c r="H25" s="78">
        <f t="shared" si="1"/>
        <v>0</v>
      </c>
      <c r="I25" s="76"/>
      <c r="J25" s="77">
        <f t="shared" si="2"/>
        <v>0</v>
      </c>
      <c r="K25" s="78">
        <f t="shared" si="3"/>
        <v>0</v>
      </c>
      <c r="L25" s="76"/>
      <c r="M25" s="77">
        <f t="shared" si="4"/>
        <v>0</v>
      </c>
      <c r="N25" s="78">
        <f t="shared" si="5"/>
        <v>0</v>
      </c>
      <c r="O25" s="171"/>
      <c r="P25" s="171"/>
    </row>
    <row r="26" spans="1:16" ht="16.5" thickBot="1">
      <c r="A26" s="79" t="s">
        <v>327</v>
      </c>
      <c r="B26" s="80"/>
      <c r="C26" s="81">
        <v>1702237.829521986</v>
      </c>
      <c r="D26" s="80"/>
      <c r="E26" s="81">
        <v>117000.00000000001</v>
      </c>
      <c r="F26" s="80"/>
      <c r="G26" s="170">
        <v>20000</v>
      </c>
      <c r="H26" s="82">
        <f t="shared" si="1"/>
        <v>1.0993614839932777E-2</v>
      </c>
      <c r="I26" s="80"/>
      <c r="J26" s="170">
        <f>7800/2</f>
        <v>3900</v>
      </c>
      <c r="K26" s="82">
        <f t="shared" si="3"/>
        <v>2.1437548937868916E-3</v>
      </c>
      <c r="L26" s="80"/>
      <c r="M26" s="81">
        <f t="shared" si="4"/>
        <v>23900</v>
      </c>
      <c r="N26" s="82">
        <f t="shared" si="5"/>
        <v>1.3137369733719668E-2</v>
      </c>
      <c r="O26" s="171"/>
      <c r="P26" s="171"/>
    </row>
    <row r="27" spans="1:16" ht="17.25" thickTop="1" thickBot="1">
      <c r="A27" s="83" t="s">
        <v>328</v>
      </c>
      <c r="B27" s="84"/>
      <c r="C27" s="85">
        <v>1645410.1762684591</v>
      </c>
      <c r="D27" s="84"/>
      <c r="E27" s="85">
        <v>117000.00000000001</v>
      </c>
      <c r="F27" s="84"/>
      <c r="G27" s="85">
        <f>+G26-G21-G22-G25</f>
        <v>20000</v>
      </c>
      <c r="H27" s="86">
        <f t="shared" si="1"/>
        <v>1.1348096072814267E-2</v>
      </c>
      <c r="I27" s="84"/>
      <c r="J27" s="85">
        <f>+J26-J21-J22-J25</f>
        <v>3900</v>
      </c>
      <c r="K27" s="86">
        <f t="shared" si="3"/>
        <v>2.2128787341987822E-3</v>
      </c>
      <c r="L27" s="84"/>
      <c r="M27" s="85">
        <f t="shared" si="4"/>
        <v>23900</v>
      </c>
      <c r="N27" s="86">
        <f t="shared" si="5"/>
        <v>1.3560974807013048E-2</v>
      </c>
      <c r="O27" s="171"/>
      <c r="P27" s="171"/>
    </row>
    <row r="28" spans="1:16" ht="16.5" thickTop="1"/>
    <row r="29" spans="1:16">
      <c r="A29" s="87" t="s">
        <v>332</v>
      </c>
    </row>
    <row r="30" spans="1:16">
      <c r="A30" s="87" t="s">
        <v>342</v>
      </c>
    </row>
    <row r="32" spans="1:16">
      <c r="H32" s="317" t="s">
        <v>449</v>
      </c>
      <c r="J32" s="316">
        <f>J26/(G26+J26)</f>
        <v>0.16317991631799164</v>
      </c>
    </row>
    <row r="33" spans="3:3">
      <c r="C33" s="73"/>
    </row>
    <row r="34" spans="3:3">
      <c r="C34" s="73"/>
    </row>
    <row r="35" spans="3:3">
      <c r="C35" s="73"/>
    </row>
    <row r="36" spans="3:3">
      <c r="C36" s="73"/>
    </row>
    <row r="37" spans="3:3">
      <c r="C37" s="73"/>
    </row>
    <row r="38" spans="3:3">
      <c r="C38" s="73"/>
    </row>
    <row r="39" spans="3:3">
      <c r="C39" s="73"/>
    </row>
    <row r="40" spans="3:3">
      <c r="C40" s="73"/>
    </row>
    <row r="41" spans="3:3">
      <c r="C41" s="73"/>
    </row>
    <row r="42" spans="3:3">
      <c r="C42" s="73"/>
    </row>
    <row r="43" spans="3:3">
      <c r="C43" s="73"/>
    </row>
    <row r="44" spans="3:3">
      <c r="C44" s="73"/>
    </row>
    <row r="45" spans="3:3">
      <c r="C45" s="73"/>
    </row>
    <row r="46" spans="3:3">
      <c r="C46" s="73"/>
    </row>
    <row r="47" spans="3:3">
      <c r="C47" s="73"/>
    </row>
    <row r="48" spans="3:3">
      <c r="C48" s="73"/>
    </row>
    <row r="49" spans="3:3">
      <c r="C49" s="73"/>
    </row>
    <row r="50" spans="3:3">
      <c r="C50" s="73"/>
    </row>
    <row r="51" spans="3:3">
      <c r="C51" s="73"/>
    </row>
    <row r="52" spans="3:3">
      <c r="C52" s="73"/>
    </row>
  </sheetData>
  <printOptions horizontalCentered="1"/>
  <pageMargins left="0.5" right="0.5" top="1" bottom="1" header="0.5" footer="0.5"/>
  <pageSetup scale="8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84"/>
  <sheetViews>
    <sheetView zoomScale="85" zoomScaleNormal="85" workbookViewId="0">
      <selection activeCell="H26" sqref="H26"/>
    </sheetView>
  </sheetViews>
  <sheetFormatPr defaultRowHeight="12.75"/>
  <cols>
    <col min="1" max="1" width="9" style="477"/>
    <col min="2" max="2" width="1.625" style="477" customWidth="1"/>
    <col min="3" max="3" width="3.125" style="477" customWidth="1"/>
    <col min="4" max="4" width="42.625" style="477" customWidth="1"/>
    <col min="5" max="5" width="13.875" style="477" customWidth="1"/>
    <col min="6" max="6" width="1.625" style="477" customWidth="1"/>
    <col min="7" max="7" width="13.125" style="477" bestFit="1" customWidth="1"/>
    <col min="8" max="8" width="4.25" style="477" customWidth="1"/>
    <col min="9" max="9" width="36.875" style="477" bestFit="1" customWidth="1"/>
    <col min="10" max="10" width="15.375" style="477" customWidth="1"/>
    <col min="11" max="12" width="9" style="477"/>
    <col min="13" max="13" width="12.5" style="477" bestFit="1" customWidth="1"/>
    <col min="14" max="24" width="9" style="477"/>
    <col min="25" max="25" width="11" style="477" bestFit="1" customWidth="1"/>
    <col min="26" max="16384" width="9" style="477"/>
  </cols>
  <sheetData>
    <row r="2" spans="2:8">
      <c r="B2" s="474"/>
      <c r="C2" s="475"/>
      <c r="D2" s="475"/>
      <c r="E2" s="475"/>
      <c r="F2" s="476"/>
    </row>
    <row r="3" spans="2:8">
      <c r="B3" s="478"/>
      <c r="C3" s="479" t="s">
        <v>512</v>
      </c>
      <c r="D3" s="480"/>
      <c r="E3" s="480"/>
      <c r="F3" s="481"/>
    </row>
    <row r="4" spans="2:8">
      <c r="B4" s="478"/>
      <c r="C4" s="482"/>
      <c r="D4" s="480"/>
      <c r="E4" s="480"/>
      <c r="F4" s="481"/>
    </row>
    <row r="5" spans="2:8">
      <c r="B5" s="478"/>
      <c r="C5" s="480"/>
      <c r="D5" s="483" t="s">
        <v>513</v>
      </c>
      <c r="E5" s="484">
        <v>27.044057987412565</v>
      </c>
      <c r="F5" s="481"/>
    </row>
    <row r="6" spans="2:8">
      <c r="B6" s="478"/>
      <c r="C6" s="480"/>
      <c r="D6" s="483" t="s">
        <v>514</v>
      </c>
      <c r="E6" s="485">
        <v>25.438926597878559</v>
      </c>
      <c r="F6" s="481"/>
    </row>
    <row r="7" spans="2:8">
      <c r="B7" s="478"/>
      <c r="C7" s="480"/>
      <c r="D7" s="480" t="s">
        <v>515</v>
      </c>
      <c r="E7" s="486">
        <f>+E5-E6</f>
        <v>1.6051313895340051</v>
      </c>
      <c r="F7" s="481"/>
    </row>
    <row r="8" spans="2:8">
      <c r="B8" s="478"/>
      <c r="C8" s="480"/>
      <c r="D8" s="480"/>
      <c r="E8" s="487"/>
      <c r="F8" s="481"/>
    </row>
    <row r="9" spans="2:8">
      <c r="B9" s="478"/>
      <c r="C9" s="480"/>
      <c r="D9" s="483" t="s">
        <v>516</v>
      </c>
      <c r="E9" s="488">
        <v>24456527.647000004</v>
      </c>
      <c r="F9" s="481"/>
    </row>
    <row r="10" spans="2:8">
      <c r="B10" s="478"/>
      <c r="C10" s="480"/>
      <c r="D10" s="483"/>
      <c r="E10" s="488"/>
      <c r="F10" s="481"/>
    </row>
    <row r="11" spans="2:8">
      <c r="B11" s="478"/>
      <c r="C11" s="480"/>
      <c r="D11" s="483" t="s">
        <v>517</v>
      </c>
      <c r="E11" s="489">
        <v>39454809.24735415</v>
      </c>
      <c r="F11" s="481"/>
      <c r="G11" s="490"/>
      <c r="H11" s="490"/>
    </row>
    <row r="12" spans="2:8">
      <c r="B12" s="478"/>
      <c r="C12" s="480"/>
      <c r="D12" s="482"/>
      <c r="E12" s="491"/>
      <c r="F12" s="481"/>
    </row>
    <row r="13" spans="2:8">
      <c r="B13" s="478"/>
      <c r="C13" s="480"/>
      <c r="D13" s="483" t="s">
        <v>518</v>
      </c>
      <c r="E13" s="489">
        <f>+E11*0.7</f>
        <v>27618366.473147903</v>
      </c>
      <c r="F13" s="481"/>
    </row>
    <row r="14" spans="2:8">
      <c r="B14" s="478"/>
      <c r="C14" s="480"/>
      <c r="D14" s="483" t="s">
        <v>519</v>
      </c>
      <c r="E14" s="489">
        <v>-1128262</v>
      </c>
      <c r="F14" s="481"/>
    </row>
    <row r="15" spans="2:8">
      <c r="B15" s="478"/>
      <c r="C15" s="480"/>
      <c r="D15" s="480"/>
      <c r="E15" s="480"/>
      <c r="F15" s="481"/>
    </row>
    <row r="16" spans="2:8">
      <c r="B16" s="478"/>
      <c r="C16" s="480"/>
      <c r="D16" s="480" t="s">
        <v>520</v>
      </c>
      <c r="E16" s="489">
        <v>470670.63879628736</v>
      </c>
      <c r="F16" s="481"/>
    </row>
    <row r="17" spans="2:24">
      <c r="B17" s="478"/>
      <c r="C17" s="480"/>
      <c r="D17" s="480" t="s">
        <v>521</v>
      </c>
      <c r="E17" s="489">
        <v>1378777.5991468467</v>
      </c>
      <c r="F17" s="481"/>
    </row>
    <row r="18" spans="2:24">
      <c r="B18" s="478"/>
      <c r="C18" s="480"/>
      <c r="D18" s="480"/>
      <c r="E18" s="480"/>
      <c r="F18" s="481"/>
    </row>
    <row r="19" spans="2:24" ht="13.5" thickBot="1">
      <c r="B19" s="478"/>
      <c r="C19" s="480"/>
      <c r="D19" s="482" t="s">
        <v>522</v>
      </c>
      <c r="E19" s="492">
        <f>+E13+E14+E16+E17</f>
        <v>28339552.711091038</v>
      </c>
      <c r="F19" s="481"/>
    </row>
    <row r="20" spans="2:24" ht="13.5" thickTop="1">
      <c r="B20" s="478"/>
      <c r="C20" s="480"/>
      <c r="D20" s="480"/>
      <c r="E20" s="480"/>
      <c r="F20" s="481"/>
    </row>
    <row r="21" spans="2:24">
      <c r="B21" s="478"/>
      <c r="C21" s="493" t="s">
        <v>523</v>
      </c>
      <c r="D21" s="480"/>
      <c r="E21" s="480"/>
      <c r="F21" s="481"/>
    </row>
    <row r="22" spans="2:24">
      <c r="B22" s="494"/>
      <c r="C22" s="495"/>
      <c r="D22" s="495"/>
      <c r="E22" s="495"/>
      <c r="F22" s="496"/>
    </row>
    <row r="27" spans="2:24">
      <c r="B27" s="474"/>
      <c r="C27" s="475"/>
      <c r="D27" s="475"/>
      <c r="E27" s="475"/>
      <c r="F27" s="476"/>
      <c r="M27" s="497">
        <v>41275</v>
      </c>
      <c r="N27" s="497">
        <v>41306</v>
      </c>
      <c r="O27" s="497">
        <v>41334</v>
      </c>
      <c r="P27" s="497">
        <v>41365</v>
      </c>
      <c r="Q27" s="497">
        <v>41395</v>
      </c>
      <c r="R27" s="497">
        <v>41426</v>
      </c>
      <c r="S27" s="497">
        <v>41456</v>
      </c>
      <c r="T27" s="497">
        <v>41487</v>
      </c>
      <c r="U27" s="497">
        <v>41518</v>
      </c>
      <c r="V27" s="497">
        <v>41548</v>
      </c>
      <c r="W27" s="497">
        <v>41579</v>
      </c>
      <c r="X27" s="497">
        <v>41609</v>
      </c>
    </row>
    <row r="28" spans="2:24" ht="15.75">
      <c r="B28" s="478"/>
      <c r="C28" s="480"/>
      <c r="D28" s="480" t="s">
        <v>524</v>
      </c>
      <c r="E28" s="498">
        <v>697427371.67922139</v>
      </c>
      <c r="F28" s="481"/>
      <c r="G28" s="499"/>
      <c r="H28" s="499"/>
      <c r="L28" s="477" t="s">
        <v>525</v>
      </c>
      <c r="M28" s="477">
        <v>25.224646462766525</v>
      </c>
      <c r="N28" s="477">
        <v>25.691042192379552</v>
      </c>
      <c r="O28" s="477">
        <v>26.128347720775352</v>
      </c>
      <c r="P28" s="477">
        <v>26.344687543484536</v>
      </c>
      <c r="Q28" s="477">
        <v>26.457055753012018</v>
      </c>
      <c r="R28" s="477">
        <v>28.098596866185346</v>
      </c>
      <c r="S28" s="477">
        <v>28.003746723671917</v>
      </c>
      <c r="T28" s="477">
        <v>28.844625663896149</v>
      </c>
      <c r="U28" s="477">
        <v>29.011886506251336</v>
      </c>
      <c r="V28" s="477">
        <v>26.701525544330462</v>
      </c>
      <c r="W28" s="477">
        <v>25.706072136304954</v>
      </c>
      <c r="X28" s="477">
        <v>24.647666505260119</v>
      </c>
    </row>
    <row r="29" spans="2:24" ht="15.75">
      <c r="B29" s="478"/>
      <c r="C29" s="480"/>
      <c r="D29" s="480" t="s">
        <v>526</v>
      </c>
      <c r="E29" s="500">
        <v>636001721</v>
      </c>
      <c r="F29" s="481"/>
      <c r="G29" s="499"/>
      <c r="H29" s="499"/>
      <c r="L29" s="477" t="s">
        <v>527</v>
      </c>
      <c r="M29" s="477">
        <v>-1.3541751856993911</v>
      </c>
      <c r="N29" s="477">
        <v>-1.4999604948870462</v>
      </c>
      <c r="O29" s="477">
        <v>-1.4056156498042955</v>
      </c>
      <c r="P29" s="477">
        <v>-1.4459337703813397</v>
      </c>
      <c r="Q29" s="477">
        <v>-1.3434465953281467</v>
      </c>
      <c r="R29" s="477">
        <v>-1.4040995270457601</v>
      </c>
      <c r="S29" s="477">
        <v>-1.1846392365551117</v>
      </c>
      <c r="T29" s="477">
        <v>-1.1600509749012164</v>
      </c>
      <c r="U29" s="477">
        <v>-1.3635983751660021</v>
      </c>
      <c r="V29" s="477">
        <v>-1.4084250229270012</v>
      </c>
      <c r="W29" s="477">
        <v>-1.445964916709062</v>
      </c>
      <c r="X29" s="477">
        <v>-1.3615482858946657</v>
      </c>
    </row>
    <row r="30" spans="2:24" ht="15.75">
      <c r="B30" s="478"/>
      <c r="C30" s="480"/>
      <c r="D30" s="482" t="s">
        <v>528</v>
      </c>
      <c r="E30" s="501">
        <f>E28-E29</f>
        <v>61425650.679221392</v>
      </c>
      <c r="F30" s="481"/>
      <c r="G30" s="499"/>
      <c r="H30" s="502"/>
    </row>
    <row r="31" spans="2:24">
      <c r="B31" s="478"/>
      <c r="C31" s="480"/>
      <c r="D31" s="483"/>
      <c r="E31" s="483"/>
      <c r="F31" s="481"/>
      <c r="L31" s="477" t="s">
        <v>529</v>
      </c>
      <c r="M31" s="503">
        <v>2173342.8769999999</v>
      </c>
      <c r="N31" s="503">
        <v>1855635.5090000001</v>
      </c>
      <c r="O31" s="503">
        <v>1852861.6630000002</v>
      </c>
      <c r="P31" s="503">
        <v>1787471.3160000001</v>
      </c>
      <c r="Q31" s="503">
        <v>1915852.9779999999</v>
      </c>
      <c r="R31" s="503">
        <v>2141184.7320000003</v>
      </c>
      <c r="S31" s="503">
        <v>2336350.7239999999</v>
      </c>
      <c r="T31" s="503">
        <v>2433010.0180000002</v>
      </c>
      <c r="U31" s="503">
        <v>1975609.5739999998</v>
      </c>
      <c r="V31" s="503">
        <v>1856793.7740000002</v>
      </c>
      <c r="W31" s="503">
        <v>1907844.2149999999</v>
      </c>
      <c r="X31" s="503">
        <v>2220570.2669999995</v>
      </c>
    </row>
    <row r="32" spans="2:24" ht="15.75">
      <c r="B32" s="478"/>
      <c r="C32" s="480"/>
      <c r="D32" s="480" t="s">
        <v>530</v>
      </c>
      <c r="E32" s="488">
        <v>-36023619.822994739</v>
      </c>
      <c r="F32" s="481"/>
      <c r="G32" s="499"/>
    </row>
    <row r="33" spans="2:25" ht="15.75">
      <c r="B33" s="478"/>
      <c r="C33" s="480"/>
      <c r="D33" s="480" t="s">
        <v>531</v>
      </c>
      <c r="E33" s="504">
        <v>-32217891.427359</v>
      </c>
      <c r="F33" s="481"/>
      <c r="G33" s="499"/>
      <c r="L33" s="477" t="s">
        <v>532</v>
      </c>
      <c r="M33" s="505">
        <f>M28*M31</f>
        <v>54821805.714696869</v>
      </c>
      <c r="N33" s="505">
        <f t="shared" ref="N33:X33" si="0">N28*N31</f>
        <v>47673210.155396707</v>
      </c>
      <c r="O33" s="505">
        <f t="shared" si="0"/>
        <v>48412213.809358083</v>
      </c>
      <c r="P33" s="505">
        <f t="shared" si="0"/>
        <v>47090373.312961116</v>
      </c>
      <c r="Q33" s="505">
        <f t="shared" si="0"/>
        <v>50687829.053520106</v>
      </c>
      <c r="R33" s="505">
        <f t="shared" si="0"/>
        <v>60164286.600499116</v>
      </c>
      <c r="S33" s="505">
        <f t="shared" si="0"/>
        <v>65426573.932563506</v>
      </c>
      <c r="T33" s="505">
        <f t="shared" si="0"/>
        <v>70179263.205719233</v>
      </c>
      <c r="U33" s="505">
        <f t="shared" si="0"/>
        <v>57316160.741551548</v>
      </c>
      <c r="V33" s="505">
        <f t="shared" si="0"/>
        <v>49579226.387014769</v>
      </c>
      <c r="W33" s="505">
        <f t="shared" si="0"/>
        <v>49043181.015622094</v>
      </c>
      <c r="X33" s="505">
        <f t="shared" si="0"/>
        <v>54731875.392512411</v>
      </c>
      <c r="Y33" s="505">
        <f>SUM(M33:X33)</f>
        <v>655125999.32141566</v>
      </c>
    </row>
    <row r="34" spans="2:25">
      <c r="B34" s="478"/>
      <c r="C34" s="480"/>
      <c r="D34" s="482" t="s">
        <v>533</v>
      </c>
      <c r="E34" s="501">
        <f>E32-E33</f>
        <v>-3805728.395635739</v>
      </c>
      <c r="F34" s="481"/>
      <c r="L34" s="477" t="s">
        <v>534</v>
      </c>
      <c r="M34" s="490">
        <f>M29*M31</f>
        <v>-2943086.994049924</v>
      </c>
      <c r="N34" s="490">
        <f t="shared" ref="N34:X34" si="1">N29*N31</f>
        <v>-2783379.9564096159</v>
      </c>
      <c r="O34" s="490">
        <f t="shared" si="1"/>
        <v>-2604411.3504352127</v>
      </c>
      <c r="P34" s="490">
        <f t="shared" si="1"/>
        <v>-2584565.1393923755</v>
      </c>
      <c r="Q34" s="490">
        <f t="shared" si="1"/>
        <v>-2573846.1604433907</v>
      </c>
      <c r="R34" s="490">
        <f t="shared" si="1"/>
        <v>-3006436.4695188031</v>
      </c>
      <c r="S34" s="490">
        <f t="shared" si="1"/>
        <v>-2767732.7380043427</v>
      </c>
      <c r="T34" s="490">
        <f t="shared" si="1"/>
        <v>-2822415.6433253265</v>
      </c>
      <c r="U34" s="490">
        <f t="shared" si="1"/>
        <v>-2693938.0050687972</v>
      </c>
      <c r="V34" s="490">
        <f t="shared" si="1"/>
        <v>-2615154.8137166635</v>
      </c>
      <c r="W34" s="490">
        <f t="shared" si="1"/>
        <v>-2758675.8014363404</v>
      </c>
      <c r="X34" s="490">
        <f t="shared" si="1"/>
        <v>-3023413.6407425096</v>
      </c>
      <c r="Y34" s="505">
        <f>SUM(M34:X34)</f>
        <v>-33177056.712543301</v>
      </c>
    </row>
    <row r="35" spans="2:25">
      <c r="B35" s="478"/>
      <c r="C35" s="480"/>
      <c r="D35" s="483"/>
      <c r="E35" s="483"/>
      <c r="F35" s="481"/>
    </row>
    <row r="36" spans="2:25">
      <c r="B36" s="478"/>
      <c r="C36" s="480"/>
      <c r="D36" s="483" t="s">
        <v>535</v>
      </c>
      <c r="E36" s="488">
        <v>24456527.647000004</v>
      </c>
      <c r="F36" s="481"/>
    </row>
    <row r="37" spans="2:25">
      <c r="B37" s="478"/>
      <c r="C37" s="480"/>
      <c r="D37" s="483" t="s">
        <v>536</v>
      </c>
      <c r="E37" s="504">
        <v>23734642.546709999</v>
      </c>
      <c r="F37" s="481"/>
    </row>
    <row r="38" spans="2:25">
      <c r="B38" s="478"/>
      <c r="C38" s="480"/>
      <c r="D38" s="483" t="s">
        <v>537</v>
      </c>
      <c r="E38" s="506">
        <f>E36-E37</f>
        <v>721885.10029000416</v>
      </c>
      <c r="F38" s="481"/>
    </row>
    <row r="39" spans="2:25">
      <c r="B39" s="478"/>
      <c r="C39" s="480"/>
      <c r="D39" s="482" t="s">
        <v>538</v>
      </c>
      <c r="E39" s="501">
        <v>-18165113.036231041</v>
      </c>
      <c r="F39" s="481"/>
    </row>
    <row r="40" spans="2:25">
      <c r="B40" s="478"/>
      <c r="C40" s="480"/>
      <c r="D40" s="480"/>
      <c r="E40" s="480"/>
      <c r="F40" s="481"/>
    </row>
    <row r="41" spans="2:25">
      <c r="B41" s="478"/>
      <c r="C41" s="480"/>
      <c r="D41" s="482" t="s">
        <v>539</v>
      </c>
      <c r="E41" s="501">
        <f>+E30+E34+E39</f>
        <v>39454809.247354612</v>
      </c>
      <c r="F41" s="481"/>
    </row>
    <row r="42" spans="2:25">
      <c r="B42" s="478"/>
      <c r="C42" s="480"/>
      <c r="D42" s="480"/>
      <c r="E42" s="480"/>
      <c r="F42" s="481"/>
    </row>
    <row r="43" spans="2:25">
      <c r="B43" s="478"/>
      <c r="C43" s="480"/>
      <c r="D43" s="483" t="s">
        <v>518</v>
      </c>
      <c r="E43" s="489">
        <f>E41*0.7</f>
        <v>27618366.473148227</v>
      </c>
      <c r="F43" s="481"/>
    </row>
    <row r="44" spans="2:25">
      <c r="B44" s="478"/>
      <c r="C44" s="480"/>
      <c r="D44" s="483" t="str">
        <f>D14</f>
        <v>Additional FERC ER11-3643 Revenues</v>
      </c>
      <c r="E44" s="489">
        <v>-1128262</v>
      </c>
      <c r="F44" s="481"/>
    </row>
    <row r="45" spans="2:25">
      <c r="B45" s="478"/>
      <c r="C45" s="480"/>
      <c r="D45" s="480"/>
      <c r="E45" s="480"/>
      <c r="F45" s="481"/>
    </row>
    <row r="46" spans="2:25">
      <c r="B46" s="478"/>
      <c r="C46" s="480"/>
      <c r="D46" s="480" t="s">
        <v>520</v>
      </c>
      <c r="E46" s="489">
        <f>E16</f>
        <v>470670.63879628736</v>
      </c>
      <c r="F46" s="481"/>
    </row>
    <row r="47" spans="2:25">
      <c r="B47" s="478"/>
      <c r="C47" s="480"/>
      <c r="D47" s="480" t="s">
        <v>521</v>
      </c>
      <c r="E47" s="489">
        <v>1378777.5991468467</v>
      </c>
      <c r="F47" s="481"/>
    </row>
    <row r="48" spans="2:25">
      <c r="B48" s="478"/>
      <c r="C48" s="480"/>
      <c r="D48" s="480"/>
      <c r="E48" s="480"/>
      <c r="F48" s="481"/>
    </row>
    <row r="49" spans="2:6" ht="13.5" thickBot="1">
      <c r="B49" s="478"/>
      <c r="C49" s="480"/>
      <c r="D49" s="482" t="s">
        <v>522</v>
      </c>
      <c r="E49" s="507">
        <f>E43+E44+E46+E47</f>
        <v>28339552.711091362</v>
      </c>
      <c r="F49" s="481"/>
    </row>
    <row r="50" spans="2:6" ht="13.5" thickTop="1">
      <c r="B50" s="478"/>
      <c r="C50" s="480"/>
      <c r="D50" s="480"/>
      <c r="E50" s="480"/>
      <c r="F50" s="481"/>
    </row>
    <row r="51" spans="2:6">
      <c r="B51" s="494"/>
      <c r="C51" s="495"/>
      <c r="D51" s="495"/>
      <c r="E51" s="495"/>
      <c r="F51" s="496"/>
    </row>
    <row r="55" spans="2:6">
      <c r="B55" s="474"/>
      <c r="C55" s="475"/>
      <c r="D55" s="475"/>
      <c r="E55" s="475"/>
      <c r="F55" s="476"/>
    </row>
    <row r="56" spans="2:6" ht="15.75">
      <c r="B56" s="478"/>
      <c r="C56" s="508">
        <v>1</v>
      </c>
      <c r="D56" s="480" t="s">
        <v>540</v>
      </c>
      <c r="E56" s="509">
        <f>E29</f>
        <v>636001721</v>
      </c>
      <c r="F56" s="481"/>
    </row>
    <row r="57" spans="2:6" ht="15.75">
      <c r="B57" s="478"/>
      <c r="C57" s="508">
        <v>2</v>
      </c>
      <c r="D57" s="480" t="s">
        <v>541</v>
      </c>
      <c r="E57" s="510">
        <f>E37</f>
        <v>23734642.546709999</v>
      </c>
      <c r="F57" s="481"/>
    </row>
    <row r="58" spans="2:6" ht="15.75">
      <c r="B58" s="478"/>
      <c r="C58" s="508">
        <v>3</v>
      </c>
      <c r="D58" s="480" t="s">
        <v>542</v>
      </c>
      <c r="E58" s="511">
        <f>E56/E57</f>
        <v>26.796347143140775</v>
      </c>
      <c r="F58" s="481"/>
    </row>
    <row r="59" spans="2:6">
      <c r="B59" s="478"/>
      <c r="C59" s="508"/>
      <c r="D59" s="480"/>
      <c r="E59" s="480"/>
      <c r="F59" s="481"/>
    </row>
    <row r="60" spans="2:6" ht="15.75">
      <c r="B60" s="478"/>
      <c r="C60" s="508">
        <v>4</v>
      </c>
      <c r="D60" s="480" t="s">
        <v>535</v>
      </c>
      <c r="E60" s="512">
        <f>E36</f>
        <v>24456527.647000004</v>
      </c>
      <c r="F60" s="481"/>
    </row>
    <row r="61" spans="2:6" ht="15.75">
      <c r="B61" s="478"/>
      <c r="C61" s="508">
        <v>5</v>
      </c>
      <c r="D61" s="480" t="s">
        <v>543</v>
      </c>
      <c r="E61" s="509">
        <f>Y33</f>
        <v>655125999.32141566</v>
      </c>
      <c r="F61" s="481"/>
    </row>
    <row r="62" spans="2:6" ht="15.75">
      <c r="B62" s="478"/>
      <c r="C62" s="508">
        <v>6</v>
      </c>
      <c r="D62" s="480" t="s">
        <v>524</v>
      </c>
      <c r="E62" s="509">
        <f>E28</f>
        <v>697427371.67922139</v>
      </c>
      <c r="F62" s="481"/>
    </row>
    <row r="63" spans="2:6">
      <c r="B63" s="478"/>
      <c r="C63" s="508">
        <v>7</v>
      </c>
      <c r="D63" s="482" t="s">
        <v>544</v>
      </c>
      <c r="E63" s="513">
        <f>E62-E61</f>
        <v>42301372.357805729</v>
      </c>
      <c r="F63" s="481"/>
    </row>
    <row r="64" spans="2:6">
      <c r="B64" s="478"/>
      <c r="C64" s="508"/>
      <c r="D64" s="480"/>
      <c r="E64" s="480"/>
      <c r="F64" s="481"/>
    </row>
    <row r="65" spans="2:7">
      <c r="B65" s="478"/>
      <c r="C65" s="508"/>
      <c r="D65" s="480"/>
      <c r="E65" s="480"/>
      <c r="F65" s="481"/>
    </row>
    <row r="66" spans="2:7" ht="15.75">
      <c r="B66" s="478"/>
      <c r="C66" s="508">
        <v>8</v>
      </c>
      <c r="D66" s="480" t="s">
        <v>545</v>
      </c>
      <c r="E66" s="509">
        <f>E33</f>
        <v>-32217891.427359</v>
      </c>
      <c r="F66" s="481"/>
    </row>
    <row r="67" spans="2:7" ht="15.75">
      <c r="B67" s="478"/>
      <c r="C67" s="508">
        <v>9</v>
      </c>
      <c r="D67" s="480" t="s">
        <v>541</v>
      </c>
      <c r="E67" s="510">
        <f>E57</f>
        <v>23734642.546709999</v>
      </c>
      <c r="F67" s="481"/>
    </row>
    <row r="68" spans="2:7" ht="15.75">
      <c r="B68" s="478"/>
      <c r="C68" s="508">
        <v>10</v>
      </c>
      <c r="D68" s="480" t="s">
        <v>546</v>
      </c>
      <c r="E68" s="511">
        <f>E66/E67</f>
        <v>-1.3574205452622212</v>
      </c>
      <c r="F68" s="481"/>
    </row>
    <row r="69" spans="2:7">
      <c r="B69" s="478"/>
      <c r="C69" s="508"/>
      <c r="D69" s="480"/>
      <c r="E69" s="480"/>
      <c r="F69" s="481"/>
    </row>
    <row r="70" spans="2:7" ht="15.75">
      <c r="B70" s="478"/>
      <c r="C70" s="508">
        <v>11</v>
      </c>
      <c r="D70" s="480" t="s">
        <v>547</v>
      </c>
      <c r="E70" s="512">
        <f>E60</f>
        <v>24456527.647000004</v>
      </c>
      <c r="F70" s="481"/>
    </row>
    <row r="71" spans="2:7" ht="15.75">
      <c r="B71" s="478"/>
      <c r="C71" s="508">
        <v>12</v>
      </c>
      <c r="D71" s="480" t="s">
        <v>548</v>
      </c>
      <c r="E71" s="509">
        <f>Y34</f>
        <v>-33177056.712543301</v>
      </c>
      <c r="F71" s="481"/>
      <c r="G71" s="477">
        <f>E71/E66</f>
        <v>1.0297711998734278</v>
      </c>
    </row>
    <row r="72" spans="2:7" ht="15.75">
      <c r="B72" s="478"/>
      <c r="C72" s="508">
        <v>13</v>
      </c>
      <c r="D72" s="480" t="s">
        <v>530</v>
      </c>
      <c r="E72" s="509">
        <f>E32</f>
        <v>-36023619.822994739</v>
      </c>
      <c r="F72" s="481"/>
    </row>
    <row r="73" spans="2:7">
      <c r="B73" s="478"/>
      <c r="C73" s="508">
        <v>14</v>
      </c>
      <c r="D73" s="482" t="s">
        <v>549</v>
      </c>
      <c r="E73" s="513">
        <f>E72-E71</f>
        <v>-2846563.1104514375</v>
      </c>
      <c r="F73" s="481"/>
      <c r="G73" s="502">
        <f>E73*0.7</f>
        <v>-1992594.177316006</v>
      </c>
    </row>
    <row r="74" spans="2:7">
      <c r="B74" s="478"/>
      <c r="C74" s="508"/>
      <c r="D74" s="480"/>
      <c r="E74" s="480"/>
      <c r="F74" s="481"/>
    </row>
    <row r="75" spans="2:7">
      <c r="B75" s="478"/>
      <c r="C75" s="508">
        <v>15</v>
      </c>
      <c r="D75" s="482" t="s">
        <v>550</v>
      </c>
      <c r="E75" s="501">
        <f>E63+E73</f>
        <v>39454809.247354291</v>
      </c>
      <c r="F75" s="481"/>
    </row>
    <row r="76" spans="2:7" ht="15.75">
      <c r="B76" s="478"/>
      <c r="C76" s="508"/>
      <c r="D76" s="480"/>
      <c r="E76" s="509"/>
      <c r="F76" s="481"/>
    </row>
    <row r="77" spans="2:7" ht="15.75">
      <c r="B77" s="478"/>
      <c r="C77" s="508">
        <v>16</v>
      </c>
      <c r="D77" s="483" t="s">
        <v>551</v>
      </c>
      <c r="E77" s="509">
        <f>E75*0.7</f>
        <v>27618366.473148003</v>
      </c>
      <c r="F77" s="481"/>
    </row>
    <row r="78" spans="2:7" ht="15.75">
      <c r="B78" s="478"/>
      <c r="C78" s="508">
        <v>17</v>
      </c>
      <c r="D78" s="483" t="str">
        <f>D44</f>
        <v>Additional FERC ER11-3643 Revenues</v>
      </c>
      <c r="E78" s="509">
        <f>E44</f>
        <v>-1128262</v>
      </c>
      <c r="F78" s="481"/>
    </row>
    <row r="79" spans="2:7" ht="15.75">
      <c r="B79" s="478"/>
      <c r="C79" s="508"/>
      <c r="D79" s="480"/>
      <c r="E79" s="509"/>
      <c r="F79" s="481"/>
    </row>
    <row r="80" spans="2:7" ht="15.75">
      <c r="B80" s="478"/>
      <c r="C80" s="508">
        <v>18</v>
      </c>
      <c r="D80" s="480" t="s">
        <v>520</v>
      </c>
      <c r="E80" s="509">
        <f>E46</f>
        <v>470670.63879628736</v>
      </c>
      <c r="F80" s="481"/>
    </row>
    <row r="81" spans="2:6" ht="15.75">
      <c r="B81" s="478"/>
      <c r="C81" s="508">
        <v>19</v>
      </c>
      <c r="D81" s="480" t="s">
        <v>521</v>
      </c>
      <c r="E81" s="509">
        <f>E47</f>
        <v>1378777.5991468467</v>
      </c>
      <c r="F81" s="481"/>
    </row>
    <row r="82" spans="2:6" ht="15.75">
      <c r="B82" s="478"/>
      <c r="C82" s="508"/>
      <c r="D82" s="480"/>
      <c r="E82" s="509"/>
      <c r="F82" s="481"/>
    </row>
    <row r="83" spans="2:6" ht="13.5" thickBot="1">
      <c r="B83" s="478"/>
      <c r="C83" s="508">
        <v>20</v>
      </c>
      <c r="D83" s="482" t="s">
        <v>552</v>
      </c>
      <c r="E83" s="507">
        <f>E77+E78+E80+E81</f>
        <v>28339552.711091138</v>
      </c>
      <c r="F83" s="481"/>
    </row>
    <row r="84" spans="2:6" ht="13.5" thickTop="1">
      <c r="B84" s="494"/>
      <c r="C84" s="495"/>
      <c r="D84" s="495"/>
      <c r="E84" s="495"/>
      <c r="F84" s="496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zoomScale="90" zoomScaleNormal="90" workbookViewId="0">
      <selection activeCell="G5" sqref="G5"/>
    </sheetView>
  </sheetViews>
  <sheetFormatPr defaultRowHeight="15.75"/>
  <cols>
    <col min="1" max="1" width="16.25" customWidth="1"/>
    <col min="2" max="2" width="20.25" bestFit="1" customWidth="1"/>
    <col min="3" max="3" width="30.75" bestFit="1" customWidth="1"/>
    <col min="4" max="4" width="17.875" bestFit="1" customWidth="1"/>
    <col min="5" max="5" width="13.125" customWidth="1"/>
    <col min="6" max="6" width="17.5" bestFit="1" customWidth="1"/>
    <col min="7" max="7" width="15.625" bestFit="1" customWidth="1"/>
  </cols>
  <sheetData>
    <row r="1" spans="1:7">
      <c r="A1" s="466" t="s">
        <v>493</v>
      </c>
      <c r="B1" s="466"/>
      <c r="C1" s="466"/>
      <c r="D1" s="466"/>
      <c r="E1" s="466"/>
      <c r="F1" s="466"/>
    </row>
    <row r="2" spans="1:7">
      <c r="A2" s="466"/>
      <c r="B2" s="466"/>
      <c r="C2" s="466"/>
      <c r="D2" s="466"/>
      <c r="E2" s="466"/>
      <c r="F2" s="466"/>
    </row>
    <row r="3" spans="1:7">
      <c r="A3" s="467" t="s">
        <v>494</v>
      </c>
      <c r="B3" s="467" t="s">
        <v>495</v>
      </c>
      <c r="C3" s="467" t="s">
        <v>505</v>
      </c>
      <c r="D3" s="467" t="s">
        <v>501</v>
      </c>
      <c r="E3" s="467" t="s">
        <v>496</v>
      </c>
      <c r="F3" s="467" t="s">
        <v>502</v>
      </c>
      <c r="G3" s="469" t="s">
        <v>506</v>
      </c>
    </row>
    <row r="4" spans="1:7">
      <c r="A4" s="468">
        <v>41061</v>
      </c>
      <c r="B4" t="s">
        <v>500</v>
      </c>
      <c r="C4" t="s">
        <v>499</v>
      </c>
      <c r="D4" s="464">
        <v>60</v>
      </c>
      <c r="E4">
        <v>3</v>
      </c>
      <c r="F4" s="464">
        <f>D4/E4</f>
        <v>20</v>
      </c>
      <c r="G4" s="468">
        <v>42155</v>
      </c>
    </row>
    <row r="5" spans="1:7">
      <c r="A5" s="468">
        <v>41334</v>
      </c>
      <c r="B5" t="s">
        <v>497</v>
      </c>
      <c r="C5" t="s">
        <v>498</v>
      </c>
      <c r="D5" s="464">
        <v>7.8</v>
      </c>
      <c r="E5">
        <v>2</v>
      </c>
      <c r="F5" s="464">
        <f>D5/E5</f>
        <v>3.9</v>
      </c>
      <c r="G5" s="468">
        <v>42063</v>
      </c>
    </row>
    <row r="6" spans="1:7">
      <c r="A6" s="468">
        <v>41579</v>
      </c>
      <c r="B6" s="465" t="s">
        <v>503</v>
      </c>
      <c r="C6" t="s">
        <v>504</v>
      </c>
      <c r="D6" s="464">
        <v>15</v>
      </c>
      <c r="E6">
        <v>2</v>
      </c>
      <c r="F6" s="464">
        <f>D6/E6</f>
        <v>7.5</v>
      </c>
      <c r="G6" s="468">
        <v>42308</v>
      </c>
    </row>
    <row r="7" spans="1:7">
      <c r="A7" s="468">
        <v>41944</v>
      </c>
      <c r="B7" s="465"/>
      <c r="C7" s="465" t="s">
        <v>554</v>
      </c>
      <c r="D7" s="464">
        <v>28.3</v>
      </c>
      <c r="E7">
        <v>1</v>
      </c>
      <c r="F7" s="464">
        <f>D7/E7</f>
        <v>28.3</v>
      </c>
      <c r="G7" s="468">
        <v>42308</v>
      </c>
    </row>
    <row r="8" spans="1:7">
      <c r="A8" s="468"/>
      <c r="G8" s="468"/>
    </row>
    <row r="9" spans="1:7">
      <c r="A9" s="468"/>
      <c r="G9" s="468"/>
    </row>
    <row r="10" spans="1:7">
      <c r="A10" s="468"/>
      <c r="G10" s="468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10</vt:i4>
      </vt:variant>
    </vt:vector>
  </HeadingPairs>
  <TitlesOfParts>
    <vt:vector size="19" baseType="lpstr">
      <vt:lpstr>Exhibit-RMP(JRS-1)</vt:lpstr>
      <vt:lpstr>Exhibit-RMP(JRS-2)</vt:lpstr>
      <vt:lpstr>EBASettlement-2013</vt:lpstr>
      <vt:lpstr>Sch1 Bill Impact</vt:lpstr>
      <vt:lpstr>Table A</vt:lpstr>
      <vt:lpstr>NPCAllocator</vt:lpstr>
      <vt:lpstr>EBASettlement</vt:lpstr>
      <vt:lpstr>Table 1</vt:lpstr>
      <vt:lpstr>Note</vt:lpstr>
      <vt:lpstr>EBASettlement!Print_Area</vt:lpstr>
      <vt:lpstr>'EBASettlement-2013'!Print_Area</vt:lpstr>
      <vt:lpstr>'Exhibit-RMP(JRS-1)'!Print_Area</vt:lpstr>
      <vt:lpstr>'Exhibit-RMP(JRS-2)'!Print_Area</vt:lpstr>
      <vt:lpstr>NPCAllocator!Print_Area</vt:lpstr>
      <vt:lpstr>'Sch1 Bill Impact'!Print_Area</vt:lpstr>
      <vt:lpstr>'Table A'!Print_Area</vt:lpstr>
      <vt:lpstr>'Exhibit-RMP(JRS-2)'!Print_Titles</vt:lpstr>
      <vt:lpstr>'Table A'!Print_Titles</vt:lpstr>
      <vt:lpstr>'Exhibit-RMP(JRS-2)'!Print_Titles_MI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p74618</dc:creator>
  <cp:lastModifiedBy>laurieharris</cp:lastModifiedBy>
  <cp:lastPrinted>2013-10-25T22:24:36Z</cp:lastPrinted>
  <dcterms:created xsi:type="dcterms:W3CDTF">2012-05-11T17:24:36Z</dcterms:created>
  <dcterms:modified xsi:type="dcterms:W3CDTF">2014-03-18T17:02:27Z</dcterms:modified>
</cp:coreProperties>
</file>