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31\"/>
    </mc:Choice>
  </mc:AlternateContent>
  <bookViews>
    <workbookView xWindow="0" yWindow="0" windowWidth="28800" windowHeight="12420"/>
  </bookViews>
  <sheets>
    <sheet name="DPU 26.1 with Adj" sheetId="1" r:id="rId1"/>
    <sheet name="AFR 13_PS RPT_Aug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0" localSheetId="1">'[1]Aug 03'!#REF!</definedName>
    <definedName name="\0">'[1]Aug 03'!#REF!</definedName>
    <definedName name="\1">[2]Consolidated!#REF!</definedName>
    <definedName name="\a">#REF!</definedName>
    <definedName name="\b">#REF!</definedName>
    <definedName name="\c">#REF!</definedName>
    <definedName name="\D">#REF!</definedName>
    <definedName name="\E">[2]Consolidated!#REF!</definedName>
    <definedName name="\F">[2]Consolidated!#REF!</definedName>
    <definedName name="\G">[2]Consolidated!#REF!</definedName>
    <definedName name="\H">[2]Consolidated!#REF!</definedName>
    <definedName name="\I">[2]Consolidated!#REF!</definedName>
    <definedName name="\J">[2]Consolidated!#REF!</definedName>
    <definedName name="\K">[2]Consolidated!#REF!</definedName>
    <definedName name="\L">[2]Consolidated!#REF!</definedName>
    <definedName name="\m" localSheetId="1">'[1]Aug 03'!#REF!</definedName>
    <definedName name="\m">'[1]Aug 03'!#REF!</definedName>
    <definedName name="\N">[2]Consolidated!#REF!</definedName>
    <definedName name="\O">[2]Consolidated!#REF!</definedName>
    <definedName name="\p">#REF!</definedName>
    <definedName name="\q">#REF!</definedName>
    <definedName name="\S">[2]Consolidated!#REF!</definedName>
    <definedName name="\T">[2]Consolidated!#REF!</definedName>
    <definedName name="\v">#REF!</definedName>
    <definedName name="\X">#REF!</definedName>
    <definedName name="\Y">[2]Consolidated!#REF!</definedName>
    <definedName name="\z">#REF!</definedName>
    <definedName name="_1994">#REF!</definedName>
    <definedName name="_1995">#REF!</definedName>
    <definedName name="_60__40__Split">'[3]APS Counter Proposal EW 1'!#REF!</definedName>
    <definedName name="_95_96">#REF!</definedName>
    <definedName name="_96_97">#REF!</definedName>
    <definedName name="_Fill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_yr1998">99&amp;'[4]00'!$A$57:$N$94</definedName>
    <definedName name="a" hidden="1">#REF!</definedName>
    <definedName name="Acct108D_S">[5]FuncStudy!$F$2065</definedName>
    <definedName name="Acct108D00S">[5]FuncStudy!$F$2057</definedName>
    <definedName name="Acct108DSS">[5]FuncStudy!$F$2061</definedName>
    <definedName name="Acct228.42TROJD">[5]FuncStudy!$F$1867</definedName>
    <definedName name="ACCT2281">[5]FuncStudy!$F$1847</definedName>
    <definedName name="Acct2282">[5]FuncStudy!$F$1851</definedName>
    <definedName name="Acct2283">[5]FuncStudy!$F$1855</definedName>
    <definedName name="Acct2283S">[5]FuncStudy!$F$1859</definedName>
    <definedName name="Acct22842">[5]FuncStudy!$F$1868</definedName>
    <definedName name="Acct228SO">[5]FuncStudy!$F$1850</definedName>
    <definedName name="ACCT25398">[5]FuncStudy!$F$1880</definedName>
    <definedName name="Acct25399">[5]FuncStudy!$F$1887</definedName>
    <definedName name="Acct254">[5]FuncStudy!$F$1864</definedName>
    <definedName name="Acct282DITBAL">[5]FuncStudy!$F$1912</definedName>
    <definedName name="Acct350">[5]FuncStudy!$F$1323</definedName>
    <definedName name="Acct352">[5]FuncStudy!$F$1330</definedName>
    <definedName name="Acct353">[5]FuncStudy!$F$1336</definedName>
    <definedName name="Acct354">[5]FuncStudy!$F$1342</definedName>
    <definedName name="Acct355">[5]FuncStudy!$F$1348</definedName>
    <definedName name="Acct356">[5]FuncStudy!$F$1354</definedName>
    <definedName name="Acct357">[5]FuncStudy!$F$1360</definedName>
    <definedName name="Acct358">[5]FuncStudy!$F$1366</definedName>
    <definedName name="Acct359">[5]FuncStudy!$F$1372</definedName>
    <definedName name="Acct360">[5]FuncStudy!$F$1388</definedName>
    <definedName name="Acct361">[5]FuncStudy!$F$1394</definedName>
    <definedName name="Acct362">[5]FuncStudy!$F$1400</definedName>
    <definedName name="Acct364">[5]FuncStudy!$F$1407</definedName>
    <definedName name="Acct365">[5]FuncStudy!$F$1414</definedName>
    <definedName name="Acct366">[5]FuncStudy!$F$1421</definedName>
    <definedName name="Acct367">[5]FuncStudy!$F$1428</definedName>
    <definedName name="Acct368">[5]FuncStudy!$F$1434</definedName>
    <definedName name="Acct369">[5]FuncStudy!$F$1441</definedName>
    <definedName name="Acct370">[5]FuncStudy!$F$1447</definedName>
    <definedName name="Acct371">[5]FuncStudy!$F$1454</definedName>
    <definedName name="Acct372">[5]FuncStudy!$F$1461</definedName>
    <definedName name="Acct372A">[5]FuncStudy!$F$1460</definedName>
    <definedName name="Acct372DP">[5]FuncStudy!$F$1458</definedName>
    <definedName name="Acct372DS">[5]FuncStudy!$F$1459</definedName>
    <definedName name="Acct373">[5]FuncStudy!$F$1467</definedName>
    <definedName name="Acct444S">[5]FuncStudy!$F$105</definedName>
    <definedName name="Acct448S">[5]FuncStudy!$F$114</definedName>
    <definedName name="Acct450S">[5]FuncStudy!$F$138</definedName>
    <definedName name="Acct451S">[5]FuncStudy!$F$143</definedName>
    <definedName name="Acct454S">[5]FuncStudy!$F$153</definedName>
    <definedName name="Acct456S">[5]FuncStudy!$F$159</definedName>
    <definedName name="Acct580">[5]FuncStudy!$F$536</definedName>
    <definedName name="Acct581">[5]FuncStudy!$F$541</definedName>
    <definedName name="Acct582">[5]FuncStudy!$F$546</definedName>
    <definedName name="Acct583">[5]FuncStudy!$F$551</definedName>
    <definedName name="Acct584">[5]FuncStudy!$F$556</definedName>
    <definedName name="Acct585">[5]FuncStudy!$F$561</definedName>
    <definedName name="Acct586">[5]FuncStudy!$F$566</definedName>
    <definedName name="Acct587">[5]FuncStudy!$F$571</definedName>
    <definedName name="Acct588">[5]FuncStudy!$F$576</definedName>
    <definedName name="Acct589">[5]FuncStudy!$F$581</definedName>
    <definedName name="Acct590">[5]FuncStudy!$F$586</definedName>
    <definedName name="Acct591">[5]FuncStudy!$F$591</definedName>
    <definedName name="Acct592">[5]FuncStudy!$F$596</definedName>
    <definedName name="Acct593">[5]FuncStudy!$F$601</definedName>
    <definedName name="Acct594">[5]FuncStudy!$F$606</definedName>
    <definedName name="Acct595">[5]FuncStudy!$F$611</definedName>
    <definedName name="Acct596">[5]FuncStudy!$F$616</definedName>
    <definedName name="Acct597">[5]FuncStudy!$F$621</definedName>
    <definedName name="Acct598">[5]FuncStudy!$F$626</definedName>
    <definedName name="Acct928RE">[5]FuncStudy!$F$749</definedName>
    <definedName name="AcctAGA">[5]FuncStudy!$F$132</definedName>
    <definedName name="AcctTS0">[5]FuncStudy!$F$1380</definedName>
    <definedName name="ActualROR">#REF!</definedName>
    <definedName name="AdjPrices">'[6]DJ Pricing Detail'!#REF!</definedName>
    <definedName name="APS_Share_June_2003">[7]Analysis!#REF!</definedName>
    <definedName name="AZ_Use_Tax">'[8]P&amp;M Equiv June 4 corrected'!$B$70</definedName>
    <definedName name="b" hidden="1">#REF!</definedName>
    <definedName name="BCC12INC">[2]Consolidated!#REF!</definedName>
    <definedName name="BCC12TON">[2]Consolidated!#REF!</definedName>
    <definedName name="BCCASSETS">[2]Consolidated!#REF!</definedName>
    <definedName name="BCCINC">[2]Consolidated!#REF!</definedName>
    <definedName name="BCCINC12">[2]Consolidated!#REF!</definedName>
    <definedName name="BCCINC6">[2]Consolidated!#REF!</definedName>
    <definedName name="BCCINCTON">[2]Consolidated!#REF!</definedName>
    <definedName name="BCCIS">[2]Consolidated!#REF!</definedName>
    <definedName name="BCCJTVNTR">[2]Consolidated!#REF!</definedName>
    <definedName name="BCCJTVNTR1">[2]Consolidated!#REF!</definedName>
    <definedName name="BCCLIAB">[2]Consolidated!#REF!</definedName>
    <definedName name="BCCTON">[2]Consolidated!#REF!</definedName>
    <definedName name="BRIDGER">#REF!</definedName>
    <definedName name="BRIDGER_COAL_COMPANY">"aug3mth1997"</definedName>
    <definedName name="Btu_per_lb_LRM">#REF!</definedName>
    <definedName name="Btu_per_lb_MCM">'[8]P&amp;M Equiv June 4 corrected'!$B$69</definedName>
    <definedName name="Btu_per_lb_SCM">'[8]P&amp;M Equiv June 4 corrected'!$B$66</definedName>
    <definedName name="Btu_per_lb_SPRB">#REF!</definedName>
    <definedName name="Btu_per_lb_TMM">'[8]P&amp;M Equiv June 4 corrected'!$B$67</definedName>
    <definedName name="Btu_per_Million_Btu">'[8]P&amp;M Equiv June 4 corrected'!$B$64</definedName>
    <definedName name="BUDGET">#REF!</definedName>
    <definedName name="CapFloor">#REF!</definedName>
    <definedName name="CARBON">#REF!</definedName>
    <definedName name="CARBON_LONG" localSheetId="1">#REF!</definedName>
    <definedName name="CARBON_LONG">#REF!</definedName>
    <definedName name="CENTRALIA">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ification">[5]FuncStudy!$Y$91</definedName>
    <definedName name="COAL_RECEIVED" localSheetId="1">#REF!</definedName>
    <definedName name="COAL_RECEIVED">#REF!</definedName>
    <definedName name="COAL_SALES" localSheetId="1">#REF!</definedName>
    <definedName name="COAL_SALES">#REF!</definedName>
    <definedName name="COALSALES">[2]Consolidated!#REF!</definedName>
    <definedName name="ContractTypeDol">'[9]Check Dollars'!$R$258:$S$643</definedName>
    <definedName name="ContractTypeMWh">'[9]Check MWh'!$R$258:$S$643</definedName>
    <definedName name="COSFacVal">[5]Inputs!$W$11</definedName>
    <definedName name="_xlnm.Criteria">#REF!</definedName>
    <definedName name="Criteria_MI">#REF!</definedName>
    <definedName name="d" hidden="1">#REF!</definedName>
    <definedName name="_xlnm.Database">#REF!</definedName>
    <definedName name="Database_MI">#REF!</definedName>
    <definedName name="date">#REF!</definedName>
    <definedName name="DCOPER">#REF!</definedName>
    <definedName name="DCPROY">#REF!</definedName>
    <definedName name="DCTRANS">#REF!</definedName>
    <definedName name="Dec_10">"TEXTBOX1"</definedName>
    <definedName name="Decker_Spring_Creek__MT">#REF!</definedName>
    <definedName name="Demand">[10]Inputs!$D$9</definedName>
    <definedName name="Demand2">[5]Inputs!$D$10</definedName>
    <definedName name="DESOPER">#REF!</definedName>
    <definedName name="DESPROY">#REF!</definedName>
    <definedName name="DESTRANS">#REF!</definedName>
    <definedName name="Dis">[5]FuncStudy!$Y$90</definedName>
    <definedName name="DisFac">'[5]Func Dist Factor Table'!$A$11:$G$25</definedName>
    <definedName name="DispatchSum">"GRID Thermal Generation!R2C1:R4C2"</definedName>
    <definedName name="DJ">#REF!</definedName>
    <definedName name="Dollars">'[11]Actual NPC'!$F$1:$Q$167</definedName>
    <definedName name="DollarsNameB">'[11]Actual NPC'!$B$1:$B$167</definedName>
    <definedName name="DollarsNameC">'[11]Actual NPC'!$C$1:$C$167</definedName>
    <definedName name="END">#REF!</definedName>
    <definedName name="_xlnm.Extract" localSheetId="1">'[1]Aug 03'!#REF!</definedName>
    <definedName name="_xlnm.Extract">'[1]Aug 03'!#REF!</definedName>
    <definedName name="Extract_MI" localSheetId="1">'[1]Aug 03'!#REF!</definedName>
    <definedName name="Extract_MI">'[1]Aug 03'!#REF!</definedName>
    <definedName name="F_S">#REF!</definedName>
    <definedName name="Factorck">'[5]COS Factor Table'!$Q$15:$Q$136</definedName>
    <definedName name="FactSum">'[5]COS Factor Table'!$A$14:$Q$137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EL_CONS_P2" localSheetId="1">#REF!</definedName>
    <definedName name="FUEL_CONS_P2">#REF!</definedName>
    <definedName name="FUEL_CONSUMED" localSheetId="1">#REF!</definedName>
    <definedName name="FUEL_CONSUMED">#REF!</definedName>
    <definedName name="Func">'[5]Func Factor Table'!$A$10:$H$76</definedName>
    <definedName name="Function">[5]FuncStudy!$Y$90</definedName>
    <definedName name="G_A">#REF!</definedName>
    <definedName name="GADSBY_GAS" localSheetId="1">#REF!</definedName>
    <definedName name="GADSBY_GAS">#REF!</definedName>
    <definedName name="HALE_COAL" localSheetId="1">#REF!</definedName>
    <definedName name="HALE_COAL">#REF!</definedName>
    <definedName name="HALE_GAS" localSheetId="1">#REF!</definedName>
    <definedName name="HALE_GAS">#REF!</definedName>
    <definedName name="hlh36monthly">'[8]Power Curve 2 26'!$C$11:$G$46</definedName>
    <definedName name="Holiday_List">#REF!</definedName>
    <definedName name="HUNTER">#REF!</definedName>
    <definedName name="HUNTER_COAL" localSheetId="1">#REF!</definedName>
    <definedName name="HUNTER_COAL">#REF!</definedName>
    <definedName name="HUNTINGTON">#REF!</definedName>
    <definedName name="HUNTINGTON_COAL" localSheetId="1">#REF!</definedName>
    <definedName name="HUNTINGTON_COAL">#REF!</definedName>
    <definedName name="I">#REF!</definedName>
    <definedName name="INC">#REF!</definedName>
    <definedName name="INCOMEST">#REF!</definedName>
    <definedName name="IncomeTaxOptVal">[10]Inputs!$Y$11</definedName>
    <definedName name="INCST">#REF!</definedName>
    <definedName name="INVENTORY" localSheetId="1">#REF!</definedName>
    <definedName name="INVENTORY">#REF!</definedName>
    <definedName name="IS">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b_per_ton">'[8]P&amp;M Equiv June 4 corrected'!$B$63</definedName>
    <definedName name="Lee_Ranch">#REF!</definedName>
    <definedName name="LinkCos">'[5]JAM Download'!$I$4</definedName>
    <definedName name="LITTLE_MTN_COMB" localSheetId="1">#REF!</definedName>
    <definedName name="LITTLE_MTN_COMB">#REF!</definedName>
    <definedName name="LITTLE_MTN_GAS" localSheetId="1">#REF!</definedName>
    <definedName name="LITTLE_MTN_GAS">#REF!</definedName>
    <definedName name="llh36monthly">'[8]Power Curve 2 26'!$H$11:$L$46</definedName>
    <definedName name="LOAD" localSheetId="1">#REF!</definedName>
    <definedName name="LOAD">#REF!</definedName>
    <definedName name="LRM">#REF!</definedName>
    <definedName name="MACROA">#REF!</definedName>
    <definedName name="MAP">[2]Consolidated!#REF!</definedName>
    <definedName name="McKinley">#REF!</definedName>
    <definedName name="MCM">#REF!</definedName>
    <definedName name="MCM_Rail_Rate_Y2003">'[8]P&amp;M Equiv June 4 corrected'!$B$72</definedName>
    <definedName name="Month">MONTH(TODAY())</definedName>
    <definedName name="Months">#REF!</definedName>
    <definedName name="MOVE">#REF!</definedName>
    <definedName name="MWh">'[11]Actual NPC'!$F$168:$Q$354</definedName>
    <definedName name="MWhNameA">'[11]Actual NPC'!$A$168:$A$354</definedName>
    <definedName name="MWhNameB">'[11]Actual NPC'!$B$168:$B$354</definedName>
    <definedName name="MWhNameC">'[11]Actual NPC'!$C$168:$C$354</definedName>
    <definedName name="NAUGHTON">#REF!</definedName>
    <definedName name="NAUGHTON_COAL" localSheetId="1">#REF!</definedName>
    <definedName name="NAUGHTON_COAL">#REF!</definedName>
    <definedName name="NAUGHTON_OIL" localSheetId="1">#REF!</definedName>
    <definedName name="NAUGHTON_OIL">#REF!</definedName>
    <definedName name="NetToGross">[5]Inputs!$H$21</definedName>
    <definedName name="OH">[5]Inputs!$D$24</definedName>
    <definedName name="OIL_RECEIVED" localSheetId="1">#REF!</definedName>
    <definedName name="OIL_RECEIVED">#REF!</definedName>
    <definedName name="Option">[12]Options!$B$8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'[5]Energy Factor'!#REF!</definedName>
    <definedName name="page64">'[5]Energy Factor'!#REF!</definedName>
    <definedName name="PART86B">#REF!</definedName>
    <definedName name="paste.cell">'[13]1993'!#REF!</definedName>
    <definedName name="per_Million_Btu_Estimated_Y2003_PAC_AUC">'[3]APS Counter Proposal EW 2'!#REF!</definedName>
    <definedName name="per_Million_Btu_Y2003_Lee_Ranch_Coal">'[3]APS Counter Proposal EW 2'!#REF!</definedName>
    <definedName name="PMIALI">[2]Consolidated!#REF!</definedName>
    <definedName name="PMIASSETS">[2]Consolidated!#REF!</definedName>
    <definedName name="PMICHNG">[2]Consolidated!#REF!</definedName>
    <definedName name="PMIINCR12">[2]Consolidated!#REF!</definedName>
    <definedName name="PMIINCR6">[2]Consolidated!#REF!</definedName>
    <definedName name="PMIQINC">[2]Consolidated!#REF!</definedName>
    <definedName name="PMISOURCE">[2]Consolidated!#REF!</definedName>
    <definedName name="PRBMT">#REF!</definedName>
    <definedName name="Prices">#REF!</definedName>
    <definedName name="PRINT">#REF!</definedName>
    <definedName name="_xlnm.Print_Area" localSheetId="1">'AFR 13_PS RPT_Aug'!$C$1:$G$1001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SATable">[9]Hermiston!$A$41:$E$56</definedName>
    <definedName name="RANGE_NAMES" localSheetId="1">#REF!</definedName>
    <definedName name="RANGE_NAMES">#REF!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MT_POD_Map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_TEMPLE_GAS" localSheetId="1">#REF!</definedName>
    <definedName name="S_TEMPLE_GAS">#REF!</definedName>
    <definedName name="S_TEMPLE_OIL" localSheetId="1">#REF!</definedName>
    <definedName name="S_TEMPLE_OIL">#REF!</definedName>
    <definedName name="SAPBEXrevision" hidden="1">1</definedName>
    <definedName name="SAPBEXsysID" hidden="1">"BWP"</definedName>
    <definedName name="SAPBEXwbID" hidden="1">"44KU92Q9LH2VK4DK86GZ93AXN"</definedName>
    <definedName name="SERIES">'[14]BLS 333120'!$C$8:$D$67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RB">#REF!</definedName>
    <definedName name="Start_Year">[12]Model!$B$13</definedName>
    <definedName name="State">[5]Inputs!$C$5</definedName>
    <definedName name="Study_Start_Date">[15]ChkTotals!$C$34</definedName>
    <definedName name="SURVEYS">#REF!</definedName>
    <definedName name="T" localSheetId="1">#REF!</definedName>
    <definedName name="T">#REF!</definedName>
    <definedName name="T_R_A">#REF!</definedName>
    <definedName name="TargetROR">[5]Inputs!$L$6</definedName>
    <definedName name="TAXES">#REF!</definedName>
    <definedName name="Test_COS">'[5]Hot Sheet'!$F$120</definedName>
    <definedName name="TestPeriod">[5]Inputs!$C$6</definedName>
    <definedName name="Tonnage">'[6]DJ Pricing Detail'!#REF!</definedName>
    <definedName name="Tons_Annual_MCM">'[8]P&amp;M Equiv June 4 corrected'!$B$71</definedName>
    <definedName name="TotalRateBase">'[5]G+T+D+R+M'!$H$58</definedName>
    <definedName name="TotTaxRate">[5]Inputs!$H$17</definedName>
    <definedName name="UAACT550SGW">[5]FuncStudy!$Y$405</definedName>
    <definedName name="UAACT554SGW">[5]FuncStudy!$Y$427</definedName>
    <definedName name="UAcct103">[5]FuncStudy!$Y$1315</definedName>
    <definedName name="UAcct105S">[5]FuncStudy!$Y$1673</definedName>
    <definedName name="UAcct105SEU">[5]FuncStudy!$Y$1677</definedName>
    <definedName name="UAcct105SGG">[5]FuncStudy!$Y$1678</definedName>
    <definedName name="UAcct105SGP1">[5]FuncStudy!$Y$1674</definedName>
    <definedName name="UAcct105SGP2">[5]FuncStudy!$Y$1676</definedName>
    <definedName name="UAcct105SGT">[5]FuncStudy!$Y$1675</definedName>
    <definedName name="UAcct1081390">[5]FuncStudy!$Y$2099</definedName>
    <definedName name="UAcct1081390Rcl">[5]FuncStudy!$Y$2098</definedName>
    <definedName name="UAcct1081399">[5]FuncStudy!$Y$2107</definedName>
    <definedName name="UAcct1081399Rcl">[5]FuncStudy!$Y$2106</definedName>
    <definedName name="UAcct108360">[5]FuncStudy!$Y$2006</definedName>
    <definedName name="UAcct108361">[5]FuncStudy!$Y$2010</definedName>
    <definedName name="UAcct108362">[5]FuncStudy!$Y$2014</definedName>
    <definedName name="UAcct108364">[5]FuncStudy!$Y$2018</definedName>
    <definedName name="UAcct108365">[5]FuncStudy!$Y$2022</definedName>
    <definedName name="UAcct108366">[5]FuncStudy!$Y$2026</definedName>
    <definedName name="UAcct108367">[5]FuncStudy!$Y$2030</definedName>
    <definedName name="UAcct108368">[5]FuncStudy!$Y$2034</definedName>
    <definedName name="UAcct108369">[5]FuncStudy!$Y$2038</definedName>
    <definedName name="UAcct108370">[5]FuncStudy!$Y$2042</definedName>
    <definedName name="UAcct108371">[5]FuncStudy!$Y$2046</definedName>
    <definedName name="UAcct108372">[5]FuncStudy!$Y$2050</definedName>
    <definedName name="UAcct108373">[5]FuncStudy!$Y$2054</definedName>
    <definedName name="UAcct108D">[5]FuncStudy!$Y$2066</definedName>
    <definedName name="UAcct108D00">[5]FuncStudy!$Y$2058</definedName>
    <definedName name="UAcct108Ds">[5]FuncStudy!$Y$2062</definedName>
    <definedName name="UAcct108Ep">[5]FuncStudy!$Y$1988</definedName>
    <definedName name="UAcct108Gpcn">[5]FuncStudy!$Y$2076</definedName>
    <definedName name="UAcct108Gps">[5]FuncStudy!$Y$2072</definedName>
    <definedName name="UAcct108Gpse">[5]FuncStudy!$Y$2078</definedName>
    <definedName name="UAcct108Gpsg">[5]FuncStudy!$Y$2075</definedName>
    <definedName name="UAcct108Gpsgp">[5]FuncStudy!$Y$2073</definedName>
    <definedName name="UAcct108Gpsgu">[5]FuncStudy!$Y$2074</definedName>
    <definedName name="UAcct108Gpso">[5]FuncStudy!$Y$2077</definedName>
    <definedName name="UACCT108GPSSGCH">[5]FuncStudy!$Y$2080</definedName>
    <definedName name="UACCT108GPSSGCT">[5]FuncStudy!$Y$2079</definedName>
    <definedName name="UAcct108Hp">[5]FuncStudy!$Y$1975</definedName>
    <definedName name="UAcct108Mp">[5]FuncStudy!$Y$2092</definedName>
    <definedName name="UAcct108Np">[5]FuncStudy!$Y$1968</definedName>
    <definedName name="UAcct108Op">[5]FuncStudy!$Y$1983</definedName>
    <definedName name="UAcct108Opsgw">[5]FuncStudy!$Y$1980</definedName>
    <definedName name="UAcct108OPSSGCT">[5]FuncStudy!$Y$1982</definedName>
    <definedName name="UAcct108Sp">[5]FuncStudy!$Y$1962</definedName>
    <definedName name="uacct108spssgch">[5]FuncStudy!$Y$1961</definedName>
    <definedName name="UAcct108Tp">[5]FuncStudy!$Y$2002</definedName>
    <definedName name="UAcct111390">[5]FuncStudy!$Y$2159</definedName>
    <definedName name="UAcct111Clg">[5]FuncStudy!$Y$2128</definedName>
    <definedName name="UAcct111Clgcn">[5]FuncStudy!$Y$2124</definedName>
    <definedName name="UAcct111Clgsop">[5]FuncStudy!$Y$2127</definedName>
    <definedName name="UAcct111Clgsou">[5]FuncStudy!$Y$2126</definedName>
    <definedName name="UAcct111Clh">[5]FuncStudy!$Y$2134</definedName>
    <definedName name="UAcct111Cls">[5]FuncStudy!$Y$2119</definedName>
    <definedName name="UAcct111Ipcn">[5]FuncStudy!$Y$2143</definedName>
    <definedName name="UAcct111Ips">[5]FuncStudy!$Y$2138</definedName>
    <definedName name="UAcct111Ipse">[5]FuncStudy!$Y$2141</definedName>
    <definedName name="UAcct111Ipsg">[5]FuncStudy!$Y$2142</definedName>
    <definedName name="UAcct111Ipsgp">[5]FuncStudy!$Y$2139</definedName>
    <definedName name="UAcct111Ipsgu">[5]FuncStudy!$Y$2140</definedName>
    <definedName name="uacct111ipso">[5]FuncStudy!$Y$2146</definedName>
    <definedName name="UACCT111IPSSGCH">[5]FuncStudy!$Y$2145</definedName>
    <definedName name="UAcct114">[5]FuncStudy!$Y$1685</definedName>
    <definedName name="UAcct120">[5]FuncStudy!$Y$1689</definedName>
    <definedName name="UAcct124">[5]FuncStudy!$Y$1694</definedName>
    <definedName name="UAcct141">[5]FuncStudy!$Y$1834</definedName>
    <definedName name="UAcct151">[5]FuncStudy!$Y$1716</definedName>
    <definedName name="uacct151ssech">[5]FuncStudy!$Y$1715</definedName>
    <definedName name="UAcct154">[5]FuncStudy!$Y$1750</definedName>
    <definedName name="uacct154ssgch">[5]FuncStudy!$Y$1749</definedName>
    <definedName name="UAcct163">[5]FuncStudy!$Y$1755</definedName>
    <definedName name="UAcct165">[5]FuncStudy!$Y$1770</definedName>
    <definedName name="UAcct165Se">[5]FuncStudy!$Y$1768</definedName>
    <definedName name="UAcct182">[5]FuncStudy!$Y$1701</definedName>
    <definedName name="UAcct18222">[5]FuncStudy!$Y$1824</definedName>
    <definedName name="UAcct182M">[5]FuncStudy!$Y$1780</definedName>
    <definedName name="UAcct182MSSGCT">[5]FuncStudy!$Y$1778</definedName>
    <definedName name="UAcct186">[5]FuncStudy!$Y$1709</definedName>
    <definedName name="UAcct1869">[5]FuncStudy!$Y$1829</definedName>
    <definedName name="UAcct186M">[5]FuncStudy!$Y$1791</definedName>
    <definedName name="UAcct186Mse">[5]FuncStudy!$Y$1788</definedName>
    <definedName name="UAcct190">[5]FuncStudy!$Y$1902</definedName>
    <definedName name="UAcct190CN">[5]FuncStudy!$Y$1891</definedName>
    <definedName name="UAcct190Dop">[5]FuncStudy!$Y$1892</definedName>
    <definedName name="UACCT190IBT">[5]FuncStudy!$Y$1894</definedName>
    <definedName name="UACCT190SSGCT">[5]FuncStudy!$Y$1901</definedName>
    <definedName name="UACCT2281">[5]FuncStudy!$Y$1847</definedName>
    <definedName name="UAcct2282">[5]FuncStudy!$Y$1851</definedName>
    <definedName name="UAcct2283">[5]FuncStudy!$Y$1855</definedName>
    <definedName name="UAcct2283S">[5]FuncStudy!$Y$1859</definedName>
    <definedName name="UAcct22842">[5]FuncStudy!$Y$1868</definedName>
    <definedName name="UAcct235">[5]FuncStudy!$Y$1843</definedName>
    <definedName name="UAcct252">[5]FuncStudy!$Y$1876</definedName>
    <definedName name="UAcct25316">[5]FuncStudy!$Y$1724</definedName>
    <definedName name="UAcct25317">[5]FuncStudy!$Y$1728</definedName>
    <definedName name="UAcct25318">[5]FuncStudy!$Y$1760</definedName>
    <definedName name="UAcct25319">[5]FuncStudy!$Y$1732</definedName>
    <definedName name="UACCT25398">[5]FuncStudy!$Y$1880</definedName>
    <definedName name="UAcct25399">[5]FuncStudy!$Y$1887</definedName>
    <definedName name="UAcct254">[5]FuncStudy!$Y$1864</definedName>
    <definedName name="UACCT254SO">[5]FuncStudy!$Y$1863</definedName>
    <definedName name="UAcct255">[5]FuncStudy!$Y$1952</definedName>
    <definedName name="UAcct281">[5]FuncStudy!$Y$1908</definedName>
    <definedName name="UAcct282">[5]FuncStudy!$Y$1926</definedName>
    <definedName name="UAcct282So">[5]FuncStudy!$Y$1914</definedName>
    <definedName name="UAcct283">[5]FuncStudy!$Y$1939</definedName>
    <definedName name="UAcct283So">[5]FuncStudy!$Y$1932</definedName>
    <definedName name="UAcct301S">[5]FuncStudy!$Y$1636</definedName>
    <definedName name="UAcct301Sg">[5]FuncStudy!$Y$1638</definedName>
    <definedName name="UAcct301So">[5]FuncStudy!$Y$1637</definedName>
    <definedName name="UAcct302S">[5]FuncStudy!$Y$1641</definedName>
    <definedName name="UAcct302Sg">[5]FuncStudy!$Y$1642</definedName>
    <definedName name="UAcct302Sgp">[5]FuncStudy!$Y$1643</definedName>
    <definedName name="UAcct302Sgu">[5]FuncStudy!$Y$1644</definedName>
    <definedName name="UAcct303Cn">[5]FuncStudy!$Y$1652</definedName>
    <definedName name="UAcct303S">[5]FuncStudy!$Y$1648</definedName>
    <definedName name="UAcct303Se">[5]FuncStudy!$Y$1651</definedName>
    <definedName name="UAcct303Sg">[5]FuncStudy!$Y$1649</definedName>
    <definedName name="UAcct303So">[5]FuncStudy!$Y$1650</definedName>
    <definedName name="UACCT303SSGCT">[5]FuncStudy!$Y$1654</definedName>
    <definedName name="UAcct310">[5]FuncStudy!$Y$1151</definedName>
    <definedName name="uacct310ssgch">[5]FuncStudy!$Y$1150</definedName>
    <definedName name="UAcct311">[5]FuncStudy!$Y$1156</definedName>
    <definedName name="uacct311ssgch">[5]FuncStudy!$Y$1155</definedName>
    <definedName name="UAcct312">[5]FuncStudy!$Y$1161</definedName>
    <definedName name="uacct312ssgch">[5]FuncStudy!$Y$1160</definedName>
    <definedName name="UAcct314">[5]FuncStudy!$Y$1166</definedName>
    <definedName name="uacct314ssgch">[5]FuncStudy!$Y$1165</definedName>
    <definedName name="UAcct315">[5]FuncStudy!$Y$1171</definedName>
    <definedName name="uacct315ssgch">[5]FuncStudy!$Y$1170</definedName>
    <definedName name="UAcct316">[5]FuncStudy!$Y$1176</definedName>
    <definedName name="uacct316ssgch">[5]FuncStudy!$Y$1175</definedName>
    <definedName name="UAcct320">[5]FuncStudy!$Y$1188</definedName>
    <definedName name="UAcct321">[5]FuncStudy!$Y$1192</definedName>
    <definedName name="UAcct322">[5]FuncStudy!$Y$1196</definedName>
    <definedName name="UAcct323">[5]FuncStudy!$Y$1200</definedName>
    <definedName name="UAcct324">[5]FuncStudy!$Y$1204</definedName>
    <definedName name="UAcct325">[5]FuncStudy!$Y$1208</definedName>
    <definedName name="UAcct33">[5]FuncStudy!$Y$131</definedName>
    <definedName name="UAcct330">[5]FuncStudy!$Y$1221</definedName>
    <definedName name="UAcct331">[5]FuncStudy!$Y$1226</definedName>
    <definedName name="UAcct332">[5]FuncStudy!$Y$1231</definedName>
    <definedName name="UAcct333">[5]FuncStudy!$Y$1236</definedName>
    <definedName name="UAcct334">[5]FuncStudy!$Y$1241</definedName>
    <definedName name="UAcct335">[5]FuncStudy!$Y$1246</definedName>
    <definedName name="UAcct336">[5]FuncStudy!$Y$1251</definedName>
    <definedName name="UAcct340">[5]FuncStudy!$Y$1266</definedName>
    <definedName name="UAcct340Sgw">[5]FuncStudy!$Y$1264</definedName>
    <definedName name="UAcct341">[5]FuncStudy!$Y$1272</definedName>
    <definedName name="UACCT341SGW">[5]FuncStudy!$Y$1270</definedName>
    <definedName name="uacct341ssgct">[5]FuncStudy!$Y$1271</definedName>
    <definedName name="UAcct342">[5]FuncStudy!$Y$1277</definedName>
    <definedName name="uacct342ssgct">[5]FuncStudy!$Y$1276</definedName>
    <definedName name="UAcct343">[5]FuncStudy!$Y$1284</definedName>
    <definedName name="UAcct343Sgw">[5]FuncStudy!$Y$1282</definedName>
    <definedName name="uacct343sscct">[5]FuncStudy!$Y$1283</definedName>
    <definedName name="UAcct344">[5]FuncStudy!$Y$1291</definedName>
    <definedName name="UACCT344SGW">[5]FuncStudy!$Y$1289</definedName>
    <definedName name="uacct344ssgct">[5]FuncStudy!$Y$1290</definedName>
    <definedName name="UAcct345">[5]FuncStudy!$Y$1297</definedName>
    <definedName name="UACCT345SGW">[5]FuncStudy!$Y$1295</definedName>
    <definedName name="uacct345ssgct">[5]FuncStudy!$Y$1296</definedName>
    <definedName name="UAcct346">[5]FuncStudy!$Y$1303</definedName>
    <definedName name="UAcct346SGW">[5]FuncStudy!$Y$1301</definedName>
    <definedName name="UAcct350">[5]FuncStudy!$Y$1323</definedName>
    <definedName name="UAcct352">[5]FuncStudy!$Y$1330</definedName>
    <definedName name="UAcct353">[5]FuncStudy!$Y$1336</definedName>
    <definedName name="UAcct354">[5]FuncStudy!$Y$1342</definedName>
    <definedName name="UAcct355">[5]FuncStudy!$Y$1348</definedName>
    <definedName name="UAcct356">[5]FuncStudy!$Y$1354</definedName>
    <definedName name="UAcct357">[5]FuncStudy!$Y$1360</definedName>
    <definedName name="UAcct358">[5]FuncStudy!$Y$1366</definedName>
    <definedName name="UAcct359">[5]FuncStudy!$Y$1372</definedName>
    <definedName name="UAcct360">[5]FuncStudy!$Y$1388</definedName>
    <definedName name="UAcct361">[5]FuncStudy!$Y$1394</definedName>
    <definedName name="UAcct362">[5]FuncStudy!$Y$1400</definedName>
    <definedName name="UAcct368">[5]FuncStudy!$Y$1434</definedName>
    <definedName name="UAcct369">[5]FuncStudy!$Y$1441</definedName>
    <definedName name="UAcct370">[5]FuncStudy!$Y$1447</definedName>
    <definedName name="UAcct372A">[5]FuncStudy!$Y$1460</definedName>
    <definedName name="UAcct372Dp">[5]FuncStudy!$Y$1458</definedName>
    <definedName name="UAcct372Ds">[5]FuncStudy!$Y$1459</definedName>
    <definedName name="UAcct373">[5]FuncStudy!$Y$1467</definedName>
    <definedName name="UAcct389Cn">[5]FuncStudy!$Y$1482</definedName>
    <definedName name="UAcct389S">[5]FuncStudy!$Y$1481</definedName>
    <definedName name="UAcct389Sg">[5]FuncStudy!$Y$1484</definedName>
    <definedName name="UAcct389Sgu">[5]FuncStudy!$Y$1483</definedName>
    <definedName name="UAcct389So">[5]FuncStudy!$Y$1485</definedName>
    <definedName name="UAcct390Cn">[5]FuncStudy!$Y$1492</definedName>
    <definedName name="UACCT390LS">[5]FuncStudy!$Y$1601</definedName>
    <definedName name="UAcct390LSG">[5]FuncStudy!$Y$1602</definedName>
    <definedName name="UAcct390LSO">[5]FuncStudy!$Y$1603</definedName>
    <definedName name="UAcct390S">[5]FuncStudy!$Y$1489</definedName>
    <definedName name="UAcct390Sgp">[5]FuncStudy!$Y$1490</definedName>
    <definedName name="UAcct390Sgu">[5]FuncStudy!$Y$1491</definedName>
    <definedName name="UAcct390Sop">[5]FuncStudy!$Y$1493</definedName>
    <definedName name="UAcct390Sou">[5]FuncStudy!$Y$1494</definedName>
    <definedName name="UAcct391Cn">[5]FuncStudy!$Y$1501</definedName>
    <definedName name="UAcct391S">[5]FuncStudy!$Y$1498</definedName>
    <definedName name="UAcct391Se">[5]FuncStudy!$Y$1503</definedName>
    <definedName name="UAcct391Sg">[5]FuncStudy!$Y$1502</definedName>
    <definedName name="UAcct391Sgp">[5]FuncStudy!$Y$1499</definedName>
    <definedName name="UAcct391Sgu">[5]FuncStudy!$Y$1500</definedName>
    <definedName name="UAcct391So">[5]FuncStudy!$Y$1504</definedName>
    <definedName name="uacct391ssgch">[5]FuncStudy!$Y$1505</definedName>
    <definedName name="UACCT391SSGCT">[5]FuncStudy!$Y$1506</definedName>
    <definedName name="UAcct392Cn">[5]FuncStudy!$Y$1513</definedName>
    <definedName name="UAcct392L">[5]FuncStudy!$Y$1611</definedName>
    <definedName name="UACCT392LRCL">[5]FuncStudy!$F$1614</definedName>
    <definedName name="UAcct392S">[5]FuncStudy!$Y$1510</definedName>
    <definedName name="UAcct392Se">[5]FuncStudy!$Y$1515</definedName>
    <definedName name="UAcct392Sg">[5]FuncStudy!$Y$1512</definedName>
    <definedName name="UAcct392Sgp">[5]FuncStudy!$Y$1516</definedName>
    <definedName name="UAcct392Sgu">[5]FuncStudy!$Y$1514</definedName>
    <definedName name="UAcct392So">[5]FuncStudy!$Y$1511</definedName>
    <definedName name="uacct392ssgch">[5]FuncStudy!$Y$1517</definedName>
    <definedName name="uacct392ssgct">[5]FuncStudy!$Y$1518</definedName>
    <definedName name="UAcct393S">[5]FuncStudy!$Y$1522</definedName>
    <definedName name="UAcct393Sg">[5]FuncStudy!$Y$1526</definedName>
    <definedName name="UAcct393Sgp">[5]FuncStudy!$Y$1523</definedName>
    <definedName name="UAcct393Sgu">[5]FuncStudy!$Y$1524</definedName>
    <definedName name="UAcct393So">[5]FuncStudy!$Y$1525</definedName>
    <definedName name="uacct393ssgct">[5]FuncStudy!$Y$1527</definedName>
    <definedName name="UAcct394S">[5]FuncStudy!$Y$1531</definedName>
    <definedName name="UAcct394Se">[5]FuncStudy!$Y$1535</definedName>
    <definedName name="UAcct394Sg">[5]FuncStudy!$Y$1536</definedName>
    <definedName name="UAcct394Sgp">[5]FuncStudy!$Y$1532</definedName>
    <definedName name="UAcct394Sgu">[5]FuncStudy!$Y$1533</definedName>
    <definedName name="UAcct394So">[5]FuncStudy!$Y$1534</definedName>
    <definedName name="UACCT394SSGCH">[5]FuncStudy!$Y$1537</definedName>
    <definedName name="UACCT394SSGCT">[5]FuncStudy!$Y$1538</definedName>
    <definedName name="UAcct395S">[5]FuncStudy!$Y$1542</definedName>
    <definedName name="UAcct395Se">[5]FuncStudy!$Y$1546</definedName>
    <definedName name="UAcct395Sg">[5]FuncStudy!$Y$1547</definedName>
    <definedName name="UAcct395Sgp">[5]FuncStudy!$Y$1543</definedName>
    <definedName name="UAcct395Sgu">[5]FuncStudy!$Y$1544</definedName>
    <definedName name="UAcct395So">[5]FuncStudy!$Y$1545</definedName>
    <definedName name="UACCT395SSGCH">[5]FuncStudy!$Y$1548</definedName>
    <definedName name="UACCT395SSGCT">[5]FuncStudy!$Y$1549</definedName>
    <definedName name="UAcct396S">[5]FuncStudy!$Y$1553</definedName>
    <definedName name="UAcct396Se">[5]FuncStudy!$Y$1558</definedName>
    <definedName name="UAcct396Sg">[5]FuncStudy!$Y$1555</definedName>
    <definedName name="UAcct396Sgp">[5]FuncStudy!$Y$1554</definedName>
    <definedName name="UAcct396Sgu">[5]FuncStudy!$Y$1557</definedName>
    <definedName name="UAcct396So">[5]FuncStudy!$Y$1556</definedName>
    <definedName name="UACCT396SSGCH">[5]FuncStudy!$Y$1560</definedName>
    <definedName name="UACCT396SSGCT">[5]FuncStudy!$Y$1559</definedName>
    <definedName name="UAcct397Cn">[5]FuncStudy!$Y$1568</definedName>
    <definedName name="UAcct397S">[5]FuncStudy!$Y$1564</definedName>
    <definedName name="UAcct397Se">[5]FuncStudy!$Y$1570</definedName>
    <definedName name="UAcct397Sg">[5]FuncStudy!$Y$1569</definedName>
    <definedName name="UAcct397Sgp">[5]FuncStudy!$Y$1565</definedName>
    <definedName name="UAcct397Sgu">[5]FuncStudy!$Y$1566</definedName>
    <definedName name="UAcct397So">[5]FuncStudy!$Y$1567</definedName>
    <definedName name="UACCT397SSGCH">[5]FuncStudy!$Y$1571</definedName>
    <definedName name="UACCT397SSGCT">[5]FuncStudy!$Y$1572</definedName>
    <definedName name="UAcct398Cn">[5]FuncStudy!$Y$1579</definedName>
    <definedName name="UAcct398S">[5]FuncStudy!$Y$1576</definedName>
    <definedName name="UAcct398Se">[5]FuncStudy!$Y$1581</definedName>
    <definedName name="UAcct398Sg">[5]FuncStudy!$Y$1582</definedName>
    <definedName name="UAcct398Sgp">[5]FuncStudy!$Y$1577</definedName>
    <definedName name="UAcct398Sgu">[5]FuncStudy!$Y$1578</definedName>
    <definedName name="UAcct398So">[5]FuncStudy!$Y$1580</definedName>
    <definedName name="UACCT398SSGCT">[5]FuncStudy!$Y$1583</definedName>
    <definedName name="UAcct399">[5]FuncStudy!$Y$1590</definedName>
    <definedName name="UAcct399G">[5]FuncStudy!$Y$1631</definedName>
    <definedName name="UAcct399L">[5]FuncStudy!$Y$1594</definedName>
    <definedName name="UAcct399Lrcl">[5]FuncStudy!$Y$1596</definedName>
    <definedName name="UAcct403360">[5]FuncStudy!$Y$808</definedName>
    <definedName name="UAcct403361">[5]FuncStudy!$Y$809</definedName>
    <definedName name="UAcct403362">[5]FuncStudy!$Y$810</definedName>
    <definedName name="UAcct403364">[5]FuncStudy!$Y$811</definedName>
    <definedName name="UAcct403365">[5]FuncStudy!$Y$812</definedName>
    <definedName name="UAcct403366">[5]FuncStudy!$Y$813</definedName>
    <definedName name="UAcct403367">[5]FuncStudy!$Y$814</definedName>
    <definedName name="UAcct403368">[5]FuncStudy!$Y$815</definedName>
    <definedName name="UAcct403369">[5]FuncStudy!$Y$816</definedName>
    <definedName name="UAcct403370">[5]FuncStudy!$Y$817</definedName>
    <definedName name="UAcct403371">[5]FuncStudy!$Y$818</definedName>
    <definedName name="UAcct403372">[5]FuncStudy!$Y$819</definedName>
    <definedName name="UAcct403373">[5]FuncStudy!$Y$820</definedName>
    <definedName name="UAcct403Ep">[5]FuncStudy!$Y$846</definedName>
    <definedName name="UAcct403Gpcn">[5]FuncStudy!$Y$828</definedName>
    <definedName name="UAcct403Gps">[5]FuncStudy!$Y$824</definedName>
    <definedName name="UAcct403Gpseu">[5]FuncStudy!$Y$827</definedName>
    <definedName name="UAcct403Gpsg">[5]FuncStudy!$Y$829</definedName>
    <definedName name="UAcct403Gpsgp">[5]FuncStudy!$Y$825</definedName>
    <definedName name="UAcct403Gpsgu">[5]FuncStudy!$Y$826</definedName>
    <definedName name="UAcct403Gpso">[5]FuncStudy!$Y$830</definedName>
    <definedName name="uacct403gpssgch">[5]FuncStudy!$Y$832</definedName>
    <definedName name="UACCT403GPSSGCT">[5]FuncStudy!$Y$831</definedName>
    <definedName name="UAcct403Gv0">[5]FuncStudy!$Y$837</definedName>
    <definedName name="UAcct403Hp">[5]FuncStudy!$Y$792</definedName>
    <definedName name="UAcct403Mp">[5]FuncStudy!$Y$841</definedName>
    <definedName name="UAcct403Np">[5]FuncStudy!$Y$787</definedName>
    <definedName name="UAcct403Op">[5]FuncStudy!$Y$799</definedName>
    <definedName name="UAcct403Opsgu">[5]FuncStudy!$Y$796</definedName>
    <definedName name="uacct403opssgct">[5]FuncStudy!$Y$797</definedName>
    <definedName name="uacct403sgw">[5]FuncStudy!$Y$798</definedName>
    <definedName name="uacct403spdgp">[5]FuncStudy!$Y$779</definedName>
    <definedName name="uacct403spdgu">[5]FuncStudy!$Y$780</definedName>
    <definedName name="uacct403spsg">[5]FuncStudy!$Y$781</definedName>
    <definedName name="uacct403ssgch">[5]FuncStudy!$Y$782</definedName>
    <definedName name="UAcct403Tp">[5]FuncStudy!$Y$805</definedName>
    <definedName name="UAcct404330">[5]FuncStudy!$Y$880</definedName>
    <definedName name="UAcct404Clg">[5]FuncStudy!$Y$857</definedName>
    <definedName name="UAcct404Clgsop">[5]FuncStudy!$Y$855</definedName>
    <definedName name="UAcct404Clgsou">[5]FuncStudy!$Y$853</definedName>
    <definedName name="UAcct404Cls">[5]FuncStudy!$Y$861</definedName>
    <definedName name="UAcct404Ipcn">[5]FuncStudy!$Y$867</definedName>
    <definedName name="UACCT404IPDGU">[5]FuncStudy!$Y$869</definedName>
    <definedName name="UAcct404Ips">[5]FuncStudy!$Y$864</definedName>
    <definedName name="UAcct404Ipse">[5]FuncStudy!$Y$865</definedName>
    <definedName name="UACCT404IPSGP">[5]FuncStudy!$Y$868</definedName>
    <definedName name="UAcct404Ipso">[5]FuncStudy!$Y$866</definedName>
    <definedName name="UACCT404IPSSGCH">[5]FuncStudy!$Y$870</definedName>
    <definedName name="UAcct404O">[5]FuncStudy!$Y$875</definedName>
    <definedName name="UAcct405">[5]FuncStudy!$Y$888</definedName>
    <definedName name="UAcct406">[5]FuncStudy!$Y$894</definedName>
    <definedName name="UAcct407">[5]FuncStudy!$Y$903</definedName>
    <definedName name="UAcct408">[5]FuncStudy!$Y$916</definedName>
    <definedName name="UAcct408S">[5]FuncStudy!$Y$908</definedName>
    <definedName name="UAcct40910FITOther">[5]FuncStudy!$Y$1135</definedName>
    <definedName name="UAcct40910FitPMI">[5]FuncStudy!$Y$1133</definedName>
    <definedName name="UAcct40910FITPTC">[5]FuncStudy!$Y$1134</definedName>
    <definedName name="UAcct40910FITSitus">[5]FuncStudy!$Y$1136</definedName>
    <definedName name="UAcct40911Dgu">[5]FuncStudy!$Y$1103</definedName>
    <definedName name="UAcct40911S">[5]FuncStudy!$Y$1101</definedName>
    <definedName name="UAcct41010">[5]FuncStudy!$Y$977</definedName>
    <definedName name="UAcct41020">[5]FuncStudy!$Y$992</definedName>
    <definedName name="UAcct41111">[5]FuncStudy!$Y$1026</definedName>
    <definedName name="UAcct41120">[5]FuncStudy!$Y$1011</definedName>
    <definedName name="UAcct41140">[5]FuncStudy!$Y$921</definedName>
    <definedName name="UAcct41141">[5]FuncStudy!$Y$926</definedName>
    <definedName name="UAcct41160">[5]FuncStudy!$Y$177</definedName>
    <definedName name="UAcct41170">[5]FuncStudy!$Y$182</definedName>
    <definedName name="UAcct4118">[5]FuncStudy!$Y$186</definedName>
    <definedName name="UAcct41181">[5]FuncStudy!$Y$189</definedName>
    <definedName name="UAcct4194">[5]FuncStudy!$Y$193</definedName>
    <definedName name="UAcct419Doth">[5]FuncStudy!$Y$957</definedName>
    <definedName name="UAcct421">[5]FuncStudy!$Y$202</definedName>
    <definedName name="UAcct4311">[5]FuncStudy!$Y$209</definedName>
    <definedName name="UAcct442Se">[5]FuncStudy!$Y$100</definedName>
    <definedName name="UAcct442Sg">[5]FuncStudy!$Y$101</definedName>
    <definedName name="UAcct447">[5]FuncStudy!$Y$125</definedName>
    <definedName name="UAcct447S">[5]FuncStudy!$Y$121</definedName>
    <definedName name="UAcct447Se">[5]FuncStudy!$Y$124</definedName>
    <definedName name="UAcct448S">[5]FuncStudy!$Y$114</definedName>
    <definedName name="UAcct448So">[5]FuncStudy!$Y$115</definedName>
    <definedName name="UAcct449">[5]FuncStudy!$Y$130</definedName>
    <definedName name="UAcct450">[5]FuncStudy!$Y$140</definedName>
    <definedName name="UAcct450S">[5]FuncStudy!$Y$138</definedName>
    <definedName name="UAcct450So">[5]FuncStudy!$Y$139</definedName>
    <definedName name="UAcct451S">[5]FuncStudy!$Y$143</definedName>
    <definedName name="UAcct451Sg">[5]FuncStudy!$Y$144</definedName>
    <definedName name="UAcct451So">[5]FuncStudy!$Y$145</definedName>
    <definedName name="UAcct453">[5]FuncStudy!$Y$150</definedName>
    <definedName name="UAcct454">[5]FuncStudy!$Y$156</definedName>
    <definedName name="UAcct454S">[5]FuncStudy!$Y$153</definedName>
    <definedName name="UAcct454Sg">[5]FuncStudy!$Y$154</definedName>
    <definedName name="UAcct454So">[5]FuncStudy!$Y$155</definedName>
    <definedName name="UAcct456">[5]FuncStudy!$Y$164</definedName>
    <definedName name="UAcct456Cn">[5]FuncStudy!$Y$160</definedName>
    <definedName name="UAcct456S">[5]FuncStudy!$Y$159</definedName>
    <definedName name="UAcct456Se">[5]FuncStudy!$Y$161</definedName>
    <definedName name="UAcct500">[5]FuncStudy!$Y$225</definedName>
    <definedName name="UACCT500SSGCH">[5]FuncStudy!$Y$224</definedName>
    <definedName name="UAcct501">[5]FuncStudy!$Y$233</definedName>
    <definedName name="UAcct501Se">[5]FuncStudy!$Y$228</definedName>
    <definedName name="UACCT501SENNPC">[5]FuncStudy!$Y$229</definedName>
    <definedName name="uacct501ssech">[5]FuncStudy!$Y$232</definedName>
    <definedName name="UACCT501SSECHNNPC">[5]FuncStudy!$Y$231</definedName>
    <definedName name="uacct501ssect">[5]FuncStudy!$Y$230</definedName>
    <definedName name="UAcct502">[5]FuncStudy!$Y$238</definedName>
    <definedName name="uacct502snpps">[5]FuncStudy!$Y$236</definedName>
    <definedName name="uacct502ssgch">[5]FuncStudy!$Y$237</definedName>
    <definedName name="UAcct503">[5]FuncStudy!$Y$243</definedName>
    <definedName name="UAcct503Se">[5]FuncStudy!$Y$241</definedName>
    <definedName name="UACCT503SENNPC">[5]FuncStudy!$Y$242</definedName>
    <definedName name="UAcct505">[5]FuncStudy!$Y$248</definedName>
    <definedName name="uacct505snpps">[5]FuncStudy!$Y$246</definedName>
    <definedName name="uacct505ssgch">[5]FuncStudy!$Y$247</definedName>
    <definedName name="UAcct506">[5]FuncStudy!$Y$254</definedName>
    <definedName name="UAcct506Se">[5]FuncStudy!$Y$252</definedName>
    <definedName name="uacct506snpps">[5]FuncStudy!$Y$251</definedName>
    <definedName name="uacct506ssgch">[5]FuncStudy!$Y$253</definedName>
    <definedName name="UAcct507">[5]FuncStudy!$Y$259</definedName>
    <definedName name="uacct507ssgch">[5]FuncStudy!$Y$258</definedName>
    <definedName name="UAcct510">[5]FuncStudy!$Y$264</definedName>
    <definedName name="uacct510ssgch">[5]FuncStudy!$Y$263</definedName>
    <definedName name="UAcct511">[5]FuncStudy!$Y$269</definedName>
    <definedName name="uacct511ssgch">[5]FuncStudy!$Y$268</definedName>
    <definedName name="UAcct512">[5]FuncStudy!$Y$274</definedName>
    <definedName name="uacct512ssgch">[5]FuncStudy!$Y$273</definedName>
    <definedName name="UAcct513">[5]FuncStudy!$Y$279</definedName>
    <definedName name="uacct513ssgch">[5]FuncStudy!$Y$278</definedName>
    <definedName name="UAcct514">[5]FuncStudy!$Y$284</definedName>
    <definedName name="uacct514ssgch">[5]FuncStudy!$Y$283</definedName>
    <definedName name="UAcct517">[5]FuncStudy!$Y$290</definedName>
    <definedName name="UAcct518">[5]FuncStudy!$Y$294</definedName>
    <definedName name="UAcct519">[5]FuncStudy!$Y$299</definedName>
    <definedName name="UAcct520">[5]FuncStudy!$Y$303</definedName>
    <definedName name="UAcct523">[5]FuncStudy!$Y$307</definedName>
    <definedName name="UAcct524">[5]FuncStudy!$Y$311</definedName>
    <definedName name="UAcct528">[5]FuncStudy!$Y$315</definedName>
    <definedName name="UAcct529">[5]FuncStudy!$Y$319</definedName>
    <definedName name="UAcct530">[5]FuncStudy!$Y$323</definedName>
    <definedName name="UAcct531">[5]FuncStudy!$Y$327</definedName>
    <definedName name="UAcct532">[5]FuncStudy!$Y$331</definedName>
    <definedName name="UAcct535">[5]FuncStudy!$Y$338</definedName>
    <definedName name="UAcct536">[5]FuncStudy!$Y$342</definedName>
    <definedName name="UAcct537">[5]FuncStudy!$Y$346</definedName>
    <definedName name="UAcct538">[5]FuncStudy!$Y$350</definedName>
    <definedName name="UAcct539">[5]FuncStudy!$Y$354</definedName>
    <definedName name="UAcct540">[5]FuncStudy!$Y$358</definedName>
    <definedName name="UAcct541">[5]FuncStudy!$Y$362</definedName>
    <definedName name="UAcct542">[5]FuncStudy!$Y$366</definedName>
    <definedName name="UAcct543">[5]FuncStudy!$Y$370</definedName>
    <definedName name="UAcct544">[5]FuncStudy!$Y$374</definedName>
    <definedName name="UAcct545">[5]FuncStudy!$Y$378</definedName>
    <definedName name="UAcct546">[5]FuncStudy!$Y$385</definedName>
    <definedName name="UAcct547Se">[5]FuncStudy!$Y$388</definedName>
    <definedName name="UACCT547SSECT">[5]FuncStudy!$Y$389</definedName>
    <definedName name="UAcct548">[5]FuncStudy!$Y$395</definedName>
    <definedName name="uacct548ssgct">[5]FuncStudy!$Y$394</definedName>
    <definedName name="UAcct549">[5]FuncStudy!$Y$400</definedName>
    <definedName name="UAcct549sg">[5]FuncStudy!$Y$398</definedName>
    <definedName name="uacct550">[5]FuncStudy!$Y$406</definedName>
    <definedName name="UACCT550sg">[5]FuncStudy!$Y$404</definedName>
    <definedName name="UAcct551">[5]FuncStudy!$Y$410</definedName>
    <definedName name="UAcct552">[5]FuncStudy!$Y$415</definedName>
    <definedName name="UAcct553">[5]FuncStudy!$Y$422</definedName>
    <definedName name="UACCT553SSGCT">[5]FuncStudy!$Y$420</definedName>
    <definedName name="UAcct554">[5]FuncStudy!$Y$428</definedName>
    <definedName name="UAcct554SSCT">[5]FuncStudy!$Y$426</definedName>
    <definedName name="uacct555dgp">[5]FuncStudy!$Y$437</definedName>
    <definedName name="UAcct555Dgu">[5]FuncStudy!$Y$434</definedName>
    <definedName name="UAcct555S">[5]FuncStudy!$Y$433</definedName>
    <definedName name="UAcct555Se">[5]FuncStudy!$Y$435</definedName>
    <definedName name="uacct555ssgp">[5]FuncStudy!$Y$436</definedName>
    <definedName name="UAcct556">[5]FuncStudy!$Y$442</definedName>
    <definedName name="UAcct557">[5]FuncStudy!$Y$451</definedName>
    <definedName name="UACCT557SSGCT">[5]FuncStudy!$Y$449</definedName>
    <definedName name="UAcct560">[5]FuncStudy!$Y$476</definedName>
    <definedName name="UAcct561">[5]FuncStudy!$Y$480</definedName>
    <definedName name="UAcct562">[5]FuncStudy!$Y$484</definedName>
    <definedName name="UAcct563">[5]FuncStudy!$Y$488</definedName>
    <definedName name="UAcct564">[5]FuncStudy!$Y$492</definedName>
    <definedName name="UAcct565">[5]FuncStudy!$Y$497</definedName>
    <definedName name="UAcct565Se">[5]FuncStudy!$Y$496</definedName>
    <definedName name="UAcct566">[5]FuncStudy!$Y$501</definedName>
    <definedName name="UAcct567">[5]FuncStudy!$Y$505</definedName>
    <definedName name="UAcct568">[5]FuncStudy!$Y$509</definedName>
    <definedName name="UAcct569">[5]FuncStudy!$Y$513</definedName>
    <definedName name="UAcct570">[5]FuncStudy!$Y$517</definedName>
    <definedName name="UAcct571">[5]FuncStudy!$Y$521</definedName>
    <definedName name="UAcct572">[5]FuncStudy!$Y$525</definedName>
    <definedName name="UAcct573">[5]FuncStudy!$Y$529</definedName>
    <definedName name="UAcct580">[5]FuncStudy!$Y$536</definedName>
    <definedName name="UAcct581">[5]FuncStudy!$Y$541</definedName>
    <definedName name="UAcct582">[5]FuncStudy!$Y$546</definedName>
    <definedName name="UAcct583">[5]FuncStudy!$Y$551</definedName>
    <definedName name="UAcct584">[5]FuncStudy!$Y$556</definedName>
    <definedName name="UAcct585">[5]FuncStudy!$Y$561</definedName>
    <definedName name="UAcct586">[5]FuncStudy!$Y$566</definedName>
    <definedName name="UAcct587">[5]FuncStudy!$Y$571</definedName>
    <definedName name="UAcct588">[5]FuncStudy!$Y$576</definedName>
    <definedName name="UAcct589">[5]FuncStudy!$Y$581</definedName>
    <definedName name="UAcct590">[5]FuncStudy!$Y$586</definedName>
    <definedName name="UAcct591">[5]FuncStudy!$Y$591</definedName>
    <definedName name="UAcct592">[5]FuncStudy!$Y$596</definedName>
    <definedName name="UAcct593">[5]FuncStudy!$Y$601</definedName>
    <definedName name="UAcct594">[5]FuncStudy!$Y$606</definedName>
    <definedName name="UAcct595">[5]FuncStudy!$Y$611</definedName>
    <definedName name="UAcct596">[5]FuncStudy!$Y$616</definedName>
    <definedName name="UAcct597">[5]FuncStudy!$Y$621</definedName>
    <definedName name="UAcct598">[5]FuncStudy!$Y$626</definedName>
    <definedName name="UAcct901">[5]FuncStudy!$Y$633</definedName>
    <definedName name="UAcct902">[5]FuncStudy!$Y$638</definedName>
    <definedName name="UAcct903">[5]FuncStudy!$Y$643</definedName>
    <definedName name="UAcct904">[5]FuncStudy!$Y$649</definedName>
    <definedName name="UAcct905">[5]FuncStudy!$Y$654</definedName>
    <definedName name="UAcct907">[5]FuncStudy!$Y$661</definedName>
    <definedName name="UAcct908">[5]FuncStudy!$Y$666</definedName>
    <definedName name="UAcct909">[5]FuncStudy!$Y$671</definedName>
    <definedName name="UAcct910">[5]FuncStudy!$Y$676</definedName>
    <definedName name="UAcct911">[5]FuncStudy!$Y$683</definedName>
    <definedName name="UAcct912">[5]FuncStudy!$Y$688</definedName>
    <definedName name="UAcct913">[5]FuncStudy!$Y$693</definedName>
    <definedName name="UAcct916">[5]FuncStudy!$Y$698</definedName>
    <definedName name="UAcct920">[5]FuncStudy!$Y$707</definedName>
    <definedName name="UAcct920Cn">[5]FuncStudy!$Y$705</definedName>
    <definedName name="UAcct921">[5]FuncStudy!$Y$713</definedName>
    <definedName name="UAcct921Cn">[5]FuncStudy!$Y$711</definedName>
    <definedName name="UAcct923">[5]FuncStudy!$Y$719</definedName>
    <definedName name="UAcct923Cn">[5]FuncStudy!$Y$717</definedName>
    <definedName name="UAcct924S">[5]FuncStudy!$Y$722</definedName>
    <definedName name="UACCT924SG">[5]FuncStudy!$Y$723</definedName>
    <definedName name="UAcct924SO">[5]FuncStudy!$Y$724</definedName>
    <definedName name="UAcct925">[5]FuncStudy!$Y$729</definedName>
    <definedName name="UAcct926">[5]FuncStudy!$Y$735</definedName>
    <definedName name="UAcct927">[5]FuncStudy!$Y$740</definedName>
    <definedName name="UAcct928">[5]FuncStudy!$Y$747</definedName>
    <definedName name="UAcct928RE">[5]FuncStudy!$Y$749</definedName>
    <definedName name="UAcct929">[5]FuncStudy!$Y$754</definedName>
    <definedName name="UACCT930cn">[5]FuncStudy!$Y$758</definedName>
    <definedName name="UAcct930S">[5]FuncStudy!$Y$757</definedName>
    <definedName name="UAcct930So">[5]FuncStudy!$Y$759</definedName>
    <definedName name="UAcct931">[5]FuncStudy!$Y$765</definedName>
    <definedName name="UAcct935">[5]FuncStudy!$Y$771</definedName>
    <definedName name="UAcctAGA">[5]FuncStudy!$Y$132</definedName>
    <definedName name="UAcctcwc">[5]FuncStudy!$Y$1798</definedName>
    <definedName name="UAcctd00">[5]FuncStudy!$Y$1471</definedName>
    <definedName name="UAcctdfad">[5]FuncStudy!$Y$214</definedName>
    <definedName name="UAcctdfap">[5]FuncStudy!$Y$212</definedName>
    <definedName name="UAcctdfat">[5]FuncStudy!$Y$213</definedName>
    <definedName name="UAcctds0">[5]FuncStudy!$Y$1475</definedName>
    <definedName name="UAcctfit">[5]FuncStudy!$Y$1142</definedName>
    <definedName name="UAcctg00">[5]FuncStudy!$Y$1623</definedName>
    <definedName name="UAccth00">[5]FuncStudy!$Y$1257</definedName>
    <definedName name="UAccti00">[5]FuncStudy!$Y$1665</definedName>
    <definedName name="UAcctn00">[5]FuncStudy!$Y$1213</definedName>
    <definedName name="UAccto00">[5]FuncStudy!$Y$1308</definedName>
    <definedName name="UAcctowc">[5]FuncStudy!$Y$1810</definedName>
    <definedName name="uacctowcssech">[5]FuncStudy!$Y$1809</definedName>
    <definedName name="UAccts00">[5]FuncStudy!$Y$1181</definedName>
    <definedName name="UAcctSchM">[5]FuncStudy!$Y$1120</definedName>
    <definedName name="UAcctsttax">[5]FuncStudy!$Y$1124</definedName>
    <definedName name="UAcctt00">[5]FuncStudy!$Y$1376</definedName>
    <definedName name="UACT553SGW">[5]FuncStudy!$Y$421</definedName>
    <definedName name="UNIT">#REF!</definedName>
    <definedName name="USCHMAFS">[5]FuncStudy!$Y$1031</definedName>
    <definedName name="USCHMAFSE">[5]FuncStudy!$Y$1034</definedName>
    <definedName name="USCHMAFSG">[5]FuncStudy!$Y$1036</definedName>
    <definedName name="USCHMAFSNP">[5]FuncStudy!$Y$1032</definedName>
    <definedName name="USCHMAFSO">[5]FuncStudy!$Y$1033</definedName>
    <definedName name="USCHMAFTROJP">[5]FuncStudy!$Y$1035</definedName>
    <definedName name="USCHMAPBADDEBT">[5]FuncStudy!$Y$1045</definedName>
    <definedName name="USCHMAPS">[5]FuncStudy!$Y$1040</definedName>
    <definedName name="USCHMAPSE">[5]FuncStudy!$Y$1041</definedName>
    <definedName name="USCHMAPSG">[5]FuncStudy!$Y$1044</definedName>
    <definedName name="USCHMAPSNP">[5]FuncStudy!$Y$1042</definedName>
    <definedName name="USCHMAPSO">[5]FuncStudy!$Y$1043</definedName>
    <definedName name="USCHMATBADDEBT">[5]FuncStudy!$Y$1060</definedName>
    <definedName name="USCHMATCIAC">[5]FuncStudy!$Y$1051</definedName>
    <definedName name="USCHMATGPS">[5]FuncStudy!$Y$1057</definedName>
    <definedName name="USCHMATS">[5]FuncStudy!$Y$1049</definedName>
    <definedName name="USCHMATSCHMDEXP">[5]FuncStudy!$Y$1062</definedName>
    <definedName name="USCHMATSE">[5]FuncStudy!$Y$1055</definedName>
    <definedName name="USCHMATSG">[5]FuncStudy!$Y$1054</definedName>
    <definedName name="USCHMATSG2">[5]FuncStudy!$Y$1056</definedName>
    <definedName name="USCHMATSGCT">[5]FuncStudy!$Y$1050</definedName>
    <definedName name="USCHMATSNP">[5]FuncStudy!$Y$1052</definedName>
    <definedName name="USCHMATSNPD">[5]FuncStudy!$Y$1059</definedName>
    <definedName name="USCHMATSO">[5]FuncStudy!$Y$1058</definedName>
    <definedName name="USCHMATTAXDEPR">[5]FuncStudy!$Y$1061</definedName>
    <definedName name="USCHMATTROJD">[5]FuncStudy!$Y$1053</definedName>
    <definedName name="USCHMDFDGP">[5]FuncStudy!$Y$1069</definedName>
    <definedName name="USCHMDFDGU">[5]FuncStudy!$Y$1070</definedName>
    <definedName name="USCHMDFS">[5]FuncStudy!$Y$1068</definedName>
    <definedName name="USCHMDPIBT">[5]FuncStudy!$Y$1076</definedName>
    <definedName name="USCHMDPS">[5]FuncStudy!$Y$1073</definedName>
    <definedName name="USCHMDPSE">[5]FuncStudy!$Y$1074</definedName>
    <definedName name="USCHMDPSG">[5]FuncStudy!$Y$1077</definedName>
    <definedName name="USCHMDPSNP">[5]FuncStudy!$Y$1075</definedName>
    <definedName name="USCHMDPSO">[5]FuncStudy!$Y$1078</definedName>
    <definedName name="USCHMDTBADDEBT">[5]FuncStudy!$Y$1083</definedName>
    <definedName name="USCHMDTCN">[5]FuncStudy!$Y$1085</definedName>
    <definedName name="USCHMDTDGP">[5]FuncStudy!$Y$1087</definedName>
    <definedName name="USCHMDTGPS">[5]FuncStudy!$Y$1090</definedName>
    <definedName name="USCHMDTS">[5]FuncStudy!$Y$1082</definedName>
    <definedName name="USCHMDTSE">[5]FuncStudy!$Y$1088</definedName>
    <definedName name="USCHMDTSG">[5]FuncStudy!$Y$1089</definedName>
    <definedName name="USCHMDTSNP">[5]FuncStudy!$Y$1084</definedName>
    <definedName name="USCHMDTSNPD">[5]FuncStudy!$Y$1093</definedName>
    <definedName name="USCHMDTSO">[5]FuncStudy!$Y$1091</definedName>
    <definedName name="USCHMDTTAXDEPR">[5]FuncStudy!$Y$1092</definedName>
    <definedName name="USCHMDTTROJD">[5]FuncStudy!$Y$1086</definedName>
    <definedName name="WILOPER">#REF!</definedName>
    <definedName name="WILPROY">#REF!</definedName>
    <definedName name="WILTRANS">#REF!</definedName>
    <definedName name="wrn.All._.Pages." hidden="1">{#N/A,#N/A,FALSE,"cover";#N/A,#N/A,FALSE,"lead sheet";#N/A,#N/A,FALSE,"Adj backup";#N/A,#N/A,FALSE,"t Accounts"}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int." hidden="1">{#N/A,#N/A,FALSE,"Reclamation Trust Fund";#N/A,#N/A,FALSE,"Trust Income"}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O_IND_GAS" localSheetId="1">#REF!</definedName>
    <definedName name="WYO_IND_GAS">#REF!</definedName>
    <definedName name="Wyoming_Basis">#REF!</definedName>
    <definedName name="Wyoming_PRB_Mines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0" i="1"/>
  <c r="E990" i="2"/>
  <c r="E993" i="2" s="1"/>
  <c r="D990" i="2"/>
  <c r="D993" i="2" s="1"/>
  <c r="D980" i="2"/>
  <c r="D982" i="2" s="1"/>
  <c r="D986" i="2" s="1"/>
  <c r="E977" i="2"/>
  <c r="E976" i="2"/>
  <c r="E975" i="2"/>
  <c r="D975" i="2"/>
  <c r="E971" i="2"/>
  <c r="D971" i="2"/>
  <c r="F958" i="2"/>
  <c r="C958" i="2"/>
  <c r="D946" i="2"/>
  <c r="E945" i="2"/>
  <c r="D945" i="2"/>
  <c r="E944" i="2"/>
  <c r="D944" i="2"/>
  <c r="E937" i="2"/>
  <c r="D937" i="2"/>
  <c r="D941" i="2" s="1"/>
  <c r="D34" i="2" s="1"/>
  <c r="D935" i="2"/>
  <c r="D33" i="2" s="1"/>
  <c r="E931" i="2"/>
  <c r="D931" i="2"/>
  <c r="H925" i="2"/>
  <c r="H930" i="2" s="1"/>
  <c r="E922" i="2" s="1"/>
  <c r="E925" i="2"/>
  <c r="D925" i="2"/>
  <c r="D943" i="2" s="1"/>
  <c r="E915" i="2"/>
  <c r="E912" i="2"/>
  <c r="E909" i="2"/>
  <c r="E917" i="2" s="1"/>
  <c r="E918" i="2" s="1"/>
  <c r="E920" i="2" s="1"/>
  <c r="D909" i="2"/>
  <c r="E908" i="2"/>
  <c r="D908" i="2"/>
  <c r="E905" i="2"/>
  <c r="D905" i="2"/>
  <c r="F890" i="2"/>
  <c r="C890" i="2"/>
  <c r="D881" i="2"/>
  <c r="E880" i="2"/>
  <c r="D880" i="2"/>
  <c r="E879" i="2"/>
  <c r="D879" i="2"/>
  <c r="E872" i="2"/>
  <c r="D872" i="2"/>
  <c r="D876" i="2" s="1"/>
  <c r="D31" i="2" s="1"/>
  <c r="D870" i="2"/>
  <c r="D30" i="2" s="1"/>
  <c r="E866" i="2"/>
  <c r="D866" i="2"/>
  <c r="H860" i="2"/>
  <c r="E860" i="2"/>
  <c r="D860" i="2"/>
  <c r="D864" i="2" s="1"/>
  <c r="D29" i="2" s="1"/>
  <c r="E854" i="2"/>
  <c r="D854" i="2"/>
  <c r="D858" i="2" s="1"/>
  <c r="D28" i="2" s="1"/>
  <c r="E851" i="2"/>
  <c r="E842" i="2"/>
  <c r="E840" i="2"/>
  <c r="E839" i="2"/>
  <c r="E836" i="2"/>
  <c r="E835" i="2"/>
  <c r="D835" i="2"/>
  <c r="D843" i="2" s="1"/>
  <c r="E833" i="2"/>
  <c r="D833" i="2"/>
  <c r="E830" i="2"/>
  <c r="D830" i="2"/>
  <c r="F814" i="2"/>
  <c r="C814" i="2"/>
  <c r="D802" i="2"/>
  <c r="E801" i="2"/>
  <c r="D801" i="2"/>
  <c r="E800" i="2"/>
  <c r="D800" i="2"/>
  <c r="H794" i="2"/>
  <c r="E784" i="2" s="1"/>
  <c r="H783" i="2" s="1"/>
  <c r="D793" i="2"/>
  <c r="D799" i="2" s="1"/>
  <c r="D803" i="2" s="1"/>
  <c r="D791" i="2"/>
  <c r="D26" i="2" s="1"/>
  <c r="D787" i="2"/>
  <c r="H780" i="2"/>
  <c r="E780" i="2"/>
  <c r="D778" i="2"/>
  <c r="D777" i="2"/>
  <c r="D766" i="2"/>
  <c r="D763" i="2"/>
  <c r="E762" i="2"/>
  <c r="E763" i="2" s="1"/>
  <c r="D762" i="2"/>
  <c r="F742" i="2"/>
  <c r="C742" i="2"/>
  <c r="D730" i="2"/>
  <c r="D732" i="2" s="1"/>
  <c r="H728" i="2"/>
  <c r="H727" i="2"/>
  <c r="E727" i="2"/>
  <c r="D727" i="2"/>
  <c r="D726" i="2"/>
  <c r="D719" i="2"/>
  <c r="D720" i="2" s="1"/>
  <c r="E105" i="2" s="1"/>
  <c r="H717" i="2"/>
  <c r="D712" i="2"/>
  <c r="E103" i="2" s="1"/>
  <c r="D711" i="2"/>
  <c r="D703" i="2"/>
  <c r="E700" i="2"/>
  <c r="H716" i="2" s="1"/>
  <c r="D700" i="2"/>
  <c r="D699" i="2"/>
  <c r="D704" i="2" s="1"/>
  <c r="E101" i="2" s="1"/>
  <c r="D692" i="2"/>
  <c r="H690" i="2"/>
  <c r="D684" i="2"/>
  <c r="E681" i="2"/>
  <c r="H689" i="2" s="1"/>
  <c r="D681" i="2"/>
  <c r="D680" i="2"/>
  <c r="D685" i="2" s="1"/>
  <c r="E91" i="2" s="1"/>
  <c r="F672" i="2"/>
  <c r="E672" i="2"/>
  <c r="D657" i="2"/>
  <c r="D661" i="2" s="1"/>
  <c r="H653" i="2"/>
  <c r="E643" i="2" s="1"/>
  <c r="H645" i="2" s="1"/>
  <c r="D651" i="2"/>
  <c r="D655" i="2" s="1"/>
  <c r="D24" i="2" s="1"/>
  <c r="D649" i="2"/>
  <c r="D23" i="2" s="1"/>
  <c r="D645" i="2"/>
  <c r="H639" i="2"/>
  <c r="D639" i="2"/>
  <c r="E637" i="2"/>
  <c r="E636" i="2"/>
  <c r="D636" i="2"/>
  <c r="E634" i="2"/>
  <c r="E633" i="2"/>
  <c r="E632" i="2"/>
  <c r="D632" i="2"/>
  <c r="E628" i="2"/>
  <c r="E639" i="2" s="1"/>
  <c r="D627" i="2"/>
  <c r="D624" i="2"/>
  <c r="E617" i="2"/>
  <c r="E616" i="2"/>
  <c r="D616" i="2"/>
  <c r="D621" i="2" s="1"/>
  <c r="D640" i="2" s="1"/>
  <c r="D641" i="2" s="1"/>
  <c r="E607" i="2"/>
  <c r="E621" i="2" s="1"/>
  <c r="H605" i="2"/>
  <c r="H604" i="2"/>
  <c r="H606" i="2" s="1"/>
  <c r="D603" i="2"/>
  <c r="F596" i="2"/>
  <c r="C596" i="2"/>
  <c r="C672" i="2" s="1"/>
  <c r="D583" i="2"/>
  <c r="E581" i="2"/>
  <c r="D581" i="2"/>
  <c r="E580" i="2"/>
  <c r="D580" i="2"/>
  <c r="E576" i="2"/>
  <c r="D576" i="2"/>
  <c r="E575" i="2"/>
  <c r="D575" i="2"/>
  <c r="H572" i="2"/>
  <c r="E565" i="2" s="1"/>
  <c r="D572" i="2"/>
  <c r="D21" i="2" s="1"/>
  <c r="E570" i="2"/>
  <c r="D570" i="2"/>
  <c r="E569" i="2"/>
  <c r="D569" i="2"/>
  <c r="D559" i="2"/>
  <c r="D561" i="2" s="1"/>
  <c r="D563" i="2" s="1"/>
  <c r="E558" i="2"/>
  <c r="E559" i="2" s="1"/>
  <c r="E561" i="2" s="1"/>
  <c r="E553" i="2"/>
  <c r="E552" i="2"/>
  <c r="E551" i="2"/>
  <c r="D551" i="2"/>
  <c r="E548" i="2"/>
  <c r="D548" i="2"/>
  <c r="F531" i="2"/>
  <c r="C531" i="2"/>
  <c r="E511" i="2"/>
  <c r="E513" i="2" s="1"/>
  <c r="E521" i="2" s="1"/>
  <c r="F521" i="2" s="1"/>
  <c r="D511" i="2"/>
  <c r="D513" i="2" s="1"/>
  <c r="F489" i="2"/>
  <c r="C489" i="2"/>
  <c r="D480" i="2"/>
  <c r="E479" i="2"/>
  <c r="D479" i="2"/>
  <c r="E478" i="2"/>
  <c r="D478" i="2"/>
  <c r="E471" i="2"/>
  <c r="D471" i="2"/>
  <c r="D475" i="2" s="1"/>
  <c r="D20" i="2" s="1"/>
  <c r="D469" i="2"/>
  <c r="E465" i="2"/>
  <c r="D465" i="2"/>
  <c r="E459" i="2"/>
  <c r="D459" i="2"/>
  <c r="D463" i="2" s="1"/>
  <c r="D18" i="2" s="1"/>
  <c r="H458" i="2"/>
  <c r="E451" i="2" s="1"/>
  <c r="D457" i="2"/>
  <c r="D17" i="2" s="1"/>
  <c r="E453" i="2"/>
  <c r="D453" i="2"/>
  <c r="E442" i="2"/>
  <c r="E441" i="2"/>
  <c r="E440" i="2"/>
  <c r="E439" i="2"/>
  <c r="D439" i="2"/>
  <c r="E438" i="2"/>
  <c r="E437" i="2"/>
  <c r="D437" i="2"/>
  <c r="E436" i="2"/>
  <c r="E435" i="2"/>
  <c r="D435" i="2"/>
  <c r="D445" i="2" s="1"/>
  <c r="D446" i="2" s="1"/>
  <c r="D450" i="2" s="1"/>
  <c r="E434" i="2"/>
  <c r="E445" i="2" s="1"/>
  <c r="E433" i="2"/>
  <c r="D433" i="2"/>
  <c r="E431" i="2"/>
  <c r="D431" i="2"/>
  <c r="F413" i="2"/>
  <c r="C413" i="2"/>
  <c r="D399" i="2"/>
  <c r="E398" i="2"/>
  <c r="D398" i="2"/>
  <c r="E396" i="2"/>
  <c r="D396" i="2"/>
  <c r="E390" i="2"/>
  <c r="D390" i="2"/>
  <c r="D397" i="2" s="1"/>
  <c r="D400" i="2" s="1"/>
  <c r="D387" i="2"/>
  <c r="D15" i="2" s="1"/>
  <c r="H386" i="2"/>
  <c r="E384" i="2"/>
  <c r="D384" i="2"/>
  <c r="E379" i="2"/>
  <c r="E371" i="2"/>
  <c r="E370" i="2"/>
  <c r="E368" i="2"/>
  <c r="E365" i="2"/>
  <c r="E364" i="2"/>
  <c r="D364" i="2"/>
  <c r="E362" i="2"/>
  <c r="D362" i="2"/>
  <c r="E361" i="2"/>
  <c r="E373" i="2" s="1"/>
  <c r="E375" i="2" s="1"/>
  <c r="D361" i="2"/>
  <c r="D373" i="2" s="1"/>
  <c r="D375" i="2" s="1"/>
  <c r="D377" i="2" s="1"/>
  <c r="E358" i="2"/>
  <c r="D358" i="2"/>
  <c r="E349" i="2"/>
  <c r="F337" i="2"/>
  <c r="C337" i="2"/>
  <c r="D316" i="2"/>
  <c r="E315" i="2"/>
  <c r="D315" i="2"/>
  <c r="E314" i="2"/>
  <c r="D314" i="2"/>
  <c r="E307" i="2"/>
  <c r="E306" i="2"/>
  <c r="D306" i="2"/>
  <c r="D303" i="2"/>
  <c r="E300" i="2"/>
  <c r="E299" i="2"/>
  <c r="E313" i="2" s="1"/>
  <c r="D299" i="2"/>
  <c r="H297" i="2"/>
  <c r="H306" i="2" s="1"/>
  <c r="E295" i="2" s="1"/>
  <c r="D289" i="2"/>
  <c r="E285" i="2"/>
  <c r="E284" i="2"/>
  <c r="E283" i="2"/>
  <c r="E289" i="2" s="1"/>
  <c r="E282" i="2"/>
  <c r="E281" i="2"/>
  <c r="D281" i="2"/>
  <c r="E278" i="2"/>
  <c r="D278" i="2"/>
  <c r="D291" i="2" s="1"/>
  <c r="D293" i="2" s="1"/>
  <c r="F262" i="2"/>
  <c r="C262" i="2"/>
  <c r="H240" i="2"/>
  <c r="E231" i="2" s="1"/>
  <c r="E235" i="2"/>
  <c r="D235" i="2"/>
  <c r="D239" i="2" s="1"/>
  <c r="D242" i="2" s="1"/>
  <c r="D225" i="2"/>
  <c r="E224" i="2"/>
  <c r="E216" i="2"/>
  <c r="E215" i="2"/>
  <c r="E214" i="2"/>
  <c r="D214" i="2"/>
  <c r="E211" i="2"/>
  <c r="D211" i="2"/>
  <c r="F191" i="2"/>
  <c r="C191" i="2"/>
  <c r="D179" i="2"/>
  <c r="E178" i="2"/>
  <c r="D178" i="2"/>
  <c r="E176" i="2"/>
  <c r="D176" i="2"/>
  <c r="E171" i="2"/>
  <c r="D171" i="2"/>
  <c r="D174" i="2" s="1"/>
  <c r="D11" i="2" s="1"/>
  <c r="H170" i="2"/>
  <c r="E161" i="2" s="1"/>
  <c r="E165" i="2"/>
  <c r="E177" i="2" s="1"/>
  <c r="D165" i="2"/>
  <c r="D168" i="2" s="1"/>
  <c r="D10" i="2" s="1"/>
  <c r="E154" i="2"/>
  <c r="E145" i="2"/>
  <c r="E144" i="2"/>
  <c r="D144" i="2"/>
  <c r="E143" i="2"/>
  <c r="E142" i="2"/>
  <c r="D142" i="2"/>
  <c r="E141" i="2"/>
  <c r="E140" i="2"/>
  <c r="E155" i="2" s="1"/>
  <c r="D140" i="2"/>
  <c r="E137" i="2"/>
  <c r="D137" i="2"/>
  <c r="E123" i="2"/>
  <c r="F116" i="2"/>
  <c r="C80" i="2"/>
  <c r="G72" i="2"/>
  <c r="F65" i="2"/>
  <c r="E63" i="2"/>
  <c r="F62" i="2"/>
  <c r="E62" i="2"/>
  <c r="E61" i="2"/>
  <c r="E60" i="2"/>
  <c r="E59" i="2"/>
  <c r="E58" i="2"/>
  <c r="D57" i="2"/>
  <c r="E56" i="2"/>
  <c r="E55" i="2"/>
  <c r="E54" i="2"/>
  <c r="E53" i="2"/>
  <c r="E52" i="2"/>
  <c r="E51" i="2"/>
  <c r="G41" i="2"/>
  <c r="D19" i="2"/>
  <c r="D13" i="2"/>
  <c r="D12" i="2"/>
  <c r="G1" i="2"/>
  <c r="F513" i="2" l="1"/>
  <c r="D521" i="2"/>
  <c r="E640" i="2"/>
  <c r="D996" i="2"/>
  <c r="D999" i="2" s="1"/>
  <c r="D35" i="2"/>
  <c r="H732" i="2"/>
  <c r="D25" i="2"/>
  <c r="D918" i="2"/>
  <c r="D920" i="2" s="1"/>
  <c r="E225" i="2"/>
  <c r="E227" i="2" s="1"/>
  <c r="E229" i="2" s="1"/>
  <c r="D780" i="2"/>
  <c r="D781" i="2" s="1"/>
  <c r="D782" i="2" s="1"/>
  <c r="D805" i="2" s="1"/>
  <c r="D393" i="2"/>
  <c r="D16" i="2" s="1"/>
  <c r="F511" i="2"/>
  <c r="D797" i="2"/>
  <c r="D27" i="2" s="1"/>
  <c r="D929" i="2"/>
  <c r="D32" i="2" s="1"/>
  <c r="D845" i="2"/>
  <c r="F845" i="2" s="1"/>
  <c r="E843" i="2"/>
  <c r="E845" i="2" s="1"/>
  <c r="E849" i="2" s="1"/>
  <c r="D878" i="2"/>
  <c r="E878" i="2"/>
  <c r="D177" i="2"/>
  <c r="D180" i="2" s="1"/>
  <c r="E397" i="2"/>
  <c r="E781" i="2"/>
  <c r="E782" i="2" s="1"/>
  <c r="I781" i="2" s="1"/>
  <c r="D917" i="2"/>
  <c r="E980" i="2"/>
  <c r="E982" i="2" s="1"/>
  <c r="E986" i="2" s="1"/>
  <c r="F880" i="2"/>
  <c r="E563" i="2"/>
  <c r="F561" i="2"/>
  <c r="E291" i="2"/>
  <c r="F375" i="2"/>
  <c r="E377" i="2"/>
  <c r="E582" i="2"/>
  <c r="D693" i="2"/>
  <c r="E93" i="2" s="1"/>
  <c r="E943" i="2"/>
  <c r="E996" i="2"/>
  <c r="F996" i="2" s="1"/>
  <c r="F35" i="2"/>
  <c r="D65" i="2"/>
  <c r="E57" i="2"/>
  <c r="F70" i="2"/>
  <c r="G65" i="2"/>
  <c r="G70" i="2" s="1"/>
  <c r="D310" i="2"/>
  <c r="D14" i="2" s="1"/>
  <c r="D313" i="2"/>
  <c r="D317" i="2" s="1"/>
  <c r="D320" i="2" s="1"/>
  <c r="E107" i="2"/>
  <c r="I106" i="2" s="1"/>
  <c r="D402" i="2"/>
  <c r="D477" i="2"/>
  <c r="D481" i="2" s="1"/>
  <c r="D483" i="2" s="1"/>
  <c r="D722" i="2"/>
  <c r="H721" i="2" s="1"/>
  <c r="F920" i="2"/>
  <c r="E157" i="2"/>
  <c r="E477" i="2"/>
  <c r="F781" i="2"/>
  <c r="D882" i="2"/>
  <c r="D155" i="2"/>
  <c r="D157" i="2" s="1"/>
  <c r="D159" i="2" s="1"/>
  <c r="D182" i="2" s="1"/>
  <c r="D665" i="2"/>
  <c r="D663" i="2"/>
  <c r="D227" i="2"/>
  <c r="E446" i="2"/>
  <c r="E450" i="2" s="1"/>
  <c r="D582" i="2"/>
  <c r="D584" i="2" s="1"/>
  <c r="D587" i="2" s="1"/>
  <c r="D578" i="2"/>
  <c r="D22" i="2" s="1"/>
  <c r="D947" i="2"/>
  <c r="F849" i="2" l="1"/>
  <c r="E857" i="2" s="1"/>
  <c r="E35" i="2"/>
  <c r="D849" i="2"/>
  <c r="D884" i="2" s="1"/>
  <c r="D949" i="2"/>
  <c r="F918" i="2"/>
  <c r="F982" i="2"/>
  <c r="E641" i="2"/>
  <c r="H641" i="2"/>
  <c r="F782" i="2"/>
  <c r="E793" i="2" s="1"/>
  <c r="E797" i="2" s="1"/>
  <c r="F27" i="2" s="1"/>
  <c r="E27" i="2" s="1"/>
  <c r="F640" i="2"/>
  <c r="E159" i="2"/>
  <c r="F157" i="2"/>
  <c r="F986" i="2"/>
  <c r="E999" i="2"/>
  <c r="E869" i="2"/>
  <c r="E870" i="2" s="1"/>
  <c r="F30" i="2" s="1"/>
  <c r="E30" i="2" s="1"/>
  <c r="F377" i="2"/>
  <c r="F450" i="2"/>
  <c r="E928" i="2"/>
  <c r="E940" i="2"/>
  <c r="E941" i="2" s="1"/>
  <c r="F34" i="2" s="1"/>
  <c r="E34" i="2" s="1"/>
  <c r="E934" i="2"/>
  <c r="E935" i="2" s="1"/>
  <c r="F33" i="2" s="1"/>
  <c r="E33" i="2" s="1"/>
  <c r="F563" i="2"/>
  <c r="D229" i="2"/>
  <c r="F227" i="2"/>
  <c r="E95" i="2"/>
  <c r="I94" i="2" s="1"/>
  <c r="D38" i="2"/>
  <c r="F291" i="2"/>
  <c r="E293" i="2"/>
  <c r="D695" i="2"/>
  <c r="H694" i="2" s="1"/>
  <c r="E796" i="2"/>
  <c r="D37" i="2"/>
  <c r="D39" i="2" s="1"/>
  <c r="F446" i="2"/>
  <c r="E875" i="2" l="1"/>
  <c r="E876" i="2" s="1"/>
  <c r="F31" i="2" s="1"/>
  <c r="E31" i="2" s="1"/>
  <c r="H643" i="2"/>
  <c r="F641" i="2"/>
  <c r="E790" i="2"/>
  <c r="E787" i="2"/>
  <c r="E863" i="2"/>
  <c r="E864" i="2" s="1"/>
  <c r="F29" i="2" s="1"/>
  <c r="E29" i="2" s="1"/>
  <c r="E791" i="2"/>
  <c r="F26" i="2" s="1"/>
  <c r="E26" i="2" s="1"/>
  <c r="E799" i="2"/>
  <c r="F293" i="2"/>
  <c r="E577" i="2"/>
  <c r="E571" i="2"/>
  <c r="E386" i="2"/>
  <c r="E392" i="2"/>
  <c r="E393" i="2" s="1"/>
  <c r="F16" i="2" s="1"/>
  <c r="E16" i="2" s="1"/>
  <c r="E946" i="2"/>
  <c r="E929" i="2"/>
  <c r="F32" i="2" s="1"/>
  <c r="E32" i="2" s="1"/>
  <c r="F159" i="2"/>
  <c r="D246" i="2"/>
  <c r="F229" i="2"/>
  <c r="E238" i="2" s="1"/>
  <c r="E474" i="2"/>
  <c r="E475" i="2" s="1"/>
  <c r="F20" i="2" s="1"/>
  <c r="E20" i="2" s="1"/>
  <c r="E456" i="2"/>
  <c r="E468" i="2"/>
  <c r="E469" i="2" s="1"/>
  <c r="F19" i="2" s="1"/>
  <c r="E19" i="2" s="1"/>
  <c r="E462" i="2"/>
  <c r="E463" i="2" s="1"/>
  <c r="F18" i="2" s="1"/>
  <c r="E18" i="2" s="1"/>
  <c r="E802" i="2"/>
  <c r="F802" i="2" s="1"/>
  <c r="E858" i="2"/>
  <c r="F28" i="2" s="1"/>
  <c r="E28" i="2" s="1"/>
  <c r="E881" i="2" l="1"/>
  <c r="E680" i="2"/>
  <c r="E651" i="2"/>
  <c r="E655" i="2" s="1"/>
  <c r="E715" i="2"/>
  <c r="E657" i="2"/>
  <c r="E711" i="2"/>
  <c r="E688" i="2"/>
  <c r="E703" i="2"/>
  <c r="H719" i="2" s="1"/>
  <c r="E654" i="2"/>
  <c r="F654" i="2" s="1"/>
  <c r="E648" i="2"/>
  <c r="F648" i="2" s="1"/>
  <c r="E730" i="2"/>
  <c r="H730" i="2" s="1"/>
  <c r="E719" i="2"/>
  <c r="E699" i="2"/>
  <c r="E645" i="2"/>
  <c r="E692" i="2"/>
  <c r="I659" i="2" s="1"/>
  <c r="E726" i="2"/>
  <c r="E707" i="2"/>
  <c r="E684" i="2"/>
  <c r="E660" i="2"/>
  <c r="F660" i="2" s="1"/>
  <c r="F881" i="2"/>
  <c r="E882" i="2"/>
  <c r="E457" i="2"/>
  <c r="F17" i="2" s="1"/>
  <c r="E17" i="2" s="1"/>
  <c r="E480" i="2"/>
  <c r="F946" i="2"/>
  <c r="E947" i="2"/>
  <c r="E399" i="2"/>
  <c r="E387" i="2"/>
  <c r="F15" i="2" s="1"/>
  <c r="E15" i="2" s="1"/>
  <c r="E309" i="2"/>
  <c r="E302" i="2"/>
  <c r="F24" i="2"/>
  <c r="E24" i="2" s="1"/>
  <c r="E239" i="2"/>
  <c r="F238" i="2"/>
  <c r="E167" i="2"/>
  <c r="E173" i="2"/>
  <c r="E174" i="2" s="1"/>
  <c r="F11" i="2" s="1"/>
  <c r="E11" i="2" s="1"/>
  <c r="F571" i="2"/>
  <c r="E583" i="2"/>
  <c r="E572" i="2"/>
  <c r="F21" i="2" s="1"/>
  <c r="E21" i="2" s="1"/>
  <c r="I798" i="2"/>
  <c r="E803" i="2"/>
  <c r="I797" i="2"/>
  <c r="E578" i="2"/>
  <c r="F22" i="2" s="1"/>
  <c r="E22" i="2" s="1"/>
  <c r="F577" i="2"/>
  <c r="H715" i="2" l="1"/>
  <c r="E704" i="2"/>
  <c r="E661" i="2"/>
  <c r="E720" i="2"/>
  <c r="F105" i="2" s="1"/>
  <c r="H726" i="2"/>
  <c r="E732" i="2"/>
  <c r="E685" i="2"/>
  <c r="H688" i="2"/>
  <c r="E693" i="2"/>
  <c r="F93" i="2" s="1"/>
  <c r="E649" i="2"/>
  <c r="I656" i="2"/>
  <c r="I657" i="2"/>
  <c r="H692" i="2"/>
  <c r="I658" i="2"/>
  <c r="E712" i="2"/>
  <c r="F103" i="2" s="1"/>
  <c r="F803" i="2"/>
  <c r="E805" i="2"/>
  <c r="F805" i="2" s="1"/>
  <c r="E242" i="2"/>
  <c r="F12" i="2"/>
  <c r="E12" i="2" s="1"/>
  <c r="E303" i="2"/>
  <c r="F13" i="2" s="1"/>
  <c r="E13" i="2" s="1"/>
  <c r="F302" i="2"/>
  <c r="E316" i="2"/>
  <c r="F947" i="2"/>
  <c r="E949" i="2"/>
  <c r="F949" i="2" s="1"/>
  <c r="F480" i="2"/>
  <c r="E481" i="2"/>
  <c r="F309" i="2"/>
  <c r="E310" i="2"/>
  <c r="F14" i="2" s="1"/>
  <c r="E14" i="2" s="1"/>
  <c r="E179" i="2"/>
  <c r="E168" i="2"/>
  <c r="F10" i="2" s="1"/>
  <c r="F882" i="2"/>
  <c r="E884" i="2"/>
  <c r="F884" i="2" s="1"/>
  <c r="F583" i="2"/>
  <c r="E584" i="2"/>
  <c r="F399" i="2"/>
  <c r="E400" i="2"/>
  <c r="E695" i="2" l="1"/>
  <c r="F91" i="2"/>
  <c r="F95" i="2" s="1"/>
  <c r="E663" i="2"/>
  <c r="F23" i="2"/>
  <c r="E23" i="2" s="1"/>
  <c r="H695" i="2"/>
  <c r="E722" i="2"/>
  <c r="H722" i="2" s="1"/>
  <c r="F101" i="2"/>
  <c r="F107" i="2" s="1"/>
  <c r="I107" i="2" s="1"/>
  <c r="F25" i="2"/>
  <c r="E25" i="2" s="1"/>
  <c r="H733" i="2"/>
  <c r="F38" i="2"/>
  <c r="F400" i="2"/>
  <c r="E402" i="2"/>
  <c r="F402" i="2" s="1"/>
  <c r="E10" i="2"/>
  <c r="F481" i="2"/>
  <c r="E483" i="2"/>
  <c r="F483" i="2" s="1"/>
  <c r="F316" i="2"/>
  <c r="E317" i="2"/>
  <c r="F242" i="2"/>
  <c r="E246" i="2"/>
  <c r="F246" i="2" s="1"/>
  <c r="E180" i="2"/>
  <c r="F179" i="2"/>
  <c r="F584" i="2"/>
  <c r="E587" i="2"/>
  <c r="F587" i="2" s="1"/>
  <c r="F37" i="2" l="1"/>
  <c r="F39" i="2" s="1"/>
  <c r="F663" i="2"/>
  <c r="E665" i="2"/>
  <c r="F665" i="2" s="1"/>
  <c r="I95" i="2"/>
  <c r="F317" i="2"/>
  <c r="E320" i="2"/>
  <c r="F320" i="2" s="1"/>
  <c r="F180" i="2"/>
  <c r="E182" i="2"/>
  <c r="F182" i="2" s="1"/>
  <c r="G39" i="2"/>
  <c r="G48" i="2" s="1"/>
  <c r="G74" i="2" s="1"/>
  <c r="F48" i="2"/>
  <c r="F74" i="2" s="1"/>
  <c r="F44" i="1" l="1"/>
  <c r="B44" i="1"/>
  <c r="F41" i="1"/>
  <c r="B41" i="1"/>
  <c r="F36" i="1"/>
  <c r="B36" i="1"/>
  <c r="B28" i="1" s="1"/>
  <c r="F34" i="1"/>
  <c r="F38" i="1" s="1"/>
  <c r="B34" i="1"/>
  <c r="B38" i="1" s="1"/>
  <c r="F32" i="1"/>
  <c r="B32" i="1"/>
  <c r="B27" i="1" s="1"/>
  <c r="F28" i="1"/>
  <c r="F27" i="1"/>
  <c r="F22" i="1"/>
  <c r="B22" i="1"/>
  <c r="F21" i="1"/>
  <c r="B21" i="1"/>
  <c r="F20" i="1"/>
  <c r="B20" i="1"/>
  <c r="F18" i="1"/>
  <c r="B18" i="1"/>
  <c r="F29" i="1" l="1"/>
  <c r="F23" i="1"/>
  <c r="B23" i="1"/>
  <c r="B29" i="1"/>
  <c r="H29" i="1"/>
  <c r="J29" i="1" s="1"/>
</calcChain>
</file>

<file path=xl/sharedStrings.xml><?xml version="1.0" encoding="utf-8"?>
<sst xmlns="http://schemas.openxmlformats.org/spreadsheetml/2006/main" count="1099" uniqueCount="430">
  <si>
    <t>UTAH EBA 14-035-31</t>
  </si>
  <si>
    <t>Data Request DPU 26.1 (b)</t>
  </si>
  <si>
    <t>August 2013 Royalties - Federal $3,113,379</t>
  </si>
  <si>
    <t>DPU Calculation</t>
  </si>
  <si>
    <t>Difference</t>
  </si>
  <si>
    <t>Coal Delivered</t>
  </si>
  <si>
    <t>BLM Tons -- Surface</t>
  </si>
  <si>
    <t>BLM Tons -- HW</t>
  </si>
  <si>
    <t>BLM Tons -- UG</t>
  </si>
  <si>
    <t>BLM Tons -- UG (Surface Lease)</t>
  </si>
  <si>
    <t>Wyo State Tons -- Surface</t>
  </si>
  <si>
    <t>Wyo State Tons -- HW</t>
  </si>
  <si>
    <t>Wyo State Tons -- UG</t>
  </si>
  <si>
    <t>ALC Tons -- Surface</t>
  </si>
  <si>
    <t>ALC Tons -- Surface Section 11 NE 1/4 Bonus</t>
  </si>
  <si>
    <t>ALC Tons -- HW</t>
  </si>
  <si>
    <t>ALC Tons -- UG</t>
  </si>
  <si>
    <t>Total</t>
  </si>
  <si>
    <t>Contract Tons -- Surface</t>
  </si>
  <si>
    <t>Contract Tons -- HW</t>
  </si>
  <si>
    <t>Contract Tons -- UG</t>
  </si>
  <si>
    <t>Accrual Amount</t>
  </si>
  <si>
    <t>BLM SURFACE</t>
  </si>
  <si>
    <t>BLM -- UG</t>
  </si>
  <si>
    <t>Total BLM</t>
  </si>
  <si>
    <t>Lease Breakdown</t>
  </si>
  <si>
    <t>BLM Base -- SURFACE</t>
  </si>
  <si>
    <t>BLM Supplemental -- SURFACE</t>
  </si>
  <si>
    <t>BLM Base -- HW</t>
  </si>
  <si>
    <t>BLM Supplemental -- HW</t>
  </si>
  <si>
    <t>BLM Base -- UG</t>
  </si>
  <si>
    <t>BLM Supplemental -- UG</t>
  </si>
  <si>
    <t>Rates</t>
  </si>
  <si>
    <t>Rate -- SURFACE</t>
  </si>
  <si>
    <t>Rate -- UG</t>
  </si>
  <si>
    <t>PC Share</t>
  </si>
  <si>
    <t>PC Adjustment</t>
  </si>
  <si>
    <t>Page 1</t>
  </si>
  <si>
    <t xml:space="preserve"> </t>
  </si>
  <si>
    <t>POWER SUPPLY - PACIFICORP - MONTHLY FUEL REPORT</t>
  </si>
  <si>
    <t xml:space="preserve">   COST OF FUEL CONSUMED</t>
  </si>
  <si>
    <t>AUGUST 2013</t>
  </si>
  <si>
    <t>PAGE 1</t>
  </si>
  <si>
    <t>FERC</t>
  </si>
  <si>
    <t>GAAP</t>
  </si>
  <si>
    <t>COAL - TONS</t>
  </si>
  <si>
    <t>QUANTITY</t>
  </si>
  <si>
    <t xml:space="preserve"> UNIT COST</t>
  </si>
  <si>
    <t>DOLLARS</t>
  </si>
  <si>
    <t xml:space="preserve">          CARBON #1</t>
  </si>
  <si>
    <t xml:space="preserve">          CARBON #2</t>
  </si>
  <si>
    <t xml:space="preserve">          CHOLLA #4</t>
  </si>
  <si>
    <t xml:space="preserve">          COLSTRIP #3</t>
  </si>
  <si>
    <t xml:space="preserve">          COLSTRIP #4</t>
  </si>
  <si>
    <t xml:space="preserve">          CRAIG #1</t>
  </si>
  <si>
    <t xml:space="preserve">          CRAIG #2</t>
  </si>
  <si>
    <t xml:space="preserve">          DAVE JOHNSTON #1</t>
  </si>
  <si>
    <t xml:space="preserve">          DAVE JOHNSTON #2</t>
  </si>
  <si>
    <t xml:space="preserve">          DAVE JOHNSTON #3</t>
  </si>
  <si>
    <t xml:space="preserve">          DAVE JOHNSTON #4</t>
  </si>
  <si>
    <t xml:space="preserve">          HAYDEN #1</t>
  </si>
  <si>
    <t xml:space="preserve">          HAYDEN #2</t>
  </si>
  <si>
    <t xml:space="preserve">          HUNTER #1 </t>
  </si>
  <si>
    <t xml:space="preserve">          HUNTER #2 </t>
  </si>
  <si>
    <t xml:space="preserve">          HUNTER #3 </t>
  </si>
  <si>
    <t xml:space="preserve">          HUNTINGTON #1</t>
  </si>
  <si>
    <t xml:space="preserve">          HUNTINGTON #2</t>
  </si>
  <si>
    <t xml:space="preserve">          JIM BRIDGER #1</t>
  </si>
  <si>
    <t xml:space="preserve">          JIM BRIDGER #2</t>
  </si>
  <si>
    <t xml:space="preserve">          JIM BRIDGER #3</t>
  </si>
  <si>
    <t xml:space="preserve">          JIM BRIDGER #4</t>
  </si>
  <si>
    <t xml:space="preserve">          NAUGHTON #1</t>
  </si>
  <si>
    <t xml:space="preserve">          NAUGHTON #2</t>
  </si>
  <si>
    <t xml:space="preserve">          NAUGHTON #3</t>
  </si>
  <si>
    <t xml:space="preserve">          WYODAK #1</t>
  </si>
  <si>
    <t>TOTAL COAL</t>
  </si>
  <si>
    <t>Hunter Joint Owner Cutback</t>
  </si>
  <si>
    <t>Acct 515100</t>
  </si>
  <si>
    <t>Coal Consumed for Generation</t>
  </si>
  <si>
    <t>Acct 515102</t>
  </si>
  <si>
    <t>Add: Amort of Deferred Overburden</t>
  </si>
  <si>
    <t>Acct 515110</t>
  </si>
  <si>
    <t>Add: Coal Billing Price Adj - Hunter</t>
  </si>
  <si>
    <t>Acct 515115</t>
  </si>
  <si>
    <t>Add: MSHA Penalties &amp; Fines - EWMC</t>
  </si>
  <si>
    <t>Add: MSHA Penalties &amp; Fines - PMI/BCC</t>
  </si>
  <si>
    <t>Acct 515180</t>
  </si>
  <si>
    <t>Less: Bridger Coal Profit</t>
  </si>
  <si>
    <t>Acct 515182</t>
  </si>
  <si>
    <t>Less: Trapper Mining Profit</t>
  </si>
  <si>
    <t>TOTAL FUEL EXPENSE - COAL</t>
  </si>
  <si>
    <t>NATURAL GAS - Dth</t>
  </si>
  <si>
    <t xml:space="preserve">          GADSBY #1</t>
  </si>
  <si>
    <t xml:space="preserve">          GADSBY #2</t>
  </si>
  <si>
    <t xml:space="preserve">          GADSBY #3</t>
  </si>
  <si>
    <t xml:space="preserve">          GADSBY #4</t>
  </si>
  <si>
    <t xml:space="preserve">          GADSBY #5</t>
  </si>
  <si>
    <t xml:space="preserve">          GADSBY #6</t>
  </si>
  <si>
    <t xml:space="preserve">          HERMISTON</t>
  </si>
  <si>
    <t>Acct's:</t>
  </si>
  <si>
    <t xml:space="preserve">          CURRENT CREEK</t>
  </si>
  <si>
    <t>515200,</t>
  </si>
  <si>
    <t xml:space="preserve">          LAKE SIDE</t>
  </si>
  <si>
    <t>515201,</t>
  </si>
  <si>
    <t xml:space="preserve">          CHEHALIS</t>
  </si>
  <si>
    <t>515220,</t>
  </si>
  <si>
    <t>&amp; 505917</t>
  </si>
  <si>
    <t>TOTAL NATURAL GAS</t>
  </si>
  <si>
    <t>Acct 515202</t>
  </si>
  <si>
    <t>Less: Capital Lease Depreciation</t>
  </si>
  <si>
    <t>Acct 515203</t>
  </si>
  <si>
    <t>Less: Capital Lease Interest</t>
  </si>
  <si>
    <t>TOTAL FUEL EXPENSE - NATURAL GAS</t>
  </si>
  <si>
    <t>Acct 515900</t>
  </si>
  <si>
    <t xml:space="preserve">          BLUNDELL GEOTHERMAL</t>
  </si>
  <si>
    <t>TOTAL FUEL EXPENSE</t>
  </si>
  <si>
    <t>Page 2</t>
  </si>
  <si>
    <t>page break</t>
  </si>
  <si>
    <t>PAGE 2</t>
  </si>
  <si>
    <t>THESE AMOUNTS ARE INCLUDED IN THE TOTALS ON PAGE 1</t>
  </si>
  <si>
    <t>COAL</t>
  </si>
  <si>
    <t>TONS</t>
  </si>
  <si>
    <t xml:space="preserve">          HUNTER #1</t>
  </si>
  <si>
    <t>PACIFICORP</t>
  </si>
  <si>
    <t>Unit #1 Check total</t>
  </si>
  <si>
    <t>UMPA</t>
  </si>
  <si>
    <t>s/b zero</t>
  </si>
  <si>
    <t>Tons</t>
  </si>
  <si>
    <t>TOTAL UNIT #1</t>
  </si>
  <si>
    <t>$</t>
  </si>
  <si>
    <t xml:space="preserve">          HUNTER #2</t>
  </si>
  <si>
    <t>DPEC</t>
  </si>
  <si>
    <t>Unit #2 Check total</t>
  </si>
  <si>
    <t>UAMPS</t>
  </si>
  <si>
    <t>TOTAL UNIT #2</t>
  </si>
  <si>
    <t>Page 3</t>
  </si>
  <si>
    <t>CARBON COAL - READY PILE</t>
  </si>
  <si>
    <t>PRELIMINARY</t>
  </si>
  <si>
    <t xml:space="preserve">MONTH OF </t>
  </si>
  <si>
    <t>Account 120150</t>
  </si>
  <si>
    <t xml:space="preserve">    TONS</t>
  </si>
  <si>
    <t xml:space="preserve">    DOLLARS</t>
  </si>
  <si>
    <t xml:space="preserve">    UNIT COST</t>
  </si>
  <si>
    <t>BEGINNING BALANCE</t>
  </si>
  <si>
    <t>RECEIVED :</t>
  </si>
  <si>
    <t xml:space="preserve">     DC / HTG</t>
  </si>
  <si>
    <t>(1)</t>
  </si>
  <si>
    <t>(2)</t>
  </si>
  <si>
    <t xml:space="preserve">     WEST RIDGE</t>
  </si>
  <si>
    <t xml:space="preserve">     CASTLE VALLEY</t>
  </si>
  <si>
    <t xml:space="preserve">     ROCK GARDEN</t>
  </si>
  <si>
    <t xml:space="preserve">     ROCK GARDEN - Loading</t>
  </si>
  <si>
    <t xml:space="preserve">     Trucking - Diesel Fuel Hedge</t>
  </si>
  <si>
    <t>Subtotal</t>
  </si>
  <si>
    <t>PRIOR MONTH ADJUSTMENT</t>
  </si>
  <si>
    <t xml:space="preserve"> (1)</t>
  </si>
  <si>
    <t xml:space="preserve"> (2)</t>
  </si>
  <si>
    <t>TOTAL RECEIVED</t>
  </si>
  <si>
    <t>SUBTOTAL</t>
  </si>
  <si>
    <t>REC'D ADJ - Deer Creek 2012 Royalty Valuation Adj.</t>
  </si>
  <si>
    <t>Carbon</t>
  </si>
  <si>
    <t>Below the Line Rec'd Adjustments:</t>
  </si>
  <si>
    <t>CONSUMED :</t>
  </si>
  <si>
    <t>Deer Creek 2012 Royalty Valuation Adj.</t>
  </si>
  <si>
    <t>Carbon 1_ADJ</t>
  </si>
  <si>
    <t>Deer Creek 2012 Royalty Valuation ADJ</t>
  </si>
  <si>
    <t>Carbon 1_PMA</t>
  </si>
  <si>
    <t>PRIOR MONTH ADJ</t>
  </si>
  <si>
    <t>Carbon 1_ASA</t>
  </si>
  <si>
    <t>AERIAL SURVEY ADJ</t>
  </si>
  <si>
    <t>CURRENT MONTH</t>
  </si>
  <si>
    <t>UNIT #1</t>
  </si>
  <si>
    <t>Carbon 2_ADJ</t>
  </si>
  <si>
    <t>Carbon 2_PMA</t>
  </si>
  <si>
    <t>Carbon 2_ASA</t>
  </si>
  <si>
    <t>UNIT #2</t>
  </si>
  <si>
    <t>TOTAL CURRENT MONTH</t>
  </si>
  <si>
    <t xml:space="preserve">      TOTAL CONSUMED</t>
  </si>
  <si>
    <t>ENDING BALANCE</t>
  </si>
  <si>
    <t xml:space="preserve"> (1) COAL   (2) FREIGHT</t>
  </si>
  <si>
    <t>Page 4</t>
  </si>
  <si>
    <t xml:space="preserve">    CHOLLA #4 - READY PILE</t>
  </si>
  <si>
    <t xml:space="preserve">      MONTH OF</t>
  </si>
  <si>
    <t>Account 120161</t>
  </si>
  <si>
    <t xml:space="preserve">     EL SEGUNDO</t>
  </si>
  <si>
    <t xml:space="preserve">     EL SEGUNDO - Price Reopener Accrual</t>
  </si>
  <si>
    <t xml:space="preserve">     EL SEGUNDO - Price Reopener Accrual Jul 2013 Adj.</t>
  </si>
  <si>
    <t xml:space="preserve">     Coal - Diesel Fuel Hedge</t>
  </si>
  <si>
    <t xml:space="preserve">     BNSF Rail - Diesel Fuel Hedge</t>
  </si>
  <si>
    <t xml:space="preserve">REC'D ADJ - </t>
  </si>
  <si>
    <t>Cholla</t>
  </si>
  <si>
    <t>Cholla 4_PMA</t>
  </si>
  <si>
    <t>Cholla 4_BLA</t>
  </si>
  <si>
    <t>ADJ</t>
  </si>
  <si>
    <t>Cholla 4_ASA</t>
  </si>
  <si>
    <t>UNIT #4 TOTAL</t>
  </si>
  <si>
    <t xml:space="preserve"> (1) COAL  (2) FREIGHT</t>
  </si>
  <si>
    <t>Page 5</t>
  </si>
  <si>
    <t xml:space="preserve">    COLSTRIP</t>
  </si>
  <si>
    <t>Account 120162</t>
  </si>
  <si>
    <t xml:space="preserve">     WECO</t>
  </si>
  <si>
    <t xml:space="preserve">     Royalty Estimate</t>
  </si>
  <si>
    <t xml:space="preserve">     MMS Conveyor Royalty</t>
  </si>
  <si>
    <t xml:space="preserve">     MDOR Conveyor Tax</t>
  </si>
  <si>
    <t>REC'D ADJ.- WECO Apr-Jun 2013 Variable Cost, Tax &amp; Transp. Adj.</t>
  </si>
  <si>
    <t>Colstrip</t>
  </si>
  <si>
    <t>WECO Apr-Jun 2013 Variable Cost True-up</t>
  </si>
  <si>
    <t>WECO Apr-Jun 2013 Reclamation Fee, Black Lung Tax &amp; Severance Tax Adj.</t>
  </si>
  <si>
    <t>Colstrip 3_PMA</t>
  </si>
  <si>
    <t>WECO Apr-Jun 2013 Transportation Adj.</t>
  </si>
  <si>
    <t>Colstrip 3_ADJ</t>
  </si>
  <si>
    <t>WECO Apr-Jun '13 Variable, Tax &amp; Transp. ADJ</t>
  </si>
  <si>
    <t>Colstrip 3_ASA</t>
  </si>
  <si>
    <t xml:space="preserve"> UNIT #3 TOTAL</t>
  </si>
  <si>
    <t>Colstrip 4_PMA</t>
  </si>
  <si>
    <t>Colstrip 4_ADJ</t>
  </si>
  <si>
    <t>Colstrip 4_ASA</t>
  </si>
  <si>
    <t xml:space="preserve"> UNIT #4 TOTAL</t>
  </si>
  <si>
    <t xml:space="preserve">     TOTAL CONSUMED</t>
  </si>
  <si>
    <t>Page 6</t>
  </si>
  <si>
    <t xml:space="preserve">CRAIG COAL </t>
  </si>
  <si>
    <t>Account 120163</t>
  </si>
  <si>
    <t xml:space="preserve">     TRISTATE / TRAPPER MINE - Base</t>
  </si>
  <si>
    <t xml:space="preserve">     TRISTATE / TRAPPER MINE - 2010 Contract</t>
  </si>
  <si>
    <t xml:space="preserve">     COLOWYO BASE</t>
  </si>
  <si>
    <t xml:space="preserve">     DENVER RIO GRANDE TRANSP</t>
  </si>
  <si>
    <t xml:space="preserve">     TRAPPER MINE - Diesel Fuel Hedge</t>
  </si>
  <si>
    <t xml:space="preserve">     COLOWYO - Diesel Fuel Hedge</t>
  </si>
  <si>
    <t xml:space="preserve">     TRAPPER MINE RECLAMATION </t>
  </si>
  <si>
    <t xml:space="preserve">     TRAPPER EQUITY EARNINGS</t>
  </si>
  <si>
    <t xml:space="preserve">     DENVER RIO GRANDE TRANSP - Jun 2013 Adj.</t>
  </si>
  <si>
    <t xml:space="preserve">     COLOWYO BASE - Diesel Fuel Hedge</t>
  </si>
  <si>
    <t xml:space="preserve">     TRAPPER MINE RECLAMATION</t>
  </si>
  <si>
    <t xml:space="preserve">REC'D ADJ.- </t>
  </si>
  <si>
    <t>Craig</t>
  </si>
  <si>
    <t>Craig 1_ADJ</t>
  </si>
  <si>
    <t>Craig 1_PMA</t>
  </si>
  <si>
    <t>Craig 1_ASA</t>
  </si>
  <si>
    <t>Craig 2_ADJ</t>
  </si>
  <si>
    <t>Craig 2_PMA</t>
  </si>
  <si>
    <t>Craig 2_ASA</t>
  </si>
  <si>
    <t>Page 7</t>
  </si>
  <si>
    <t>DAVE JOHNSTON - READY PILE</t>
  </si>
  <si>
    <t>Account 120155</t>
  </si>
  <si>
    <t xml:space="preserve">     WESTERN FUELS (Dry Fork)</t>
  </si>
  <si>
    <t xml:space="preserve">     PEABODY (Rawhide)</t>
  </si>
  <si>
    <t xml:space="preserve">     ARCH (Coal Creek)</t>
  </si>
  <si>
    <t xml:space="preserve">     CLOUD PEAK (Cordero)</t>
  </si>
  <si>
    <t xml:space="preserve">     BNSF Rail - Freight Demurrage</t>
  </si>
  <si>
    <t xml:space="preserve">     BNSF Rail - Freight Demurrage - Jun 2013 T/U</t>
  </si>
  <si>
    <t xml:space="preserve">     PEABODY (Rawhide) - Apr-Jun 2013 Sales Tax Adj.</t>
  </si>
  <si>
    <t xml:space="preserve">     PEABODY (Rawhide) - May 2013 Transp. T/U</t>
  </si>
  <si>
    <t xml:space="preserve">     TRANSFER (TO)/FROM LONG TERM PILE</t>
  </si>
  <si>
    <t>Dave Johnston</t>
  </si>
  <si>
    <t>Dave Johnston 1_PMA</t>
  </si>
  <si>
    <t>Dave Johnston 1_ASA</t>
  </si>
  <si>
    <t>Dave Johnston 1_ADJ</t>
  </si>
  <si>
    <t>Dave Johnston 2_PMA</t>
  </si>
  <si>
    <t>Dave Johnston 2_ASA</t>
  </si>
  <si>
    <t>Dave Johnston 2_ADJ</t>
  </si>
  <si>
    <t>Dave Johnston 3_PMA</t>
  </si>
  <si>
    <t>Dave Johnston 3_ASA</t>
  </si>
  <si>
    <t>Dave Johnston 3_ADJ</t>
  </si>
  <si>
    <t>UNIT #3</t>
  </si>
  <si>
    <t>Dave Johnston 4_PMA</t>
  </si>
  <si>
    <t>Dave Johnston 4_ASA</t>
  </si>
  <si>
    <t>Dave Johnston 4_ADJ</t>
  </si>
  <si>
    <t>UNIT #4</t>
  </si>
  <si>
    <t xml:space="preserve"> (1) COAL  (2) TRANSPORTATION</t>
  </si>
  <si>
    <t>Page 8</t>
  </si>
  <si>
    <t>DAVE JOHNSTON - LONG TERM PILE</t>
  </si>
  <si>
    <t>Account 120154</t>
  </si>
  <si>
    <t xml:space="preserve">     TRANSFER FROM READY PILE</t>
  </si>
  <si>
    <t xml:space="preserve">     TRANSFER TO READY PILE</t>
  </si>
  <si>
    <t>Page 9</t>
  </si>
  <si>
    <t>HAYDEN</t>
  </si>
  <si>
    <t>Account 120164</t>
  </si>
  <si>
    <t xml:space="preserve">     TWENTY MILE</t>
  </si>
  <si>
    <t xml:space="preserve">     Rail Car Lease</t>
  </si>
  <si>
    <t xml:space="preserve">     WEST ELK</t>
  </si>
  <si>
    <t xml:space="preserve">     TWENTY MILE - Diesel Fuel Hedge</t>
  </si>
  <si>
    <t>Hayden</t>
  </si>
  <si>
    <t>Hayden 1_ADJ</t>
  </si>
  <si>
    <t>Hayden 1_PMA</t>
  </si>
  <si>
    <t>Hayden 1_ASA</t>
  </si>
  <si>
    <t xml:space="preserve"> UNIT #1 TOTAL</t>
  </si>
  <si>
    <t>Hayden 2_ADJ</t>
  </si>
  <si>
    <t>Hayden 2_PMA</t>
  </si>
  <si>
    <t>Hayden 2_ASA</t>
  </si>
  <si>
    <t xml:space="preserve"> UNIT #2 TOTAL</t>
  </si>
  <si>
    <t>Page 10</t>
  </si>
  <si>
    <t xml:space="preserve">     HUNTER COAL</t>
  </si>
  <si>
    <t>Account 120153</t>
  </si>
  <si>
    <t xml:space="preserve">   DOLLARS</t>
  </si>
  <si>
    <t xml:space="preserve">     PREP PLANT</t>
  </si>
  <si>
    <t>Prep Plant:</t>
  </si>
  <si>
    <t>Coal</t>
  </si>
  <si>
    <t xml:space="preserve">     PREP PLANT Pile 4 Transp.</t>
  </si>
  <si>
    <t>Transp</t>
  </si>
  <si>
    <t xml:space="preserve">     TRAIL MTN</t>
  </si>
  <si>
    <t xml:space="preserve">     DUGOUT</t>
  </si>
  <si>
    <t xml:space="preserve">     DUGOUT - Miner Act Accrual</t>
  </si>
  <si>
    <t xml:space="preserve">     SUFCO - 2012 Carryover</t>
  </si>
  <si>
    <t xml:space="preserve">     SUFCO - 2013</t>
  </si>
  <si>
    <t xml:space="preserve">     SUFCO - Freight</t>
  </si>
  <si>
    <t xml:space="preserve">     SUFCO - Miner Act Accrual</t>
  </si>
  <si>
    <t xml:space="preserve">     Truck Tracking Costs</t>
  </si>
  <si>
    <t xml:space="preserve">     SUFCO - May 2013 True-up</t>
  </si>
  <si>
    <t>Total Rec'd</t>
  </si>
  <si>
    <r>
      <t xml:space="preserve">CONSUMED :          </t>
    </r>
    <r>
      <rPr>
        <sz val="12"/>
        <color indexed="8"/>
        <rFont val="Arial"/>
        <family val="2"/>
      </rPr>
      <t>PRIOR MONTH TRUE-UP</t>
    </r>
  </si>
  <si>
    <t>Check below the line adj.</t>
  </si>
  <si>
    <t>Hunter</t>
  </si>
  <si>
    <t>PRIOR MONTH TRUE-UP</t>
  </si>
  <si>
    <t>Total Prior Month Inventory True-up</t>
  </si>
  <si>
    <t>Hunter 3_PMA</t>
  </si>
  <si>
    <t>Total Prior Month Consumed True-up</t>
  </si>
  <si>
    <t>Hunter 3_ADJ</t>
  </si>
  <si>
    <t>Prior Month PacifiCorp Consumed True-up</t>
  </si>
  <si>
    <t>Hunter 3_ASA</t>
  </si>
  <si>
    <t>Prior Month Oth Owners Consumed True-up</t>
  </si>
  <si>
    <t>TOTAL CONSUMED</t>
  </si>
  <si>
    <t>(Balance per FMS off by 221.145 tons due to FMS inventory report ending balance problem in June 2009 &amp; Apr 2013)</t>
  </si>
  <si>
    <t xml:space="preserve"> (1) COAL     (2) FREIGHT</t>
  </si>
  <si>
    <t>Page 11</t>
  </si>
  <si>
    <t>HUNTER COAL</t>
  </si>
  <si>
    <t>CONSUMED</t>
  </si>
  <si>
    <t xml:space="preserve">TONS      </t>
  </si>
  <si>
    <t xml:space="preserve">DOLLARS   </t>
  </si>
  <si>
    <t xml:space="preserve">     PACIFICORP</t>
  </si>
  <si>
    <t xml:space="preserve">          Current Month</t>
  </si>
  <si>
    <t>Hunter 1_ASA</t>
  </si>
  <si>
    <t xml:space="preserve">          Aerial Survey Adj.</t>
  </si>
  <si>
    <t>Hunter 1_ADJ</t>
  </si>
  <si>
    <t xml:space="preserve">          DC 2012 Royalty Valuation Adj.</t>
  </si>
  <si>
    <t xml:space="preserve">          Prior Period Adj.</t>
  </si>
  <si>
    <t>Hunter 1_PMA</t>
  </si>
  <si>
    <t xml:space="preserve">          Prior Month True-up</t>
  </si>
  <si>
    <t xml:space="preserve">     TOTAL PACIFICORP UNIT #1</t>
  </si>
  <si>
    <t>Check totals Unit #1</t>
  </si>
  <si>
    <t xml:space="preserve">     UMPA</t>
  </si>
  <si>
    <t>Current Month</t>
  </si>
  <si>
    <t>Aerial Survey Adj.</t>
  </si>
  <si>
    <t>Prior Period Adj.</t>
  </si>
  <si>
    <t>Prior Month True-up</t>
  </si>
  <si>
    <t xml:space="preserve">     TOTAL UMPA UNIT #1</t>
  </si>
  <si>
    <t>Check tons</t>
  </si>
  <si>
    <t xml:space="preserve">     TOTAL UNIT #1</t>
  </si>
  <si>
    <t>Check $</t>
  </si>
  <si>
    <t>Hunter 2_ASA</t>
  </si>
  <si>
    <t>Hunter 2_ADJ</t>
  </si>
  <si>
    <t>Hunter 2_PMA</t>
  </si>
  <si>
    <t xml:space="preserve">     TOTAL PACIFICORP UNIT #2</t>
  </si>
  <si>
    <t xml:space="preserve">     DPEC</t>
  </si>
  <si>
    <t xml:space="preserve">     TOTAL DPEC UNIT #2</t>
  </si>
  <si>
    <t>Check totals Unit #2</t>
  </si>
  <si>
    <t xml:space="preserve">     UAMPS</t>
  </si>
  <si>
    <t xml:space="preserve">     TOTAL UAMPS UNIT #2</t>
  </si>
  <si>
    <t xml:space="preserve">     TOTAL UNIT #2</t>
  </si>
  <si>
    <t>Check totals Unit #3</t>
  </si>
  <si>
    <t xml:space="preserve">     TOTAL UNIT #3</t>
  </si>
  <si>
    <t>Page 12</t>
  </si>
  <si>
    <t xml:space="preserve">  HUNTINGTON COAL</t>
  </si>
  <si>
    <t>Account 120152</t>
  </si>
  <si>
    <t xml:space="preserve">     DEER CREEK</t>
  </si>
  <si>
    <t xml:space="preserve">          TRANSFER TO CARBON</t>
  </si>
  <si>
    <t xml:space="preserve">          TRANSFER TO HUNTER</t>
  </si>
  <si>
    <t xml:space="preserve">          TRANSFER TO PREP PLANT</t>
  </si>
  <si>
    <t>Huntington</t>
  </si>
  <si>
    <t>Huntington 1_PMA</t>
  </si>
  <si>
    <t>Huntington 1_ADJ</t>
  </si>
  <si>
    <t>Huntington 1_ASA</t>
  </si>
  <si>
    <t>Huntington 2_PMA</t>
  </si>
  <si>
    <t>Huntington 2_ADJ</t>
  </si>
  <si>
    <t>Huntington 2_ASA</t>
  </si>
  <si>
    <t>(Balance per FMS inventory report is off due to ending balance problems in various months)</t>
  </si>
  <si>
    <t>(Balance ties to the Total Storage per the FMS Fuel Summary Inquiry (FMCE) Screen)</t>
  </si>
  <si>
    <t>Page 13</t>
  </si>
  <si>
    <t>JIM BRIDGER - READY PILE</t>
  </si>
  <si>
    <t>Account 120156</t>
  </si>
  <si>
    <t xml:space="preserve">     BRIDGER-BASE </t>
  </si>
  <si>
    <t xml:space="preserve">     BL BUTTE-Pit 11/14</t>
  </si>
  <si>
    <t xml:space="preserve">     BL BUTTE - Diesel Fuel Hedge</t>
  </si>
  <si>
    <t xml:space="preserve">            Union Pacific - Diesel Fuel Hedge</t>
  </si>
  <si>
    <t xml:space="preserve">     BRIDGER-Fuels Credit</t>
  </si>
  <si>
    <t xml:space="preserve">     TRF (TO)/FROM Idaho Power - BTU adj</t>
  </si>
  <si>
    <t>Jim Bridger</t>
  </si>
  <si>
    <t>Jim Bridger 1_PMA</t>
  </si>
  <si>
    <t>Jim Bridger 1_ADJ</t>
  </si>
  <si>
    <t>Jim Bridger 1_ASA</t>
  </si>
  <si>
    <t>Jim Bridger 2_PMA</t>
  </si>
  <si>
    <t>Jim Bridger 2_ADJ</t>
  </si>
  <si>
    <t>Jim Bridger 2_ASA</t>
  </si>
  <si>
    <t>Jim Bridger 3_PMA</t>
  </si>
  <si>
    <t>Jim Bridger 3_ADJ</t>
  </si>
  <si>
    <t>Jim Bridger 3_ASA</t>
  </si>
  <si>
    <t>Jim Bridger 4_PMA</t>
  </si>
  <si>
    <t>Jim Bridger 4_ADJ</t>
  </si>
  <si>
    <t>Jim Bridger 4_ASA</t>
  </si>
  <si>
    <t xml:space="preserve"> (1) COAL   (2) TRANSPORTATION</t>
  </si>
  <si>
    <t>Page 14</t>
  </si>
  <si>
    <t xml:space="preserve">    NAUGHTON COAL</t>
  </si>
  <si>
    <t>Account 120151</t>
  </si>
  <si>
    <t xml:space="preserve">     Kemmerer - Tier 1</t>
  </si>
  <si>
    <t xml:space="preserve">     Kemmerer - Tier 2</t>
  </si>
  <si>
    <t xml:space="preserve">     Kemmerer - CaO &amp; Fe2O3 Charges</t>
  </si>
  <si>
    <t xml:space="preserve">     Kemmerer - Consideration payment amortization</t>
  </si>
  <si>
    <t xml:space="preserve">     Kemmerer - Diesel Fuel Hedge</t>
  </si>
  <si>
    <t xml:space="preserve">     Kemmerer - CaO &amp; Fe2O3 Charges </t>
  </si>
  <si>
    <t>REC'D ADJ.- Kemmerer 2012 Pricing Adj.</t>
  </si>
  <si>
    <t>Naughton</t>
  </si>
  <si>
    <t>Naughton 1_PMA</t>
  </si>
  <si>
    <t>Kemmerer 2012 Pricing Adj.</t>
  </si>
  <si>
    <t>Naughton 1_ADJ</t>
  </si>
  <si>
    <t>Kemmerer 2012 Pricing ADJ</t>
  </si>
  <si>
    <t>Naughton 1_ASA</t>
  </si>
  <si>
    <t>Naughton 2_PMA</t>
  </si>
  <si>
    <t>Naughton 2_ADJ</t>
  </si>
  <si>
    <t>Naughton 2_ASA</t>
  </si>
  <si>
    <t>Naughton 3_PMA</t>
  </si>
  <si>
    <t>Naughton 3_ADJ</t>
  </si>
  <si>
    <t>Naughton 3_ASA</t>
  </si>
  <si>
    <t xml:space="preserve"> (1) COAL</t>
  </si>
  <si>
    <t>Page15</t>
  </si>
  <si>
    <t>WYODAK - READY PILE</t>
  </si>
  <si>
    <t>Account 120159</t>
  </si>
  <si>
    <t xml:space="preserve">     WYODAK</t>
  </si>
  <si>
    <t xml:space="preserve">     SETTLEMENT AMORTIZATION</t>
  </si>
  <si>
    <t xml:space="preserve">     Diesel Fuel Hedge</t>
  </si>
  <si>
    <t>Wyodak_PMA</t>
  </si>
  <si>
    <t>Wyodak_ADJ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</si>
</sst>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_);\(&quot;$&quot;#,##0.0000\)"/>
    <numFmt numFmtId="166" formatCode="&quot;$&quot;#,##0.000000"/>
    <numFmt numFmtId="167" formatCode="dd\-mmm\-yy_)"/>
    <numFmt numFmtId="168" formatCode="#,##0.000_);\(#,##0.000\)"/>
    <numFmt numFmtId="169" formatCode="#,##0.00000_);\(#,##0.00000\)"/>
    <numFmt numFmtId="170" formatCode="#,##0.000000000_);\(#,##0.000000000\)"/>
    <numFmt numFmtId="171" formatCode="_(* #,##0_);_(* \(#,##0\);_(* &quot;-&quot;??_);_(@_)"/>
    <numFmt numFmtId="172" formatCode="_(* #,##0.000_);_(* \(#,##0.000\);_(* &quot;-&quot;??_);_(@_)"/>
    <numFmt numFmtId="173" formatCode="#,##0.0_);\(#,##0.0\)"/>
    <numFmt numFmtId="174" formatCode="0.0%"/>
    <numFmt numFmtId="175" formatCode="_(* #,##0.0000_);_(* \(#,##0.0000\);_(* &quot;-&quot;??_);_(@_)"/>
    <numFmt numFmtId="176" formatCode="mmmm\-yy"/>
    <numFmt numFmtId="177" formatCode="0.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/>
      <sz val="12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u/>
      <sz val="12"/>
      <name val="Arial"/>
      <family val="2"/>
    </font>
    <font>
      <b/>
      <u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164" fontId="4" fillId="0" borderId="0"/>
    <xf numFmtId="0" fontId="8" fillId="0" borderId="0"/>
    <xf numFmtId="43" fontId="8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43">
    <xf numFmtId="0" fontId="0" fillId="0" borderId="0" xfId="0"/>
    <xf numFmtId="0" fontId="3" fillId="0" borderId="0" xfId="0" applyFont="1"/>
    <xf numFmtId="0" fontId="2" fillId="0" borderId="0" xfId="0" applyFont="1"/>
    <xf numFmtId="0" fontId="2" fillId="2" borderId="0" xfId="0" applyFont="1" applyFill="1" applyBorder="1"/>
    <xf numFmtId="17" fontId="2" fillId="2" borderId="0" xfId="0" applyNumberFormat="1" applyFont="1" applyFill="1" applyBorder="1" applyAlignment="1">
      <alignment horizontal="center"/>
    </xf>
    <xf numFmtId="164" fontId="5" fillId="0" borderId="0" xfId="2" applyFont="1" applyFill="1" applyBorder="1"/>
    <xf numFmtId="3" fontId="6" fillId="0" borderId="0" xfId="2" applyNumberFormat="1" applyFont="1" applyFill="1" applyBorder="1"/>
    <xf numFmtId="3" fontId="6" fillId="0" borderId="1" xfId="2" applyNumberFormat="1" applyFont="1" applyFill="1" applyBorder="1"/>
    <xf numFmtId="164" fontId="5" fillId="0" borderId="0" xfId="2" applyFont="1" applyFill="1" applyBorder="1" applyAlignment="1">
      <alignment horizontal="center"/>
    </xf>
    <xf numFmtId="3" fontId="5" fillId="0" borderId="0" xfId="2" applyNumberFormat="1" applyFont="1" applyFill="1" applyBorder="1"/>
    <xf numFmtId="164" fontId="6" fillId="2" borderId="0" xfId="2" applyFont="1" applyFill="1" applyBorder="1" applyAlignment="1">
      <alignment horizontal="center"/>
    </xf>
    <xf numFmtId="164" fontId="5" fillId="2" borderId="0" xfId="2" applyFont="1" applyFill="1" applyBorder="1"/>
    <xf numFmtId="39" fontId="5" fillId="0" borderId="0" xfId="2" applyNumberFormat="1" applyFont="1" applyFill="1" applyBorder="1"/>
    <xf numFmtId="164" fontId="5" fillId="0" borderId="0" xfId="2" applyFont="1" applyFill="1" applyBorder="1" applyAlignment="1">
      <alignment horizontal="left"/>
    </xf>
    <xf numFmtId="44" fontId="6" fillId="0" borderId="2" xfId="1" applyFont="1" applyFill="1" applyBorder="1"/>
    <xf numFmtId="44" fontId="0" fillId="0" borderId="2" xfId="0" applyNumberFormat="1" applyBorder="1"/>
    <xf numFmtId="3" fontId="5" fillId="0" borderId="1" xfId="2" applyNumberFormat="1" applyFont="1" applyFill="1" applyBorder="1"/>
    <xf numFmtId="165" fontId="7" fillId="0" borderId="0" xfId="2" applyNumberFormat="1" applyFont="1" applyFill="1" applyBorder="1"/>
    <xf numFmtId="165" fontId="5" fillId="0" borderId="0" xfId="2" applyNumberFormat="1" applyFont="1" applyFill="1" applyBorder="1"/>
    <xf numFmtId="10" fontId="5" fillId="0" borderId="0" xfId="2" applyNumberFormat="1" applyFont="1" applyFill="1" applyBorder="1"/>
    <xf numFmtId="166" fontId="5" fillId="0" borderId="0" xfId="2" applyNumberFormat="1" applyFont="1" applyFill="1" applyBorder="1"/>
    <xf numFmtId="0" fontId="0" fillId="0" borderId="0" xfId="0" applyFill="1" applyBorder="1"/>
    <xf numFmtId="44" fontId="0" fillId="0" borderId="3" xfId="0" applyNumberFormat="1" applyBorder="1"/>
    <xf numFmtId="12" fontId="0" fillId="0" borderId="2" xfId="0" applyNumberFormat="1" applyBorder="1"/>
    <xf numFmtId="0" fontId="9" fillId="0" borderId="0" xfId="3" applyFont="1"/>
    <xf numFmtId="0" fontId="9" fillId="0" borderId="0" xfId="3" applyFont="1" applyFill="1"/>
    <xf numFmtId="167" fontId="9" fillId="0" borderId="0" xfId="3" applyNumberFormat="1" applyFont="1" applyFill="1" applyProtection="1"/>
    <xf numFmtId="0" fontId="9" fillId="0" borderId="0" xfId="3" applyFont="1" applyFill="1" applyAlignment="1">
      <alignment horizontal="center"/>
    </xf>
    <xf numFmtId="0" fontId="8" fillId="0" borderId="0" xfId="3"/>
    <xf numFmtId="0" fontId="10" fillId="0" borderId="0" xfId="3" applyFont="1" applyFill="1" applyAlignment="1"/>
    <xf numFmtId="0" fontId="10" fillId="0" borderId="0" xfId="3" applyFont="1" applyFill="1" applyAlignment="1">
      <alignment horizontal="centerContinuous"/>
    </xf>
    <xf numFmtId="17" fontId="11" fillId="0" borderId="0" xfId="3" quotePrefix="1" applyNumberFormat="1" applyFont="1" applyFill="1" applyAlignment="1" applyProtection="1">
      <protection locked="0"/>
    </xf>
    <xf numFmtId="39" fontId="9" fillId="0" borderId="0" xfId="3" applyNumberFormat="1" applyFont="1" applyFill="1" applyProtection="1"/>
    <xf numFmtId="0" fontId="9" fillId="0" borderId="0" xfId="3" quotePrefix="1" applyFont="1" applyFill="1" applyAlignment="1">
      <alignment horizontal="left"/>
    </xf>
    <xf numFmtId="0" fontId="12" fillId="0" borderId="0" xfId="3" applyFont="1" applyFill="1"/>
    <xf numFmtId="0" fontId="9" fillId="0" borderId="4" xfId="3" applyFont="1" applyFill="1" applyBorder="1" applyAlignment="1">
      <alignment horizontal="center"/>
    </xf>
    <xf numFmtId="168" fontId="9" fillId="0" borderId="0" xfId="3" applyNumberFormat="1" applyFont="1" applyFill="1" applyProtection="1"/>
    <xf numFmtId="169" fontId="9" fillId="0" borderId="0" xfId="3" applyNumberFormat="1" applyFont="1" applyFill="1" applyProtection="1"/>
    <xf numFmtId="0" fontId="9" fillId="0" borderId="0" xfId="3" applyFont="1" applyFill="1" applyAlignment="1">
      <alignment horizontal="fill"/>
    </xf>
    <xf numFmtId="168" fontId="13" fillId="0" borderId="0" xfId="3" applyNumberFormat="1" applyFont="1" applyFill="1" applyProtection="1"/>
    <xf numFmtId="39" fontId="13" fillId="0" borderId="0" xfId="3" applyNumberFormat="1" applyFont="1" applyFill="1" applyProtection="1"/>
    <xf numFmtId="168" fontId="9" fillId="0" borderId="0" xfId="3" applyNumberFormat="1" applyFont="1" applyFill="1" applyProtection="1">
      <protection locked="0"/>
    </xf>
    <xf numFmtId="39" fontId="9" fillId="0" borderId="0" xfId="3" applyNumberFormat="1" applyFont="1" applyFill="1" applyProtection="1">
      <protection locked="0"/>
    </xf>
    <xf numFmtId="43" fontId="9" fillId="0" borderId="0" xfId="4" applyFont="1" applyFill="1"/>
    <xf numFmtId="37" fontId="9" fillId="0" borderId="0" xfId="3" applyNumberFormat="1" applyFont="1" applyFill="1" applyProtection="1"/>
    <xf numFmtId="170" fontId="9" fillId="0" borderId="0" xfId="3" applyNumberFormat="1" applyFont="1" applyFill="1" applyProtection="1"/>
    <xf numFmtId="168" fontId="9" fillId="0" borderId="0" xfId="3" applyNumberFormat="1" applyFont="1" applyFill="1" applyAlignment="1" applyProtection="1">
      <alignment horizontal="center"/>
    </xf>
    <xf numFmtId="168" fontId="9" fillId="0" borderId="0" xfId="3" applyNumberFormat="1" applyFont="1" applyFill="1" applyAlignment="1" applyProtection="1">
      <alignment horizontal="fill"/>
    </xf>
    <xf numFmtId="168" fontId="9" fillId="0" borderId="0" xfId="3" applyNumberFormat="1" applyFont="1" applyFill="1" applyBorder="1" applyProtection="1"/>
    <xf numFmtId="169" fontId="9" fillId="0" borderId="0" xfId="3" applyNumberFormat="1" applyFont="1" applyFill="1" applyBorder="1" applyProtection="1"/>
    <xf numFmtId="39" fontId="9" fillId="0" borderId="0" xfId="3" applyNumberFormat="1" applyFont="1" applyFill="1" applyBorder="1" applyProtection="1"/>
    <xf numFmtId="168" fontId="9" fillId="0" borderId="1" xfId="3" applyNumberFormat="1" applyFont="1" applyFill="1" applyBorder="1" applyProtection="1"/>
    <xf numFmtId="39" fontId="9" fillId="0" borderId="1" xfId="3" applyNumberFormat="1" applyFont="1" applyFill="1" applyBorder="1" applyProtection="1"/>
    <xf numFmtId="168" fontId="9" fillId="0" borderId="1" xfId="3" applyNumberFormat="1" applyFont="1" applyFill="1" applyBorder="1"/>
    <xf numFmtId="39" fontId="9" fillId="0" borderId="1" xfId="3" applyNumberFormat="1" applyFont="1" applyFill="1" applyBorder="1"/>
    <xf numFmtId="168" fontId="9" fillId="0" borderId="5" xfId="3" applyNumberFormat="1" applyFont="1" applyFill="1" applyBorder="1"/>
    <xf numFmtId="39" fontId="9" fillId="0" borderId="0" xfId="3" applyNumberFormat="1" applyFont="1" applyFill="1"/>
    <xf numFmtId="39" fontId="14" fillId="0" borderId="0" xfId="3" applyNumberFormat="1" applyFont="1" applyFill="1" applyProtection="1"/>
    <xf numFmtId="39" fontId="9" fillId="0" borderId="5" xfId="3" applyNumberFormat="1" applyFont="1" applyBorder="1"/>
    <xf numFmtId="39" fontId="9" fillId="0" borderId="0" xfId="3" applyNumberFormat="1" applyFont="1"/>
    <xf numFmtId="0" fontId="12" fillId="0" borderId="0" xfId="3" quotePrefix="1" applyFont="1" applyFill="1" applyAlignment="1">
      <alignment horizontal="left"/>
    </xf>
    <xf numFmtId="37" fontId="14" fillId="0" borderId="0" xfId="3" applyNumberFormat="1" applyFont="1" applyFill="1" applyProtection="1"/>
    <xf numFmtId="0" fontId="9" fillId="0" borderId="0" xfId="3" quotePrefix="1" applyFont="1"/>
    <xf numFmtId="0" fontId="9" fillId="0" borderId="0" xfId="3" applyFont="1" applyFill="1" applyAlignment="1">
      <alignment horizontal="left"/>
    </xf>
    <xf numFmtId="39" fontId="14" fillId="0" borderId="1" xfId="3" applyNumberFormat="1" applyFont="1" applyFill="1" applyBorder="1" applyProtection="1"/>
    <xf numFmtId="39" fontId="9" fillId="0" borderId="0" xfId="3" applyNumberFormat="1" applyFont="1" applyFill="1" applyAlignment="1" applyProtection="1">
      <alignment horizontal="fill"/>
    </xf>
    <xf numFmtId="37" fontId="9" fillId="0" borderId="5" xfId="3" applyNumberFormat="1" applyFont="1" applyFill="1" applyBorder="1" applyProtection="1"/>
    <xf numFmtId="39" fontId="9" fillId="0" borderId="5" xfId="3" applyNumberFormat="1" applyFont="1" applyFill="1" applyBorder="1"/>
    <xf numFmtId="39" fontId="9" fillId="0" borderId="1" xfId="3" applyNumberFormat="1" applyFont="1" applyFill="1" applyBorder="1" applyAlignment="1">
      <alignment horizontal="right"/>
    </xf>
    <xf numFmtId="39" fontId="9" fillId="0" borderId="6" xfId="3" applyNumberFormat="1" applyFont="1" applyFill="1" applyBorder="1" applyProtection="1"/>
    <xf numFmtId="0" fontId="9" fillId="0" borderId="1" xfId="3" applyFont="1" applyBorder="1"/>
    <xf numFmtId="0" fontId="9" fillId="0" borderId="1" xfId="3" applyFont="1" applyFill="1" applyBorder="1"/>
    <xf numFmtId="0" fontId="9" fillId="0" borderId="1" xfId="3" applyFont="1" applyFill="1" applyBorder="1" applyAlignment="1">
      <alignment horizontal="center"/>
    </xf>
    <xf numFmtId="168" fontId="9" fillId="0" borderId="1" xfId="3" applyNumberFormat="1" applyFont="1" applyFill="1" applyBorder="1" applyAlignment="1" applyProtection="1">
      <alignment horizontal="fill"/>
    </xf>
    <xf numFmtId="39" fontId="9" fillId="0" borderId="1" xfId="3" applyNumberFormat="1" applyFont="1" applyFill="1" applyBorder="1" applyAlignment="1" applyProtection="1">
      <alignment horizontal="fill"/>
    </xf>
    <xf numFmtId="168" fontId="9" fillId="0" borderId="0" xfId="3" applyNumberFormat="1" applyFont="1" applyFill="1"/>
    <xf numFmtId="168" fontId="9" fillId="0" borderId="5" xfId="3" applyNumberFormat="1" applyFont="1" applyFill="1" applyBorder="1" applyProtection="1"/>
    <xf numFmtId="39" fontId="9" fillId="0" borderId="5" xfId="3" applyNumberFormat="1" applyFont="1" applyFill="1" applyBorder="1" applyProtection="1"/>
    <xf numFmtId="0" fontId="9" fillId="0" borderId="0" xfId="3" applyFont="1" applyFill="1" applyBorder="1"/>
    <xf numFmtId="168" fontId="9" fillId="0" borderId="0" xfId="3" applyNumberFormat="1" applyFont="1" applyFill="1" applyBorder="1" applyAlignment="1">
      <alignment horizontal="center"/>
    </xf>
    <xf numFmtId="39" fontId="9" fillId="0" borderId="0" xfId="3" applyNumberFormat="1" applyFont="1" applyFill="1" applyBorder="1" applyAlignment="1" applyProtection="1">
      <alignment horizontal="center"/>
    </xf>
    <xf numFmtId="168" fontId="9" fillId="0" borderId="0" xfId="3" applyNumberFormat="1" applyFont="1" applyFill="1" applyAlignment="1">
      <alignment horizontal="fill"/>
    </xf>
    <xf numFmtId="37" fontId="9" fillId="0" borderId="0" xfId="3" applyNumberFormat="1" applyFont="1" applyFill="1" applyBorder="1" applyProtection="1"/>
    <xf numFmtId="0" fontId="9" fillId="0" borderId="0" xfId="3" quotePrefix="1" applyFont="1" applyFill="1" applyAlignment="1">
      <alignment horizontal="right"/>
    </xf>
    <xf numFmtId="17" fontId="9" fillId="0" borderId="0" xfId="3" applyNumberFormat="1" applyFont="1" applyFill="1" applyAlignment="1">
      <alignment horizontal="right"/>
    </xf>
    <xf numFmtId="17" fontId="9" fillId="0" borderId="0" xfId="3" applyNumberFormat="1" applyFont="1" applyFill="1"/>
    <xf numFmtId="0" fontId="14" fillId="0" borderId="0" xfId="5" applyFont="1" applyFill="1" applyAlignment="1">
      <alignment horizontal="left"/>
    </xf>
    <xf numFmtId="168" fontId="14" fillId="0" borderId="0" xfId="3" applyNumberFormat="1" applyFont="1" applyFill="1" applyProtection="1"/>
    <xf numFmtId="44" fontId="14" fillId="0" borderId="0" xfId="6" applyFont="1" applyFill="1" applyProtection="1"/>
    <xf numFmtId="169" fontId="13" fillId="0" borderId="0" xfId="3" applyNumberFormat="1" applyFont="1" applyFill="1" applyProtection="1"/>
    <xf numFmtId="0" fontId="13" fillId="0" borderId="0" xfId="3" applyFont="1" applyFill="1"/>
    <xf numFmtId="170" fontId="13" fillId="0" borderId="0" xfId="3" applyNumberFormat="1" applyFont="1" applyFill="1" applyProtection="1"/>
    <xf numFmtId="0" fontId="15" fillId="0" borderId="0" xfId="3" applyFont="1" applyFill="1"/>
    <xf numFmtId="0" fontId="14" fillId="0" borderId="0" xfId="3" applyFont="1" applyFill="1"/>
    <xf numFmtId="0" fontId="9" fillId="0" borderId="0" xfId="3" applyNumberFormat="1" applyFont="1" applyFill="1" applyProtection="1"/>
    <xf numFmtId="0" fontId="13" fillId="0" borderId="0" xfId="3" quotePrefix="1" applyFont="1" applyFill="1" applyAlignment="1">
      <alignment horizontal="left"/>
    </xf>
    <xf numFmtId="0" fontId="9" fillId="0" borderId="0" xfId="3" applyNumberFormat="1" applyFont="1" applyFill="1"/>
    <xf numFmtId="171" fontId="14" fillId="0" borderId="0" xfId="4" applyNumberFormat="1" applyFont="1" applyFill="1"/>
    <xf numFmtId="0" fontId="13" fillId="0" borderId="0" xfId="3" applyFont="1" applyFill="1" applyAlignment="1">
      <alignment horizontal="left"/>
    </xf>
    <xf numFmtId="168" fontId="14" fillId="0" borderId="1" xfId="3" applyNumberFormat="1" applyFont="1" applyFill="1" applyBorder="1" applyProtection="1"/>
    <xf numFmtId="7" fontId="9" fillId="0" borderId="0" xfId="3" applyNumberFormat="1" applyFont="1" applyFill="1" applyProtection="1"/>
    <xf numFmtId="169" fontId="13" fillId="0" borderId="0" xfId="3" applyNumberFormat="1" applyFont="1" applyFill="1" applyAlignment="1" applyProtection="1">
      <alignment horizontal="left"/>
    </xf>
    <xf numFmtId="0" fontId="16" fillId="0" borderId="0" xfId="3" applyFont="1" applyFill="1" applyAlignment="1">
      <alignment horizontal="center"/>
    </xf>
    <xf numFmtId="169" fontId="13" fillId="0" borderId="0" xfId="3" quotePrefix="1" applyNumberFormat="1" applyFont="1" applyFill="1" applyAlignment="1" applyProtection="1">
      <alignment horizontal="left"/>
    </xf>
    <xf numFmtId="168" fontId="9" fillId="0" borderId="7" xfId="3" applyNumberFormat="1" applyFont="1" applyFill="1" applyBorder="1"/>
    <xf numFmtId="39" fontId="9" fillId="0" borderId="7" xfId="3" applyNumberFormat="1" applyFont="1" applyFill="1" applyBorder="1"/>
    <xf numFmtId="168" fontId="9" fillId="0" borderId="0" xfId="3" applyNumberFormat="1" applyFont="1" applyFill="1" applyBorder="1"/>
    <xf numFmtId="39" fontId="9" fillId="0" borderId="0" xfId="3" applyNumberFormat="1" applyFont="1" applyFill="1" applyBorder="1"/>
    <xf numFmtId="0" fontId="13" fillId="0" borderId="0" xfId="3" quotePrefix="1" applyFont="1" applyFill="1" applyAlignment="1">
      <alignment horizontal="center"/>
    </xf>
    <xf numFmtId="168" fontId="13" fillId="0" borderId="1" xfId="3" applyNumberFormat="1" applyFont="1" applyFill="1" applyBorder="1" applyProtection="1"/>
    <xf numFmtId="39" fontId="13" fillId="0" borderId="1" xfId="3" applyNumberFormat="1" applyFont="1" applyFill="1" applyBorder="1" applyProtection="1"/>
    <xf numFmtId="168" fontId="13" fillId="0" borderId="0" xfId="3" applyNumberFormat="1" applyFont="1" applyFill="1" applyBorder="1" applyProtection="1"/>
    <xf numFmtId="39" fontId="13" fillId="0" borderId="0" xfId="3" applyNumberFormat="1" applyFont="1" applyFill="1" applyBorder="1" applyProtection="1"/>
    <xf numFmtId="0" fontId="13" fillId="0" borderId="0" xfId="3" applyFont="1" applyFill="1" applyAlignment="1">
      <alignment horizontal="center"/>
    </xf>
    <xf numFmtId="169" fontId="13" fillId="0" borderId="1" xfId="3" applyNumberFormat="1" applyFont="1" applyFill="1" applyBorder="1" applyProtection="1"/>
    <xf numFmtId="169" fontId="13" fillId="0" borderId="0" xfId="3" applyNumberFormat="1" applyFont="1" applyFill="1" applyBorder="1" applyProtection="1"/>
    <xf numFmtId="39" fontId="13" fillId="0" borderId="0" xfId="3" applyNumberFormat="1" applyFont="1" applyFill="1"/>
    <xf numFmtId="39" fontId="14" fillId="0" borderId="0" xfId="3" applyNumberFormat="1" applyFont="1" applyFill="1" applyAlignment="1">
      <alignment horizontal="right"/>
    </xf>
    <xf numFmtId="0" fontId="9" fillId="0" borderId="0" xfId="3" applyFont="1" applyFill="1" applyAlignment="1"/>
    <xf numFmtId="0" fontId="13" fillId="0" borderId="0" xfId="3" applyFont="1" applyFill="1" applyAlignment="1">
      <alignment horizontal="right"/>
    </xf>
    <xf numFmtId="168" fontId="14" fillId="0" borderId="0" xfId="4" applyNumberFormat="1" applyFont="1" applyFill="1"/>
    <xf numFmtId="39" fontId="14" fillId="0" borderId="0" xfId="4" applyNumberFormat="1" applyFont="1" applyFill="1"/>
    <xf numFmtId="0" fontId="13" fillId="0" borderId="0" xfId="3" quotePrefix="1" applyFont="1" applyFill="1" applyAlignment="1">
      <alignment horizontal="right"/>
    </xf>
    <xf numFmtId="39" fontId="14" fillId="0" borderId="0" xfId="3" applyNumberFormat="1" applyFont="1" applyFill="1" applyAlignment="1" applyProtection="1">
      <alignment horizontal="right"/>
    </xf>
    <xf numFmtId="39" fontId="13" fillId="0" borderId="0" xfId="3" applyNumberFormat="1" applyFont="1" applyFill="1" applyAlignment="1" applyProtection="1">
      <alignment horizontal="center"/>
    </xf>
    <xf numFmtId="168" fontId="9" fillId="0" borderId="4" xfId="3" applyNumberFormat="1" applyFont="1" applyFill="1" applyBorder="1" applyProtection="1"/>
    <xf numFmtId="39" fontId="9" fillId="0" borderId="4" xfId="3" applyNumberFormat="1" applyFont="1" applyFill="1" applyBorder="1" applyProtection="1"/>
    <xf numFmtId="168" fontId="13" fillId="0" borderId="0" xfId="3" applyNumberFormat="1" applyFont="1" applyFill="1" applyAlignment="1" applyProtection="1">
      <alignment horizontal="fill"/>
    </xf>
    <xf numFmtId="0" fontId="13" fillId="0" borderId="0" xfId="3" applyFont="1" applyFill="1" applyAlignment="1">
      <alignment horizontal="fill"/>
    </xf>
    <xf numFmtId="39" fontId="13" fillId="0" borderId="5" xfId="3" applyNumberFormat="1" applyFont="1" applyFill="1" applyBorder="1" applyAlignment="1">
      <alignment horizontal="right"/>
    </xf>
    <xf numFmtId="172" fontId="14" fillId="0" borderId="0" xfId="4" applyNumberFormat="1" applyFont="1" applyFill="1"/>
    <xf numFmtId="168" fontId="13" fillId="0" borderId="4" xfId="3" applyNumberFormat="1" applyFont="1" applyFill="1" applyBorder="1" applyProtection="1"/>
    <xf numFmtId="39" fontId="13" fillId="0" borderId="4" xfId="3" applyNumberFormat="1" applyFont="1" applyFill="1" applyBorder="1" applyProtection="1"/>
    <xf numFmtId="168" fontId="9" fillId="0" borderId="8" xfId="3" applyNumberFormat="1" applyFont="1" applyFill="1" applyBorder="1" applyProtection="1"/>
    <xf numFmtId="44" fontId="9" fillId="0" borderId="8" xfId="6" applyFont="1" applyFill="1" applyBorder="1" applyProtection="1"/>
    <xf numFmtId="168" fontId="13" fillId="0" borderId="0" xfId="3" applyNumberFormat="1" applyFont="1" applyFill="1" applyAlignment="1"/>
    <xf numFmtId="44" fontId="13" fillId="0" borderId="0" xfId="3" quotePrefix="1" applyNumberFormat="1" applyFont="1" applyFill="1" applyAlignment="1">
      <alignment horizontal="left"/>
    </xf>
    <xf numFmtId="169" fontId="13" fillId="0" borderId="0" xfId="3" applyNumberFormat="1" applyFont="1" applyFill="1"/>
    <xf numFmtId="168" fontId="13" fillId="0" borderId="0" xfId="3" applyNumberFormat="1" applyFont="1" applyFill="1"/>
    <xf numFmtId="7" fontId="13" fillId="0" borderId="0" xfId="3" applyNumberFormat="1" applyFont="1" applyFill="1"/>
    <xf numFmtId="0" fontId="13" fillId="0" borderId="1" xfId="3" applyFont="1" applyFill="1" applyBorder="1" applyAlignment="1">
      <alignment horizontal="center"/>
    </xf>
    <xf numFmtId="43" fontId="14" fillId="0" borderId="0" xfId="4" applyFont="1" applyFill="1"/>
    <xf numFmtId="168" fontId="14" fillId="0" borderId="0" xfId="3" applyNumberFormat="1" applyFont="1" applyFill="1"/>
    <xf numFmtId="173" fontId="9" fillId="0" borderId="0" xfId="3" applyNumberFormat="1" applyFont="1" applyFill="1" applyProtection="1"/>
    <xf numFmtId="174" fontId="9" fillId="0" borderId="0" xfId="3" applyNumberFormat="1" applyFont="1" applyFill="1" applyProtection="1"/>
    <xf numFmtId="168" fontId="14" fillId="0" borderId="0" xfId="3" applyNumberFormat="1" applyFont="1" applyFill="1" applyBorder="1" applyProtection="1"/>
    <xf numFmtId="39" fontId="9" fillId="0" borderId="0" xfId="4" applyNumberFormat="1" applyFont="1" applyFill="1"/>
    <xf numFmtId="169" fontId="13" fillId="0" borderId="0" xfId="3" applyNumberFormat="1" applyFont="1" applyFill="1" applyAlignment="1" applyProtection="1">
      <alignment horizontal="fill"/>
    </xf>
    <xf numFmtId="0" fontId="9" fillId="0" borderId="1" xfId="3" applyFont="1" applyFill="1" applyBorder="1" applyAlignment="1">
      <alignment horizontal="fill"/>
    </xf>
    <xf numFmtId="168" fontId="13" fillId="0" borderId="0" xfId="3" applyNumberFormat="1" applyFont="1" applyFill="1" applyAlignment="1" applyProtection="1"/>
    <xf numFmtId="44" fontId="13" fillId="0" borderId="0" xfId="3" applyNumberFormat="1" applyFont="1" applyFill="1" applyAlignment="1"/>
    <xf numFmtId="44" fontId="13" fillId="0" borderId="0" xfId="3" applyNumberFormat="1" applyFont="1" applyFill="1"/>
    <xf numFmtId="17" fontId="13" fillId="0" borderId="0" xfId="3" applyNumberFormat="1" applyFont="1" applyFill="1" applyAlignment="1">
      <alignment horizontal="right"/>
    </xf>
    <xf numFmtId="17" fontId="13" fillId="0" borderId="0" xfId="3" applyNumberFormat="1" applyFont="1" applyFill="1"/>
    <xf numFmtId="0" fontId="14" fillId="0" borderId="0" xfId="3" applyFont="1" applyFill="1" applyBorder="1"/>
    <xf numFmtId="39" fontId="14" fillId="0" borderId="0" xfId="3" applyNumberFormat="1" applyFont="1" applyFill="1" applyBorder="1" applyProtection="1"/>
    <xf numFmtId="0" fontId="14" fillId="0" borderId="1" xfId="3" applyFont="1" applyFill="1" applyBorder="1"/>
    <xf numFmtId="168" fontId="9" fillId="0" borderId="7" xfId="3" applyNumberFormat="1" applyFont="1" applyFill="1" applyBorder="1" applyProtection="1"/>
    <xf numFmtId="39" fontId="9" fillId="0" borderId="7" xfId="3" applyNumberFormat="1" applyFont="1" applyFill="1" applyBorder="1" applyProtection="1"/>
    <xf numFmtId="0" fontId="9" fillId="0" borderId="0" xfId="3" applyFont="1" applyFill="1" applyAlignment="1">
      <alignment horizontal="right"/>
    </xf>
    <xf numFmtId="169" fontId="9" fillId="0" borderId="1" xfId="3" applyNumberFormat="1" applyFont="1" applyFill="1" applyBorder="1" applyProtection="1"/>
    <xf numFmtId="169" fontId="9" fillId="0" borderId="0" xfId="3" applyNumberFormat="1" applyFont="1" applyFill="1" applyAlignment="1" applyProtection="1">
      <alignment horizontal="fill"/>
    </xf>
    <xf numFmtId="0" fontId="10" fillId="0" borderId="0" xfId="3" applyFont="1" applyFill="1"/>
    <xf numFmtId="39" fontId="13" fillId="0" borderId="0" xfId="3" applyNumberFormat="1" applyFont="1" applyFill="1" applyAlignment="1" applyProtection="1">
      <alignment horizontal="left"/>
    </xf>
    <xf numFmtId="0" fontId="9" fillId="0" borderId="0" xfId="3" quotePrefix="1" applyFont="1" applyFill="1" applyAlignment="1">
      <alignment horizontal="center"/>
    </xf>
    <xf numFmtId="168" fontId="14" fillId="0" borderId="0" xfId="3" applyNumberFormat="1" applyFont="1" applyFill="1" applyAlignment="1" applyProtection="1">
      <alignment horizontal="right"/>
    </xf>
    <xf numFmtId="168" fontId="9" fillId="0" borderId="0" xfId="3" applyNumberFormat="1" applyFont="1" applyFill="1" applyAlignment="1" applyProtection="1">
      <alignment horizontal="right"/>
    </xf>
    <xf numFmtId="39" fontId="9" fillId="0" borderId="0" xfId="4" applyNumberFormat="1" applyFont="1" applyFill="1" applyProtection="1"/>
    <xf numFmtId="168" fontId="13" fillId="0" borderId="7" xfId="3" applyNumberFormat="1" applyFont="1" applyFill="1" applyBorder="1" applyProtection="1"/>
    <xf numFmtId="39" fontId="13" fillId="0" borderId="7" xfId="3" applyNumberFormat="1" applyFont="1" applyFill="1" applyBorder="1" applyProtection="1"/>
    <xf numFmtId="39" fontId="9" fillId="0" borderId="0" xfId="3" applyNumberFormat="1" applyFont="1" applyFill="1" applyAlignment="1" applyProtection="1">
      <alignment horizontal="center"/>
    </xf>
    <xf numFmtId="43" fontId="9" fillId="0" borderId="0" xfId="4" applyFont="1" applyFill="1" applyProtection="1"/>
    <xf numFmtId="43" fontId="9" fillId="0" borderId="4" xfId="4" applyFont="1" applyFill="1" applyBorder="1" applyProtection="1"/>
    <xf numFmtId="17" fontId="13" fillId="0" borderId="0" xfId="3" applyNumberFormat="1" applyFont="1" applyFill="1" applyAlignment="1">
      <alignment horizontal="left"/>
    </xf>
    <xf numFmtId="37" fontId="13" fillId="0" borderId="0" xfId="3" applyNumberFormat="1" applyFont="1" applyFill="1" applyProtection="1"/>
    <xf numFmtId="175" fontId="14" fillId="0" borderId="0" xfId="4" applyNumberFormat="1" applyFont="1" applyFill="1"/>
    <xf numFmtId="0" fontId="9" fillId="0" borderId="0" xfId="3" applyFont="1" applyFill="1" applyAlignment="1" applyProtection="1">
      <alignment horizontal="left"/>
    </xf>
    <xf numFmtId="39" fontId="14" fillId="0" borderId="0" xfId="4" applyNumberFormat="1" applyFont="1" applyFill="1" applyProtection="1"/>
    <xf numFmtId="39" fontId="14" fillId="0" borderId="1" xfId="4" applyNumberFormat="1" applyFont="1" applyFill="1" applyBorder="1"/>
    <xf numFmtId="39" fontId="9" fillId="0" borderId="7" xfId="4" applyNumberFormat="1" applyFont="1" applyFill="1" applyBorder="1"/>
    <xf numFmtId="39" fontId="13" fillId="0" borderId="0" xfId="3" applyNumberFormat="1" applyFont="1" applyFill="1" applyAlignment="1"/>
    <xf numFmtId="169" fontId="13" fillId="0" borderId="0" xfId="3" applyNumberFormat="1" applyFont="1" applyFill="1" applyAlignment="1"/>
    <xf numFmtId="44" fontId="9" fillId="0" borderId="0" xfId="6" applyFont="1" applyFill="1" applyBorder="1" applyProtection="1"/>
    <xf numFmtId="168" fontId="9" fillId="0" borderId="9" xfId="3" applyNumberFormat="1" applyFont="1" applyFill="1" applyBorder="1" applyProtection="1"/>
    <xf numFmtId="39" fontId="9" fillId="0" borderId="9" xfId="3" applyNumberFormat="1" applyFont="1" applyFill="1" applyBorder="1" applyProtection="1"/>
    <xf numFmtId="0" fontId="13" fillId="0" borderId="0" xfId="3" applyFont="1" applyFill="1" applyBorder="1" applyAlignment="1">
      <alignment horizontal="fill"/>
    </xf>
    <xf numFmtId="44" fontId="9" fillId="0" borderId="5" xfId="6" applyFont="1" applyFill="1" applyBorder="1" applyProtection="1"/>
    <xf numFmtId="168" fontId="9" fillId="0" borderId="0" xfId="4" applyNumberFormat="1" applyFont="1" applyFill="1"/>
    <xf numFmtId="39" fontId="9" fillId="0" borderId="0" xfId="4" applyNumberFormat="1" applyFont="1" applyFill="1" applyBorder="1"/>
    <xf numFmtId="44" fontId="13" fillId="0" borderId="0" xfId="3" applyNumberFormat="1" applyFont="1" applyFill="1" applyAlignment="1">
      <alignment horizontal="fill"/>
    </xf>
    <xf numFmtId="0" fontId="15" fillId="0" borderId="0" xfId="3" applyFont="1" applyFill="1" applyAlignment="1">
      <alignment horizontal="centerContinuous"/>
    </xf>
    <xf numFmtId="176" fontId="13" fillId="0" borderId="0" xfId="3" applyNumberFormat="1" applyFont="1" applyFill="1" applyAlignment="1">
      <alignment horizontal="right"/>
    </xf>
    <xf numFmtId="0" fontId="13" fillId="0" borderId="0" xfId="3" applyFont="1" applyFill="1" applyBorder="1" applyAlignment="1">
      <alignment horizontal="center"/>
    </xf>
    <xf numFmtId="39" fontId="13" fillId="0" borderId="0" xfId="3" applyNumberFormat="1" applyFont="1" applyFill="1" applyAlignment="1">
      <alignment horizontal="right"/>
    </xf>
    <xf numFmtId="39" fontId="13" fillId="0" borderId="0" xfId="3" quotePrefix="1" applyNumberFormat="1" applyFont="1" applyFill="1" applyAlignment="1">
      <alignment horizontal="right"/>
    </xf>
    <xf numFmtId="39" fontId="13" fillId="0" borderId="0" xfId="3" applyNumberFormat="1" applyFont="1" applyFill="1" applyAlignment="1">
      <alignment horizontal="center"/>
    </xf>
    <xf numFmtId="0" fontId="10" fillId="0" borderId="1" xfId="3" applyFont="1" applyBorder="1"/>
    <xf numFmtId="37" fontId="13" fillId="0" borderId="0" xfId="3" applyNumberFormat="1" applyFont="1" applyFill="1" applyProtection="1">
      <protection locked="0"/>
    </xf>
    <xf numFmtId="168" fontId="14" fillId="0" borderId="0" xfId="3" applyNumberFormat="1" applyFont="1" applyFill="1" applyBorder="1"/>
    <xf numFmtId="169" fontId="13" fillId="0" borderId="0" xfId="3" applyNumberFormat="1" applyFont="1" applyFill="1" applyAlignment="1" applyProtection="1"/>
    <xf numFmtId="0" fontId="15" fillId="0" borderId="0" xfId="3" quotePrefix="1" applyFont="1" applyFill="1" applyAlignment="1">
      <alignment horizontal="left"/>
    </xf>
    <xf numFmtId="168" fontId="14" fillId="0" borderId="0" xfId="3" applyNumberFormat="1" applyFont="1" applyFill="1" applyProtection="1">
      <protection locked="0"/>
    </xf>
    <xf numFmtId="39" fontId="13" fillId="0" borderId="0" xfId="3" applyNumberFormat="1" applyFont="1" applyFill="1" applyProtection="1">
      <protection locked="0"/>
    </xf>
    <xf numFmtId="39" fontId="14" fillId="0" borderId="0" xfId="3" applyNumberFormat="1" applyFont="1" applyFill="1" applyProtection="1">
      <protection locked="0"/>
    </xf>
    <xf numFmtId="37" fontId="13" fillId="0" borderId="0" xfId="3" applyNumberFormat="1" applyFont="1" applyFill="1" applyAlignment="1" applyProtection="1">
      <alignment horizontal="fill"/>
    </xf>
    <xf numFmtId="39" fontId="13" fillId="0" borderId="5" xfId="3" applyNumberFormat="1" applyFont="1" applyFill="1" applyBorder="1"/>
    <xf numFmtId="10" fontId="9" fillId="0" borderId="0" xfId="7" applyNumberFormat="1" applyFont="1" applyFill="1"/>
    <xf numFmtId="168" fontId="9" fillId="0" borderId="0" xfId="3" applyNumberFormat="1" applyFont="1"/>
    <xf numFmtId="44" fontId="9" fillId="0" borderId="0" xfId="3" applyNumberFormat="1" applyFont="1"/>
    <xf numFmtId="177" fontId="9" fillId="0" borderId="0" xfId="7" applyNumberFormat="1" applyFont="1"/>
    <xf numFmtId="176" fontId="9" fillId="0" borderId="0" xfId="3" applyNumberFormat="1" applyFont="1" applyFill="1" applyAlignment="1">
      <alignment horizontal="right"/>
    </xf>
    <xf numFmtId="0" fontId="9" fillId="0" borderId="1" xfId="3" quotePrefix="1" applyFont="1" applyFill="1" applyBorder="1" applyAlignment="1">
      <alignment horizontal="left"/>
    </xf>
    <xf numFmtId="0" fontId="9" fillId="0" borderId="1" xfId="3" applyFont="1" applyFill="1" applyBorder="1" applyAlignment="1">
      <alignment horizontal="right"/>
    </xf>
    <xf numFmtId="0" fontId="10" fillId="0" borderId="0" xfId="3" quotePrefix="1" applyFont="1" applyFill="1" applyAlignment="1">
      <alignment horizontal="left"/>
    </xf>
    <xf numFmtId="0" fontId="9" fillId="0" borderId="0" xfId="3" quotePrefix="1" applyFont="1" applyFill="1" applyBorder="1" applyAlignment="1">
      <alignment horizontal="left"/>
    </xf>
    <xf numFmtId="168" fontId="14" fillId="0" borderId="0" xfId="3" applyNumberFormat="1" applyFont="1" applyFill="1" applyBorder="1" applyAlignment="1" applyProtection="1"/>
    <xf numFmtId="39" fontId="14" fillId="0" borderId="0" xfId="3" applyNumberFormat="1" applyFont="1" applyFill="1" applyBorder="1" applyAlignment="1" applyProtection="1"/>
    <xf numFmtId="168" fontId="14" fillId="0" borderId="1" xfId="3" applyNumberFormat="1" applyFont="1" applyFill="1" applyBorder="1" applyProtection="1">
      <protection locked="0"/>
    </xf>
    <xf numFmtId="0" fontId="9" fillId="0" borderId="0" xfId="3" applyFont="1" applyAlignment="1">
      <alignment horizontal="left"/>
    </xf>
    <xf numFmtId="168" fontId="9" fillId="0" borderId="0" xfId="3" applyNumberFormat="1" applyFont="1" applyFill="1" applyBorder="1" applyAlignment="1" applyProtection="1">
      <alignment horizontal="fill"/>
    </xf>
    <xf numFmtId="39" fontId="9" fillId="0" borderId="0" xfId="3" applyNumberFormat="1" applyFont="1" applyFill="1" applyBorder="1" applyAlignment="1" applyProtection="1">
      <alignment horizontal="fill"/>
    </xf>
    <xf numFmtId="39" fontId="14" fillId="0" borderId="0" xfId="3" quotePrefix="1" applyNumberFormat="1" applyFont="1" applyFill="1" applyAlignment="1" applyProtection="1">
      <alignment horizontal="right"/>
      <protection locked="0"/>
    </xf>
    <xf numFmtId="168" fontId="9" fillId="0" borderId="0" xfId="3" applyNumberFormat="1" applyFont="1" applyFill="1" applyBorder="1" applyAlignment="1" applyProtection="1"/>
    <xf numFmtId="39" fontId="9" fillId="0" borderId="0" xfId="3" applyNumberFormat="1" applyFont="1" applyFill="1" applyBorder="1" applyAlignment="1" applyProtection="1"/>
    <xf numFmtId="0" fontId="9" fillId="0" borderId="0" xfId="3" quotePrefix="1" applyFont="1" applyAlignment="1">
      <alignment horizontal="left"/>
    </xf>
    <xf numFmtId="168" fontId="9" fillId="0" borderId="0" xfId="3" applyNumberFormat="1" applyFont="1" applyFill="1" applyBorder="1" applyProtection="1">
      <protection locked="0"/>
    </xf>
    <xf numFmtId="0" fontId="16" fillId="0" borderId="0" xfId="3" quotePrefix="1" applyFont="1" applyFill="1" applyAlignment="1">
      <alignment horizontal="center"/>
    </xf>
    <xf numFmtId="39" fontId="14" fillId="0" borderId="0" xfId="3" quotePrefix="1" applyNumberFormat="1" applyFont="1" applyFill="1" applyAlignment="1">
      <alignment horizontal="left"/>
    </xf>
    <xf numFmtId="39" fontId="14" fillId="0" borderId="0" xfId="3" quotePrefix="1" applyNumberFormat="1" applyFont="1" applyFill="1" applyAlignment="1">
      <alignment horizontal="right"/>
    </xf>
    <xf numFmtId="39" fontId="14" fillId="0" borderId="0" xfId="3" applyNumberFormat="1" applyFont="1" applyFill="1"/>
    <xf numFmtId="169" fontId="9" fillId="0" borderId="0" xfId="3" applyNumberFormat="1" applyFont="1" applyFill="1"/>
    <xf numFmtId="39" fontId="9" fillId="0" borderId="1" xfId="4" applyNumberFormat="1" applyFont="1" applyFill="1" applyBorder="1" applyProtection="1"/>
    <xf numFmtId="172" fontId="9" fillId="0" borderId="0" xfId="4" applyNumberFormat="1" applyFont="1" applyFill="1"/>
    <xf numFmtId="43" fontId="9" fillId="0" borderId="1" xfId="4" applyFont="1" applyFill="1" applyBorder="1" applyProtection="1"/>
    <xf numFmtId="168" fontId="9" fillId="0" borderId="0" xfId="3" applyNumberFormat="1" applyFont="1" applyFill="1" applyAlignment="1"/>
    <xf numFmtId="39" fontId="9" fillId="0" borderId="0" xfId="3" applyNumberFormat="1" applyFont="1" applyFill="1" applyAlignment="1"/>
    <xf numFmtId="0" fontId="13" fillId="0" borderId="0" xfId="3" quotePrefix="1" applyFont="1" applyFill="1" applyAlignment="1">
      <alignment horizontal="fill"/>
    </xf>
    <xf numFmtId="0" fontId="17" fillId="0" borderId="0" xfId="3" applyFont="1" applyFill="1" applyAlignment="1">
      <alignment horizontal="center"/>
    </xf>
    <xf numFmtId="39" fontId="9" fillId="0" borderId="8" xfId="3" applyNumberFormat="1" applyFont="1" applyFill="1" applyBorder="1" applyProtection="1"/>
    <xf numFmtId="0" fontId="15" fillId="0" borderId="0" xfId="3" quotePrefix="1" applyFont="1" applyFill="1" applyAlignment="1">
      <alignment horizontal="center"/>
    </xf>
    <xf numFmtId="0" fontId="15" fillId="0" borderId="0" xfId="3" applyFont="1" applyFill="1" applyAlignment="1">
      <alignment horizontal="center"/>
    </xf>
    <xf numFmtId="0" fontId="10" fillId="0" borderId="0" xfId="3" applyFont="1" applyFill="1" applyAlignment="1">
      <alignment horizontal="center"/>
    </xf>
    <xf numFmtId="17" fontId="11" fillId="0" borderId="0" xfId="3" quotePrefix="1" applyNumberFormat="1" applyFont="1" applyFill="1" applyAlignment="1" applyProtection="1">
      <alignment horizontal="center"/>
      <protection locked="0"/>
    </xf>
  </cellXfs>
  <cellStyles count="8">
    <cellStyle name="Comma 2 2" xfId="4"/>
    <cellStyle name="Currency" xfId="1" builtinId="4"/>
    <cellStyle name="Currency 2 2" xfId="6"/>
    <cellStyle name="Normal" xfId="0" builtinId="0"/>
    <cellStyle name="Normal 2 2" xfId="3"/>
    <cellStyle name="Normal 5" xfId="5"/>
    <cellStyle name="Normal_APRDAILY" xfId="2"/>
    <cellStyle name="Percent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CCTNG\FUEL\Mike\Closing\Deer%20Creek\FY%202005\Deer%20Creek%20Royalties%20Cal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ctual%20NPCs\2011\12%20-%20Dec\Actual%20NPC%20-%20DEC11_2012%2002%202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8380\Local%20Settings\Temporary%20Internet%20Files\Content.Outlook\D9AKUJ8D\Cottonwood%20Lease%20Evaluation%20-%20DC%20Mine%20Access%20-%207-6-12%20rev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oups\NPC\Actual%20NPCs\2009\01%20-%20January\2008\09%20-%20September\2008\03%20-%20March\2008\01%20-%20January%20(Book%20Run)\1992-2004\NPC%20Actual%20%201992-2004%20Monthl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p00225\Local%20Settings\Temporary%20Internet%20Files\OLK1D1\PPI%20Index%20Review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WA%202009.Q2%20WCA%20Actual%20NPC\Data\STF\WA%202009.Q1%20-%20STF%20(Hourly%20Detail%20Macro)%202009%2006%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4483\Local%20Settings\Temporary%20Internet%20Files\OLK54\PMI%20CONSOLIDATED%20FEB05%20with%20SAP%20Upload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p00225\Local%20Settings\Temporary%20Internet%20Files\OLK192\APS%20PacifiCorp%20Lee%20Ranch%20and%20McKinley%20Swap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uels\GENERAL\Current%20Forecasts\2007fllt(Pub%202-28-07)\JOHNST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z97147\My%20Documents\Lee%20Ranch%20Decision%20APS%20Propos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p12375\Local%20Settings\Temporary%20Internet%20Files\OLK1D2\2003%20P&amp;M%20Reopener\Reopener%20Analysi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%2011-035-200%20(GRC%20May2013)\Sent%20out\Sent%20out%202012%2008%2020%20(Monthly%20Allocation)\UTGRC12_Utah%20Base%20NPC%20Report%20(Settlement)%20CONF_Sent%20Out%202012%2008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ctual NPC"/>
      <sheetName val="Check"/>
      <sheetName val="NPC $"/>
      <sheetName val="NPC MWh"/>
      <sheetName val="Camas"/>
      <sheetName val="Mid-C"/>
      <sheetName val="Acct Adj"/>
      <sheetName val="M Stnly Splt"/>
      <sheetName val="Sheet1"/>
      <sheetName val="Bookout"/>
      <sheetName val="BookRun $"/>
      <sheetName val="BookRun MWh"/>
      <sheetName val="Actual NPC - DEC11_2012 02 24"/>
    </sheetNames>
    <sheetDataSet>
      <sheetData sheetId="0">
        <row r="1">
          <cell r="L1" t="str">
            <v>Actual NPC - DEC11_2012 02 24</v>
          </cell>
        </row>
      </sheetData>
      <sheetData sheetId="1">
        <row r="1">
          <cell r="A1" t="str">
            <v>Actual Net Power Cost</v>
          </cell>
          <cell r="F1">
            <v>40544</v>
          </cell>
          <cell r="G1">
            <v>40575</v>
          </cell>
          <cell r="H1">
            <v>40603</v>
          </cell>
          <cell r="I1">
            <v>40634</v>
          </cell>
          <cell r="J1">
            <v>40664</v>
          </cell>
          <cell r="K1">
            <v>40695</v>
          </cell>
          <cell r="L1">
            <v>40725</v>
          </cell>
          <cell r="M1">
            <v>40756</v>
          </cell>
          <cell r="N1">
            <v>40787</v>
          </cell>
          <cell r="O1">
            <v>40817</v>
          </cell>
          <cell r="P1">
            <v>40848</v>
          </cell>
          <cell r="Q1">
            <v>40878</v>
          </cell>
        </row>
        <row r="8">
          <cell r="B8" t="str">
            <v>Long Term Firm Sales</v>
          </cell>
        </row>
        <row r="9">
          <cell r="C9" t="str">
            <v>Black Hills s27013/s28160</v>
          </cell>
          <cell r="F9">
            <v>1083840.3599999999</v>
          </cell>
          <cell r="G9">
            <v>1043876.5199999999</v>
          </cell>
          <cell r="H9">
            <v>1054027.08</v>
          </cell>
          <cell r="I9">
            <v>1059182.1599999999</v>
          </cell>
          <cell r="J9">
            <v>949605.65999999992</v>
          </cell>
          <cell r="K9">
            <v>924787.37999999989</v>
          </cell>
          <cell r="L9">
            <v>1033503.5399999999</v>
          </cell>
          <cell r="M9">
            <v>1060798.3799999999</v>
          </cell>
          <cell r="N9">
            <v>1067610.6599999999</v>
          </cell>
          <cell r="O9">
            <v>1087346.4600000002</v>
          </cell>
          <cell r="P9">
            <v>1070277.6599999999</v>
          </cell>
          <cell r="Q9">
            <v>1070551.98</v>
          </cell>
        </row>
        <row r="10">
          <cell r="C10" t="str">
            <v>BPA Wind s42818</v>
          </cell>
          <cell r="F10">
            <v>410079.14</v>
          </cell>
          <cell r="G10">
            <v>171072.83</v>
          </cell>
          <cell r="H10">
            <v>295423.17</v>
          </cell>
          <cell r="I10">
            <v>324943.62</v>
          </cell>
          <cell r="J10">
            <v>242140.58</v>
          </cell>
          <cell r="K10">
            <v>148768.49</v>
          </cell>
          <cell r="L10">
            <v>124641.9</v>
          </cell>
          <cell r="M10">
            <v>151028.07999999999</v>
          </cell>
          <cell r="N10">
            <v>324370.86</v>
          </cell>
          <cell r="O10">
            <v>311969.2</v>
          </cell>
          <cell r="P10">
            <v>326984.53999999998</v>
          </cell>
          <cell r="Q10">
            <v>238058.74</v>
          </cell>
        </row>
        <row r="11">
          <cell r="C11" t="str">
            <v>Hurricane Sale s393046</v>
          </cell>
          <cell r="F11">
            <v>1350</v>
          </cell>
          <cell r="G11">
            <v>1200</v>
          </cell>
          <cell r="H11">
            <v>1350</v>
          </cell>
          <cell r="I11">
            <v>1350</v>
          </cell>
          <cell r="J11">
            <v>1350</v>
          </cell>
          <cell r="K11">
            <v>1350</v>
          </cell>
          <cell r="L11">
            <v>1500</v>
          </cell>
          <cell r="M11">
            <v>1500</v>
          </cell>
          <cell r="N11">
            <v>1350</v>
          </cell>
          <cell r="O11">
            <v>1350</v>
          </cell>
          <cell r="P11">
            <v>1275</v>
          </cell>
          <cell r="Q11">
            <v>1275</v>
          </cell>
        </row>
        <row r="12">
          <cell r="C12" t="str">
            <v>LADWP (IPP Layoff)</v>
          </cell>
          <cell r="F12">
            <v>2379698</v>
          </cell>
          <cell r="G12">
            <v>2475403</v>
          </cell>
          <cell r="H12">
            <v>2444625</v>
          </cell>
          <cell r="I12">
            <v>2310845</v>
          </cell>
          <cell r="J12">
            <v>2417215.12</v>
          </cell>
          <cell r="K12">
            <v>2575100</v>
          </cell>
          <cell r="L12">
            <v>2621740</v>
          </cell>
          <cell r="M12">
            <v>2621780</v>
          </cell>
          <cell r="N12">
            <v>196237.77</v>
          </cell>
          <cell r="O12">
            <v>2619071</v>
          </cell>
          <cell r="P12">
            <v>2542484</v>
          </cell>
          <cell r="Q12">
            <v>2555399</v>
          </cell>
        </row>
        <row r="13">
          <cell r="C13" t="str">
            <v>NVE s811499</v>
          </cell>
          <cell r="F13">
            <v>0</v>
          </cell>
          <cell r="G13">
            <v>1310400</v>
          </cell>
          <cell r="H13">
            <v>2622754.5</v>
          </cell>
          <cell r="I13">
            <v>3121668</v>
          </cell>
          <cell r="J13">
            <v>2876538.54</v>
          </cell>
          <cell r="K13">
            <v>1401082.64</v>
          </cell>
          <cell r="L13">
            <v>748562.16</v>
          </cell>
          <cell r="M13">
            <v>976224</v>
          </cell>
          <cell r="N13">
            <v>2217641.54</v>
          </cell>
          <cell r="O13">
            <v>3391644</v>
          </cell>
          <cell r="P13">
            <v>3138841.68</v>
          </cell>
          <cell r="Q13">
            <v>3245741</v>
          </cell>
        </row>
        <row r="14">
          <cell r="C14" t="str">
            <v>Pacific Gas &amp; Electric s524491</v>
          </cell>
          <cell r="F14">
            <v>2169791.73</v>
          </cell>
          <cell r="G14">
            <v>1814316.25</v>
          </cell>
          <cell r="H14">
            <v>1500699.49</v>
          </cell>
          <cell r="I14">
            <v>1674926.33</v>
          </cell>
          <cell r="J14">
            <v>1365773.29</v>
          </cell>
          <cell r="K14">
            <v>1299305.98</v>
          </cell>
          <cell r="L14">
            <v>0</v>
          </cell>
          <cell r="M14">
            <v>0</v>
          </cell>
          <cell r="N14">
            <v>0</v>
          </cell>
          <cell r="O14">
            <v>2067484.17</v>
          </cell>
          <cell r="P14">
            <v>2334161.56</v>
          </cell>
          <cell r="Q14">
            <v>2394898.61</v>
          </cell>
        </row>
        <row r="15">
          <cell r="C15" t="str">
            <v>PSCO s100035</v>
          </cell>
          <cell r="F15">
            <v>1524944.88</v>
          </cell>
          <cell r="G15">
            <v>1413449.66</v>
          </cell>
          <cell r="H15">
            <v>1538287.18</v>
          </cell>
          <cell r="I15">
            <v>1479349.02</v>
          </cell>
          <cell r="J15">
            <v>1518041.69</v>
          </cell>
          <cell r="K15">
            <v>1467398.96</v>
          </cell>
          <cell r="L15">
            <v>1525292.94</v>
          </cell>
          <cell r="M15">
            <v>1871208.75</v>
          </cell>
          <cell r="N15">
            <v>1514677.11</v>
          </cell>
          <cell r="O15">
            <v>1535502.7</v>
          </cell>
          <cell r="P15">
            <v>1499072.42</v>
          </cell>
          <cell r="Q15">
            <v>1502669.04</v>
          </cell>
        </row>
        <row r="16">
          <cell r="C16" t="str">
            <v>SCE s513948</v>
          </cell>
          <cell r="F16">
            <v>1120000</v>
          </cell>
          <cell r="G16">
            <v>1016376</v>
          </cell>
          <cell r="H16">
            <v>870875.5</v>
          </cell>
          <cell r="I16">
            <v>1040556</v>
          </cell>
          <cell r="J16">
            <v>979068</v>
          </cell>
          <cell r="K16">
            <v>982696</v>
          </cell>
          <cell r="L16">
            <v>0</v>
          </cell>
          <cell r="M16">
            <v>0</v>
          </cell>
          <cell r="N16">
            <v>0</v>
          </cell>
          <cell r="O16">
            <v>1130548</v>
          </cell>
          <cell r="P16">
            <v>1049324</v>
          </cell>
          <cell r="Q16">
            <v>1083400</v>
          </cell>
        </row>
        <row r="17">
          <cell r="C17" t="str">
            <v>SMUD s24296</v>
          </cell>
          <cell r="F17">
            <v>488035.08999999997</v>
          </cell>
          <cell r="G17">
            <v>480860.95999999996</v>
          </cell>
          <cell r="H17">
            <v>191367.28000000003</v>
          </cell>
          <cell r="I17">
            <v>787606.3</v>
          </cell>
          <cell r="J17">
            <v>172679.5900000002</v>
          </cell>
          <cell r="K17">
            <v>-348761.07999999996</v>
          </cell>
          <cell r="L17">
            <v>280758.95999999996</v>
          </cell>
          <cell r="M17">
            <v>1263360.47</v>
          </cell>
          <cell r="N17">
            <v>1726883.77</v>
          </cell>
          <cell r="O17">
            <v>1783044.78</v>
          </cell>
          <cell r="P17">
            <v>1738199.6</v>
          </cell>
          <cell r="Q17">
            <v>1580884.12</v>
          </cell>
        </row>
        <row r="18">
          <cell r="C18" t="str">
            <v>UMPA II s45631</v>
          </cell>
          <cell r="F18">
            <v>592387.76</v>
          </cell>
          <cell r="G18">
            <v>520181.07999999996</v>
          </cell>
          <cell r="H18">
            <v>541439.94999999995</v>
          </cell>
          <cell r="I18">
            <v>580564.33000000007</v>
          </cell>
          <cell r="J18">
            <v>491061.36</v>
          </cell>
          <cell r="K18">
            <v>738837.04</v>
          </cell>
          <cell r="L18">
            <v>1620758.08</v>
          </cell>
          <cell r="M18">
            <v>1349053.56</v>
          </cell>
          <cell r="N18">
            <v>774583.84000000008</v>
          </cell>
          <cell r="O18">
            <v>588041.88</v>
          </cell>
          <cell r="P18">
            <v>538610.4</v>
          </cell>
          <cell r="Q18">
            <v>591411.67999999993</v>
          </cell>
        </row>
        <row r="20">
          <cell r="B20" t="str">
            <v>Total Long Term Firm Sales</v>
          </cell>
          <cell r="F20">
            <v>9770126.959999999</v>
          </cell>
          <cell r="G20">
            <v>10247136.299999999</v>
          </cell>
          <cell r="H20">
            <v>11060849.149999999</v>
          </cell>
          <cell r="I20">
            <v>12380990.76</v>
          </cell>
          <cell r="J20">
            <v>11013473.83</v>
          </cell>
          <cell r="K20">
            <v>9190565.4100000001</v>
          </cell>
          <cell r="L20">
            <v>7956757.5799999991</v>
          </cell>
          <cell r="M20">
            <v>9294953.2400000002</v>
          </cell>
          <cell r="N20">
            <v>7823355.5500000007</v>
          </cell>
          <cell r="O20">
            <v>14516002.189999999</v>
          </cell>
          <cell r="P20">
            <v>14239230.860000001</v>
          </cell>
          <cell r="Q20">
            <v>14264289.170000002</v>
          </cell>
        </row>
        <row r="21">
          <cell r="B21" t="str">
            <v>Total Short Term Firm Sales</v>
          </cell>
          <cell r="F21">
            <v>20180771.050000004</v>
          </cell>
          <cell r="G21">
            <v>15226648.490000002</v>
          </cell>
          <cell r="H21">
            <v>11155370.450000007</v>
          </cell>
          <cell r="I21">
            <v>15973632.460000001</v>
          </cell>
          <cell r="J21">
            <v>13474611.120000001</v>
          </cell>
          <cell r="K21">
            <v>12545813.769999994</v>
          </cell>
          <cell r="L21">
            <v>17779343.579999976</v>
          </cell>
          <cell r="M21">
            <v>23833761.879999999</v>
          </cell>
          <cell r="N21">
            <v>24710578.350000013</v>
          </cell>
          <cell r="O21">
            <v>20865493.460000005</v>
          </cell>
          <cell r="P21">
            <v>15869906.45999999</v>
          </cell>
          <cell r="Q21">
            <v>14991036.530000001</v>
          </cell>
        </row>
        <row r="22">
          <cell r="B22" t="str">
            <v>Total Secondary Sales</v>
          </cell>
          <cell r="F22">
            <v>167412.63000000268</v>
          </cell>
          <cell r="G22">
            <v>1591.4700000006706</v>
          </cell>
          <cell r="H22">
            <v>17778.510000001639</v>
          </cell>
          <cell r="I22">
            <v>80803.780000003055</v>
          </cell>
          <cell r="J22">
            <v>112.3899999987334</v>
          </cell>
          <cell r="K22">
            <v>4034.2700000014156</v>
          </cell>
          <cell r="L22">
            <v>-1476.179999999702</v>
          </cell>
          <cell r="M22">
            <v>758.5599999986589</v>
          </cell>
          <cell r="N22">
            <v>306.94999999552965</v>
          </cell>
          <cell r="O22">
            <v>1265.9600000046194</v>
          </cell>
          <cell r="P22">
            <v>456.08999999798834</v>
          </cell>
          <cell r="Q22">
            <v>97.209999997168779</v>
          </cell>
        </row>
        <row r="24">
          <cell r="F24">
            <v>30118310.640000004</v>
          </cell>
          <cell r="G24">
            <v>25475376.260000002</v>
          </cell>
          <cell r="H24">
            <v>22233998.110000007</v>
          </cell>
          <cell r="I24">
            <v>28435427.000000004</v>
          </cell>
          <cell r="J24">
            <v>24488197.34</v>
          </cell>
          <cell r="K24">
            <v>21740413.449999996</v>
          </cell>
          <cell r="L24">
            <v>25734624.979999974</v>
          </cell>
          <cell r="M24">
            <v>33129473.679999996</v>
          </cell>
          <cell r="N24">
            <v>32534240.850000009</v>
          </cell>
          <cell r="O24">
            <v>35382761.610000007</v>
          </cell>
          <cell r="P24">
            <v>30109593.409999989</v>
          </cell>
          <cell r="Q24">
            <v>29255422.91</v>
          </cell>
        </row>
        <row r="28">
          <cell r="B28" t="str">
            <v>Long Term Firm Purchases</v>
          </cell>
        </row>
        <row r="29">
          <cell r="C29" t="str">
            <v>APS Supplemental p27875</v>
          </cell>
          <cell r="F29">
            <v>151454.5</v>
          </cell>
          <cell r="G29">
            <v>102406.5</v>
          </cell>
          <cell r="H29">
            <v>59091.5</v>
          </cell>
          <cell r="I29">
            <v>33552</v>
          </cell>
          <cell r="J29">
            <v>112919</v>
          </cell>
          <cell r="K29">
            <v>44196</v>
          </cell>
          <cell r="L29">
            <v>32498</v>
          </cell>
          <cell r="M29">
            <v>4137</v>
          </cell>
          <cell r="N29">
            <v>7593</v>
          </cell>
          <cell r="O29">
            <v>21411</v>
          </cell>
          <cell r="P29">
            <v>10788</v>
          </cell>
          <cell r="Q29">
            <v>35251.5</v>
          </cell>
        </row>
        <row r="30">
          <cell r="C30" t="str">
            <v>Blanding Purchase p379174</v>
          </cell>
          <cell r="F30">
            <v>4104.1499999999996</v>
          </cell>
          <cell r="G30">
            <v>3288</v>
          </cell>
          <cell r="H30">
            <v>2519.5500000000002</v>
          </cell>
          <cell r="I30">
            <v>2246.92</v>
          </cell>
          <cell r="J30">
            <v>2343.6</v>
          </cell>
          <cell r="K30">
            <v>1908.67</v>
          </cell>
          <cell r="L30">
            <v>2328.37</v>
          </cell>
          <cell r="M30">
            <v>2128.42</v>
          </cell>
          <cell r="N30">
            <v>1932.38</v>
          </cell>
          <cell r="O30">
            <v>1889.02</v>
          </cell>
          <cell r="P30">
            <v>3278.92</v>
          </cell>
          <cell r="Q30">
            <v>3500.85</v>
          </cell>
        </row>
        <row r="31">
          <cell r="C31" t="str">
            <v>BPA Reserve Purchase</v>
          </cell>
          <cell r="F31">
            <v>17504</v>
          </cell>
          <cell r="G31">
            <v>18244</v>
          </cell>
          <cell r="H31">
            <v>16131</v>
          </cell>
          <cell r="I31">
            <v>24116</v>
          </cell>
          <cell r="J31">
            <v>20577</v>
          </cell>
          <cell r="K31">
            <v>25770</v>
          </cell>
          <cell r="L31">
            <v>21374</v>
          </cell>
          <cell r="M31">
            <v>21297</v>
          </cell>
          <cell r="N31">
            <v>12132</v>
          </cell>
          <cell r="O31">
            <v>18886</v>
          </cell>
          <cell r="P31">
            <v>19193</v>
          </cell>
          <cell r="Q31">
            <v>11680</v>
          </cell>
        </row>
        <row r="32">
          <cell r="C32" t="str">
            <v>Chehalis Station Service</v>
          </cell>
          <cell r="F32">
            <v>27915.07</v>
          </cell>
          <cell r="G32">
            <v>8502.24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C33" t="str">
            <v xml:space="preserve">Combine Hills Wind p160595 </v>
          </cell>
          <cell r="F33">
            <v>441953.61</v>
          </cell>
          <cell r="G33">
            <v>407469.87</v>
          </cell>
          <cell r="H33">
            <v>516959.05</v>
          </cell>
          <cell r="I33">
            <v>536356.68999999994</v>
          </cell>
          <cell r="J33">
            <v>437976.65</v>
          </cell>
          <cell r="K33">
            <v>502415.18</v>
          </cell>
          <cell r="L33">
            <v>346583.15</v>
          </cell>
          <cell r="M33">
            <v>396770.14</v>
          </cell>
          <cell r="N33">
            <v>189688.9</v>
          </cell>
          <cell r="O33">
            <v>357031.16</v>
          </cell>
          <cell r="P33">
            <v>486623.67</v>
          </cell>
          <cell r="Q33">
            <v>194705.44</v>
          </cell>
        </row>
        <row r="34">
          <cell r="C34" t="str">
            <v>Deseret Purchase p194277</v>
          </cell>
          <cell r="F34">
            <v>2884672.0999999996</v>
          </cell>
          <cell r="G34">
            <v>2700075.44</v>
          </cell>
          <cell r="H34">
            <v>2833883.3099999996</v>
          </cell>
          <cell r="I34">
            <v>2756422.4699999997</v>
          </cell>
          <cell r="J34">
            <v>2429829.8199999998</v>
          </cell>
          <cell r="K34">
            <v>2586262.3000000003</v>
          </cell>
          <cell r="L34">
            <v>2735327.3099999996</v>
          </cell>
          <cell r="M34">
            <v>2806726.4</v>
          </cell>
          <cell r="N34">
            <v>2719268.12</v>
          </cell>
          <cell r="O34">
            <v>2818309.07</v>
          </cell>
          <cell r="P34">
            <v>2778655.31</v>
          </cell>
          <cell r="Q34">
            <v>2824967.7600000002</v>
          </cell>
        </row>
        <row r="35">
          <cell r="C35" t="str">
            <v>Douglas PUD Settlement p38185</v>
          </cell>
          <cell r="F35">
            <v>90300.78</v>
          </cell>
          <cell r="G35">
            <v>149967.92000000001</v>
          </cell>
          <cell r="H35">
            <v>183728.75</v>
          </cell>
          <cell r="I35">
            <v>237721.55</v>
          </cell>
          <cell r="J35">
            <v>255863.82</v>
          </cell>
          <cell r="K35">
            <v>218505.61</v>
          </cell>
          <cell r="L35">
            <v>286383.81</v>
          </cell>
          <cell r="M35">
            <v>214433.3</v>
          </cell>
          <cell r="N35">
            <v>-216198.66</v>
          </cell>
          <cell r="O35">
            <v>111479.95</v>
          </cell>
          <cell r="P35">
            <v>86568.18</v>
          </cell>
          <cell r="Q35">
            <v>80385.16</v>
          </cell>
        </row>
        <row r="36">
          <cell r="C36" t="str">
            <v>Gemstate p99489</v>
          </cell>
          <cell r="F36">
            <v>-23559.96000000001</v>
          </cell>
          <cell r="G36">
            <v>228100</v>
          </cell>
          <cell r="H36">
            <v>237100</v>
          </cell>
          <cell r="I36">
            <v>228100</v>
          </cell>
          <cell r="J36">
            <v>228100</v>
          </cell>
          <cell r="K36">
            <v>228100</v>
          </cell>
          <cell r="L36">
            <v>228100</v>
          </cell>
          <cell r="M36">
            <v>238400</v>
          </cell>
          <cell r="N36">
            <v>228100</v>
          </cell>
          <cell r="O36">
            <v>252700</v>
          </cell>
          <cell r="P36">
            <v>124142.00000000001</v>
          </cell>
          <cell r="Q36">
            <v>233400</v>
          </cell>
        </row>
        <row r="37">
          <cell r="C37" t="str">
            <v>Georgia-Pacific Camas</v>
          </cell>
          <cell r="F37">
            <v>815323.52</v>
          </cell>
          <cell r="G37">
            <v>774919.64</v>
          </cell>
          <cell r="H37">
            <v>322600.96000000002</v>
          </cell>
          <cell r="I37">
            <v>476182.96</v>
          </cell>
          <cell r="J37">
            <v>725852.16000000003</v>
          </cell>
          <cell r="K37">
            <v>654338.08000000007</v>
          </cell>
          <cell r="L37">
            <v>525407.96000000008</v>
          </cell>
          <cell r="M37">
            <v>423256.24000000005</v>
          </cell>
          <cell r="N37">
            <v>314803.72000000003</v>
          </cell>
          <cell r="O37">
            <v>586604.48</v>
          </cell>
          <cell r="P37">
            <v>678044.84000000008</v>
          </cell>
          <cell r="Q37">
            <v>751764.20000000007</v>
          </cell>
        </row>
        <row r="38">
          <cell r="C38" t="str">
            <v>Grant County 10 aMW p66274</v>
          </cell>
          <cell r="F38">
            <v>509922</v>
          </cell>
          <cell r="G38">
            <v>399786</v>
          </cell>
          <cell r="H38">
            <v>438824</v>
          </cell>
          <cell r="I38">
            <v>494811</v>
          </cell>
          <cell r="J38">
            <v>564299</v>
          </cell>
          <cell r="K38">
            <v>606347</v>
          </cell>
          <cell r="L38">
            <v>699536</v>
          </cell>
          <cell r="M38">
            <v>726661</v>
          </cell>
          <cell r="N38">
            <v>547138</v>
          </cell>
          <cell r="O38">
            <v>470649</v>
          </cell>
          <cell r="P38">
            <v>405652</v>
          </cell>
          <cell r="Q38">
            <v>503910</v>
          </cell>
        </row>
        <row r="39">
          <cell r="C39" t="str">
            <v>Hermiston Purchase p99563</v>
          </cell>
          <cell r="F39">
            <v>8319015.1499999994</v>
          </cell>
          <cell r="G39">
            <v>7789548.3899999997</v>
          </cell>
          <cell r="H39">
            <v>8116660.3400000008</v>
          </cell>
          <cell r="I39">
            <v>6123489.6799999997</v>
          </cell>
          <cell r="J39">
            <v>5774417.9299999988</v>
          </cell>
          <cell r="K39">
            <v>7168548.3899999997</v>
          </cell>
          <cell r="L39">
            <v>1308661.6300000001</v>
          </cell>
          <cell r="M39">
            <v>10100948</v>
          </cell>
          <cell r="N39">
            <v>12568055.759999998</v>
          </cell>
          <cell r="O39">
            <v>9612503.5700000003</v>
          </cell>
          <cell r="P39">
            <v>9306293.2200000007</v>
          </cell>
          <cell r="Q39">
            <v>9794740.5300000012</v>
          </cell>
        </row>
        <row r="40">
          <cell r="C40" t="str">
            <v>Hurricane Purchase p393045</v>
          </cell>
          <cell r="F40">
            <v>14175</v>
          </cell>
          <cell r="G40">
            <v>15997.5</v>
          </cell>
          <cell r="H40">
            <v>13567.5</v>
          </cell>
          <cell r="I40">
            <v>10462.5</v>
          </cell>
          <cell r="J40">
            <v>8235</v>
          </cell>
          <cell r="K40">
            <v>7695</v>
          </cell>
          <cell r="L40">
            <v>10327.5</v>
          </cell>
          <cell r="M40">
            <v>15255</v>
          </cell>
          <cell r="N40">
            <v>16470</v>
          </cell>
          <cell r="O40">
            <v>10665</v>
          </cell>
          <cell r="P40">
            <v>8032.5</v>
          </cell>
          <cell r="Q40">
            <v>10462.5</v>
          </cell>
        </row>
        <row r="41">
          <cell r="C41" t="str">
            <v>LADWP p491303-4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IPP Purchase</v>
          </cell>
          <cell r="F42">
            <v>2379698</v>
          </cell>
          <cell r="G42">
            <v>2475403</v>
          </cell>
          <cell r="H42">
            <v>2444625</v>
          </cell>
          <cell r="I42">
            <v>2310845</v>
          </cell>
          <cell r="J42">
            <v>2417215.12</v>
          </cell>
          <cell r="K42">
            <v>2575100</v>
          </cell>
          <cell r="L42">
            <v>2621740</v>
          </cell>
          <cell r="M42">
            <v>2621780</v>
          </cell>
          <cell r="N42">
            <v>196237.77</v>
          </cell>
          <cell r="O42">
            <v>2619071</v>
          </cell>
          <cell r="P42">
            <v>2542484</v>
          </cell>
          <cell r="Q42">
            <v>2555399</v>
          </cell>
        </row>
        <row r="43">
          <cell r="C43" t="str">
            <v>Kennecott Generation Incentive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43069.22</v>
          </cell>
          <cell r="L43">
            <v>1181351.1599999999</v>
          </cell>
          <cell r="M43">
            <v>1456443.09</v>
          </cell>
          <cell r="N43">
            <v>387090.28</v>
          </cell>
          <cell r="O43">
            <v>191744.48</v>
          </cell>
          <cell r="P43">
            <v>0</v>
          </cell>
          <cell r="Q43">
            <v>0</v>
          </cell>
        </row>
        <row r="44">
          <cell r="C44" t="str">
            <v>MagCorp Reserves p510378</v>
          </cell>
          <cell r="F44">
            <v>405176.29</v>
          </cell>
          <cell r="G44">
            <v>369339.39</v>
          </cell>
          <cell r="H44">
            <v>400888.03</v>
          </cell>
          <cell r="I44">
            <v>414000.98</v>
          </cell>
          <cell r="J44">
            <v>440119.15</v>
          </cell>
          <cell r="K44">
            <v>423195.27</v>
          </cell>
          <cell r="L44">
            <v>467954.1</v>
          </cell>
          <cell r="M44">
            <v>467625.98</v>
          </cell>
          <cell r="N44">
            <v>446701.3</v>
          </cell>
          <cell r="O44">
            <v>472665.15</v>
          </cell>
          <cell r="P44">
            <v>474028.09</v>
          </cell>
          <cell r="Q44">
            <v>481064.21</v>
          </cell>
        </row>
        <row r="45">
          <cell r="C45" t="str">
            <v>Morgan Stanley p272153-6-8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510000</v>
          </cell>
          <cell r="L45">
            <v>510000</v>
          </cell>
          <cell r="M45">
            <v>510000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Morgan Stanley p272154-7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540000</v>
          </cell>
          <cell r="L46">
            <v>540000</v>
          </cell>
          <cell r="M46">
            <v>540000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 t="str">
            <v>Nucor p346856</v>
          </cell>
          <cell r="F47">
            <v>416500</v>
          </cell>
          <cell r="G47">
            <v>416500</v>
          </cell>
          <cell r="H47">
            <v>416500</v>
          </cell>
          <cell r="I47">
            <v>416500</v>
          </cell>
          <cell r="J47">
            <v>416500</v>
          </cell>
          <cell r="K47">
            <v>416500</v>
          </cell>
          <cell r="L47">
            <v>416500</v>
          </cell>
          <cell r="M47">
            <v>416500</v>
          </cell>
          <cell r="N47">
            <v>416500</v>
          </cell>
          <cell r="O47">
            <v>416500</v>
          </cell>
          <cell r="P47">
            <v>416500</v>
          </cell>
          <cell r="Q47">
            <v>416500</v>
          </cell>
        </row>
        <row r="48">
          <cell r="C48" t="str">
            <v>P4 Production p137215/p145258</v>
          </cell>
          <cell r="F48">
            <v>1466279.92</v>
          </cell>
          <cell r="G48">
            <v>1451352.56</v>
          </cell>
          <cell r="H48">
            <v>1415880</v>
          </cell>
          <cell r="I48">
            <v>1449425.5299999998</v>
          </cell>
          <cell r="J48">
            <v>1415879.98</v>
          </cell>
          <cell r="K48">
            <v>1415880.0099999998</v>
          </cell>
          <cell r="L48">
            <v>1415880</v>
          </cell>
          <cell r="M48">
            <v>1415880</v>
          </cell>
          <cell r="N48">
            <v>1415880</v>
          </cell>
          <cell r="O48">
            <v>1415880</v>
          </cell>
          <cell r="P48">
            <v>1415880</v>
          </cell>
          <cell r="Q48">
            <v>1415880</v>
          </cell>
        </row>
        <row r="49">
          <cell r="C49" t="str">
            <v>PGE Cove p83984</v>
          </cell>
          <cell r="F49">
            <v>10000</v>
          </cell>
          <cell r="G49">
            <v>10000</v>
          </cell>
          <cell r="H49">
            <v>10000</v>
          </cell>
          <cell r="I49">
            <v>37747.519999999997</v>
          </cell>
          <cell r="J49">
            <v>35000</v>
          </cell>
          <cell r="K49">
            <v>35000</v>
          </cell>
          <cell r="L49">
            <v>35000</v>
          </cell>
          <cell r="M49">
            <v>35000</v>
          </cell>
          <cell r="N49">
            <v>35000</v>
          </cell>
          <cell r="O49">
            <v>35000</v>
          </cell>
          <cell r="P49">
            <v>35000</v>
          </cell>
          <cell r="Q49">
            <v>35000</v>
          </cell>
        </row>
        <row r="50">
          <cell r="C50" t="str">
            <v>Rock River Wind p100371</v>
          </cell>
          <cell r="F50">
            <v>676773.9</v>
          </cell>
          <cell r="G50">
            <v>346401.88</v>
          </cell>
          <cell r="H50">
            <v>617770.66</v>
          </cell>
          <cell r="I50">
            <v>569375.93999999994</v>
          </cell>
          <cell r="J50">
            <v>422644.86</v>
          </cell>
          <cell r="K50">
            <v>263687.36</v>
          </cell>
          <cell r="L50">
            <v>187880.79</v>
          </cell>
          <cell r="M50">
            <v>221689.68</v>
          </cell>
          <cell r="N50">
            <v>263314.82</v>
          </cell>
          <cell r="O50">
            <v>558891.6</v>
          </cell>
          <cell r="P50">
            <v>368885.56</v>
          </cell>
          <cell r="Q50">
            <v>330762.3</v>
          </cell>
        </row>
        <row r="51">
          <cell r="C51" t="str">
            <v>Roseburg Forest Products p312292</v>
          </cell>
          <cell r="F51">
            <v>835033.3</v>
          </cell>
          <cell r="G51">
            <v>694153.15</v>
          </cell>
          <cell r="H51">
            <v>756574.86</v>
          </cell>
          <cell r="I51">
            <v>733193.91</v>
          </cell>
          <cell r="J51">
            <v>796744.1</v>
          </cell>
          <cell r="K51">
            <v>817013.79</v>
          </cell>
          <cell r="L51">
            <v>769036.39</v>
          </cell>
          <cell r="M51">
            <v>39864.559999999998</v>
          </cell>
          <cell r="N51">
            <v>41021.57</v>
          </cell>
          <cell r="O51">
            <v>0</v>
          </cell>
          <cell r="P51">
            <v>7882.61</v>
          </cell>
          <cell r="Q51">
            <v>1301.47</v>
          </cell>
        </row>
        <row r="52">
          <cell r="C52" t="str">
            <v>Small Purchases east</v>
          </cell>
          <cell r="F52">
            <v>71306.06</v>
          </cell>
          <cell r="G52">
            <v>63985.24</v>
          </cell>
          <cell r="H52">
            <v>64817.120000000003</v>
          </cell>
          <cell r="I52">
            <v>55286.920000000006</v>
          </cell>
          <cell r="J52">
            <v>50332.01</v>
          </cell>
          <cell r="K52">
            <v>40632.620000000003</v>
          </cell>
          <cell r="L52">
            <v>4798.46</v>
          </cell>
          <cell r="M52">
            <v>4629.47</v>
          </cell>
          <cell r="N52">
            <v>6582.2899999999991</v>
          </cell>
          <cell r="O52">
            <v>5303.7000000000007</v>
          </cell>
          <cell r="P52">
            <v>13666.640000000001</v>
          </cell>
          <cell r="Q52">
            <v>10834.07</v>
          </cell>
        </row>
        <row r="53">
          <cell r="C53" t="str">
            <v>Small Purchases west</v>
          </cell>
          <cell r="F53">
            <v>9.84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0.28999999999999998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Three Buttes Wind p460457</v>
          </cell>
          <cell r="F54">
            <v>2758935.3</v>
          </cell>
          <cell r="G54">
            <v>2403173.7400000002</v>
          </cell>
          <cell r="H54">
            <v>2287415.02</v>
          </cell>
          <cell r="I54">
            <v>1844151.76</v>
          </cell>
          <cell r="J54">
            <v>1748285.88</v>
          </cell>
          <cell r="K54">
            <v>1451603.12</v>
          </cell>
          <cell r="L54">
            <v>1138013.3600000001</v>
          </cell>
          <cell r="M54">
            <v>1195446.1200000001</v>
          </cell>
          <cell r="N54">
            <v>961147</v>
          </cell>
          <cell r="O54">
            <v>1671432.4</v>
          </cell>
          <cell r="P54">
            <v>2730802.69</v>
          </cell>
          <cell r="Q54">
            <v>2711870.04</v>
          </cell>
        </row>
        <row r="55">
          <cell r="C55" t="str">
            <v>Tri-State Purchase p27057</v>
          </cell>
          <cell r="F55">
            <v>801124.98</v>
          </cell>
          <cell r="G55">
            <v>763446.66</v>
          </cell>
          <cell r="H55">
            <v>795940.56</v>
          </cell>
          <cell r="I55">
            <v>811153.06</v>
          </cell>
          <cell r="J55">
            <v>714815.34</v>
          </cell>
          <cell r="K55">
            <v>773766.82000000007</v>
          </cell>
          <cell r="L55">
            <v>771649.24</v>
          </cell>
          <cell r="M55">
            <v>793749.96</v>
          </cell>
          <cell r="N55">
            <v>718393.32000000007</v>
          </cell>
          <cell r="O55">
            <v>749962.3</v>
          </cell>
          <cell r="P55">
            <v>720778.64</v>
          </cell>
          <cell r="Q55">
            <v>835614.76</v>
          </cell>
        </row>
        <row r="56">
          <cell r="C56" t="str">
            <v>Top of the World Wind p522807</v>
          </cell>
          <cell r="F56">
            <v>5081993.4000000004</v>
          </cell>
          <cell r="G56">
            <v>4481228.4000000004</v>
          </cell>
          <cell r="H56">
            <v>4636374.5999999996</v>
          </cell>
          <cell r="I56">
            <v>3918763.2</v>
          </cell>
          <cell r="J56">
            <v>3620086.8</v>
          </cell>
          <cell r="K56">
            <v>3035544.6</v>
          </cell>
          <cell r="L56">
            <v>2375736</v>
          </cell>
          <cell r="M56">
            <v>2575940.4</v>
          </cell>
          <cell r="N56">
            <v>2071139.4</v>
          </cell>
          <cell r="O56">
            <v>3275995.8</v>
          </cell>
          <cell r="P56">
            <v>5406865.2000000002</v>
          </cell>
          <cell r="Q56">
            <v>4759920</v>
          </cell>
        </row>
        <row r="57">
          <cell r="C57" t="str">
            <v>West Valley Toll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1105459.42</v>
          </cell>
          <cell r="N57">
            <v>1225484.6000000001</v>
          </cell>
          <cell r="O57">
            <v>730874.45</v>
          </cell>
          <cell r="P57">
            <v>1332749.9100000001</v>
          </cell>
          <cell r="Q57">
            <v>1258390.8500000001</v>
          </cell>
        </row>
        <row r="58">
          <cell r="C58" t="str">
            <v>Wolverine Creek Wind p244520</v>
          </cell>
          <cell r="F58">
            <v>652624.56999999995</v>
          </cell>
          <cell r="G58">
            <v>1007292.27</v>
          </cell>
          <cell r="H58">
            <v>1383099.5</v>
          </cell>
          <cell r="I58">
            <v>1176818.8600000001</v>
          </cell>
          <cell r="J58">
            <v>1005936.08</v>
          </cell>
          <cell r="K58">
            <v>1011651.89</v>
          </cell>
          <cell r="L58">
            <v>891312.1</v>
          </cell>
          <cell r="M58">
            <v>611931.85</v>
          </cell>
          <cell r="N58">
            <v>492278.79</v>
          </cell>
          <cell r="O58">
            <v>1019606.5</v>
          </cell>
          <cell r="P58">
            <v>1180487.8700000001</v>
          </cell>
          <cell r="Q58">
            <v>610553.96</v>
          </cell>
        </row>
        <row r="60">
          <cell r="B60" t="str">
            <v>Sub Total Long Term Firm Purchases</v>
          </cell>
          <cell r="F60">
            <v>28808235.479999997</v>
          </cell>
          <cell r="G60">
            <v>27080581.789999995</v>
          </cell>
          <cell r="H60">
            <v>27970951.310000002</v>
          </cell>
          <cell r="I60">
            <v>24660724.449999999</v>
          </cell>
          <cell r="J60">
            <v>23643973.299999997</v>
          </cell>
          <cell r="K60">
            <v>25396730.930000003</v>
          </cell>
          <cell r="L60">
            <v>19523379.330000002</v>
          </cell>
          <cell r="M60">
            <v>28961953.030000001</v>
          </cell>
          <cell r="N60">
            <v>25065754.649999999</v>
          </cell>
          <cell r="O60">
            <v>27425055.629999999</v>
          </cell>
          <cell r="P60">
            <v>30553282.850000001</v>
          </cell>
          <cell r="Q60">
            <v>29867858.600000005</v>
          </cell>
        </row>
        <row r="62">
          <cell r="B62" t="str">
            <v>Seasonal Purchased Power</v>
          </cell>
        </row>
        <row r="64">
          <cell r="B64" t="str">
            <v>Sub Total Seasonal Purchased Power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6">
          <cell r="B66" t="str">
            <v>Qualifying Facilities</v>
          </cell>
        </row>
        <row r="67">
          <cell r="C67" t="str">
            <v>QF California</v>
          </cell>
          <cell r="F67">
            <v>601086.78999999992</v>
          </cell>
          <cell r="G67">
            <v>459981.81</v>
          </cell>
          <cell r="H67">
            <v>809136.37999999989</v>
          </cell>
          <cell r="I67">
            <v>1124681.2699999998</v>
          </cell>
          <cell r="J67">
            <v>1146291.46</v>
          </cell>
          <cell r="K67">
            <v>1192703.58</v>
          </cell>
          <cell r="L67">
            <v>497929.37</v>
          </cell>
          <cell r="M67">
            <v>288775.66000000003</v>
          </cell>
          <cell r="N67">
            <v>245812.19</v>
          </cell>
          <cell r="O67">
            <v>261447.63</v>
          </cell>
          <cell r="P67">
            <v>256559.38999999998</v>
          </cell>
          <cell r="Q67">
            <v>223799.92</v>
          </cell>
        </row>
        <row r="68">
          <cell r="C68" t="str">
            <v>QF Idaho</v>
          </cell>
          <cell r="F68">
            <v>270042.7</v>
          </cell>
          <cell r="G68">
            <v>242410.16000000003</v>
          </cell>
          <cell r="H68">
            <v>292161.17000000004</v>
          </cell>
          <cell r="I68">
            <v>344024.92</v>
          </cell>
          <cell r="J68">
            <v>443707.63999999996</v>
          </cell>
          <cell r="K68">
            <v>608736.1</v>
          </cell>
          <cell r="L68">
            <v>624279.06000000006</v>
          </cell>
          <cell r="M68">
            <v>610962.67999999993</v>
          </cell>
          <cell r="N68">
            <v>539871.84000000008</v>
          </cell>
          <cell r="O68">
            <v>544500.79999999993</v>
          </cell>
          <cell r="P68">
            <v>470887.20999999996</v>
          </cell>
          <cell r="Q68">
            <v>366756.17</v>
          </cell>
        </row>
        <row r="69">
          <cell r="C69" t="str">
            <v>QF Oregon</v>
          </cell>
          <cell r="F69">
            <v>1876448.5899999999</v>
          </cell>
          <cell r="G69">
            <v>1107681.6400000004</v>
          </cell>
          <cell r="H69">
            <v>1616074.4300000002</v>
          </cell>
          <cell r="I69">
            <v>2173928.8899999997</v>
          </cell>
          <cell r="J69">
            <v>2214425.67</v>
          </cell>
          <cell r="K69">
            <v>2099713.92</v>
          </cell>
          <cell r="L69">
            <v>1583095.4400000002</v>
          </cell>
          <cell r="M69">
            <v>1408250.37</v>
          </cell>
          <cell r="N69">
            <v>1357862.2700000003</v>
          </cell>
          <cell r="O69">
            <v>1149904.8000000003</v>
          </cell>
          <cell r="P69">
            <v>1422158.46</v>
          </cell>
          <cell r="Q69">
            <v>1602237.46</v>
          </cell>
        </row>
        <row r="70">
          <cell r="C70" t="str">
            <v>QF Utah</v>
          </cell>
          <cell r="F70">
            <v>104751.82</v>
          </cell>
          <cell r="G70">
            <v>89184.75</v>
          </cell>
          <cell r="H70">
            <v>123297.8</v>
          </cell>
          <cell r="I70">
            <v>121119.07</v>
          </cell>
          <cell r="J70">
            <v>122382.3</v>
          </cell>
          <cell r="K70">
            <v>113464.75</v>
          </cell>
          <cell r="L70">
            <v>111981.69</v>
          </cell>
          <cell r="M70">
            <v>116033.60000000001</v>
          </cell>
          <cell r="N70">
            <v>127230.82999999999</v>
          </cell>
          <cell r="O70">
            <v>148381.91</v>
          </cell>
          <cell r="P70">
            <v>131947.19999999998</v>
          </cell>
          <cell r="Q70">
            <v>86855.749999999985</v>
          </cell>
        </row>
        <row r="71">
          <cell r="C71" t="str">
            <v>QF Washington</v>
          </cell>
          <cell r="F71">
            <v>207880.4</v>
          </cell>
          <cell r="G71">
            <v>172016.02</v>
          </cell>
          <cell r="H71">
            <v>222501.92999999996</v>
          </cell>
          <cell r="I71">
            <v>209260.15999999997</v>
          </cell>
          <cell r="J71">
            <v>205610.24000000002</v>
          </cell>
          <cell r="K71">
            <v>234688.8</v>
          </cell>
          <cell r="L71">
            <v>317283.56000000006</v>
          </cell>
          <cell r="M71">
            <v>327824.77</v>
          </cell>
          <cell r="N71">
            <v>311666.97000000003</v>
          </cell>
          <cell r="O71">
            <v>196929.64</v>
          </cell>
          <cell r="P71">
            <v>170989</v>
          </cell>
          <cell r="Q71">
            <v>181683.88</v>
          </cell>
        </row>
        <row r="72">
          <cell r="C72" t="str">
            <v>QF Wyoming</v>
          </cell>
          <cell r="F72">
            <v>17651.48</v>
          </cell>
          <cell r="G72">
            <v>16055.59</v>
          </cell>
          <cell r="H72">
            <v>17701.88</v>
          </cell>
          <cell r="I72">
            <v>28137.279999999999</v>
          </cell>
          <cell r="J72">
            <v>114207.64000000001</v>
          </cell>
          <cell r="K72">
            <v>114671.19</v>
          </cell>
          <cell r="L72">
            <v>126444.18000000001</v>
          </cell>
          <cell r="M72">
            <v>127527.39</v>
          </cell>
          <cell r="N72">
            <v>120679.59</v>
          </cell>
          <cell r="O72">
            <v>54613.15</v>
          </cell>
          <cell r="P72">
            <v>17086.3</v>
          </cell>
          <cell r="Q72">
            <v>17162.489999999998</v>
          </cell>
        </row>
        <row r="73">
          <cell r="C73" t="str">
            <v>Biomass p234159 QF</v>
          </cell>
          <cell r="F73">
            <v>2549574.71</v>
          </cell>
          <cell r="G73">
            <v>2555913.21</v>
          </cell>
          <cell r="H73">
            <v>2556161.9</v>
          </cell>
          <cell r="I73">
            <v>2097598.35</v>
          </cell>
          <cell r="J73">
            <v>2097598.35</v>
          </cell>
          <cell r="K73">
            <v>2097598.35</v>
          </cell>
          <cell r="L73">
            <v>2033278.35</v>
          </cell>
          <cell r="M73">
            <v>2431154.8199999998</v>
          </cell>
          <cell r="N73">
            <v>2535967.48</v>
          </cell>
          <cell r="O73">
            <v>2031978.98</v>
          </cell>
          <cell r="P73">
            <v>1821412.41</v>
          </cell>
          <cell r="Q73">
            <v>1297750.48</v>
          </cell>
        </row>
        <row r="74">
          <cell r="C74" t="str">
            <v>Chevron Wind p499335 QF</v>
          </cell>
          <cell r="F74">
            <v>292543.37</v>
          </cell>
          <cell r="G74">
            <v>320124.15000000002</v>
          </cell>
          <cell r="H74">
            <v>338866.51</v>
          </cell>
          <cell r="I74">
            <v>185613.94</v>
          </cell>
          <cell r="J74">
            <v>168190.95</v>
          </cell>
          <cell r="K74">
            <v>163836.31</v>
          </cell>
          <cell r="L74">
            <v>196628.29</v>
          </cell>
          <cell r="M74">
            <v>180200.35</v>
          </cell>
          <cell r="N74">
            <v>118788.72</v>
          </cell>
          <cell r="O74">
            <v>199120.37</v>
          </cell>
          <cell r="P74">
            <v>318824.51</v>
          </cell>
          <cell r="Q74">
            <v>241612.7</v>
          </cell>
        </row>
        <row r="75">
          <cell r="C75" t="str">
            <v>DCFP p316701 QF</v>
          </cell>
          <cell r="F75">
            <v>1726</v>
          </cell>
          <cell r="G75">
            <v>0</v>
          </cell>
          <cell r="H75">
            <v>1419.56</v>
          </cell>
          <cell r="I75">
            <v>2624.21</v>
          </cell>
          <cell r="J75">
            <v>6348.47</v>
          </cell>
          <cell r="K75">
            <v>2831.24</v>
          </cell>
          <cell r="L75">
            <v>2096.19</v>
          </cell>
          <cell r="M75">
            <v>783.26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C76" t="str">
            <v>Evergreen BioPower p351030 QF</v>
          </cell>
          <cell r="F76">
            <v>176880.7</v>
          </cell>
          <cell r="G76">
            <v>197241.84</v>
          </cell>
          <cell r="H76">
            <v>174566.48</v>
          </cell>
          <cell r="I76">
            <v>169830.86</v>
          </cell>
          <cell r="J76">
            <v>207450.39</v>
          </cell>
          <cell r="K76">
            <v>227287.9</v>
          </cell>
          <cell r="L76">
            <v>248233.45</v>
          </cell>
          <cell r="M76">
            <v>140346.14000000001</v>
          </cell>
          <cell r="N76">
            <v>201752.87</v>
          </cell>
          <cell r="O76">
            <v>231812.53</v>
          </cell>
          <cell r="P76">
            <v>187813.35</v>
          </cell>
          <cell r="Q76">
            <v>214563.65</v>
          </cell>
        </row>
        <row r="77">
          <cell r="C77" t="str">
            <v>ExxonMobil p255042 QF</v>
          </cell>
          <cell r="F77">
            <v>4396661.8</v>
          </cell>
          <cell r="G77">
            <v>3887037.29</v>
          </cell>
          <cell r="H77">
            <v>3537609.76</v>
          </cell>
          <cell r="I77">
            <v>1720130.62</v>
          </cell>
          <cell r="J77">
            <v>1420755.84</v>
          </cell>
          <cell r="K77">
            <v>1427608.44</v>
          </cell>
          <cell r="L77">
            <v>2348640.5299999998</v>
          </cell>
          <cell r="M77">
            <v>57808.13</v>
          </cell>
          <cell r="N77">
            <v>1835657.91</v>
          </cell>
          <cell r="O77">
            <v>2093342.46</v>
          </cell>
          <cell r="P77">
            <v>2543380.4900000002</v>
          </cell>
          <cell r="Q77">
            <v>3950426.62</v>
          </cell>
        </row>
        <row r="78">
          <cell r="C78" t="str">
            <v>Kennecott Smelter QF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535269.31000000006</v>
          </cell>
          <cell r="M78">
            <v>362644.52</v>
          </cell>
          <cell r="N78">
            <v>477565.45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Mountain Wind 1 p367721 QF</v>
          </cell>
          <cell r="F79">
            <v>1647046.48</v>
          </cell>
          <cell r="G79">
            <v>1221909.72</v>
          </cell>
          <cell r="H79">
            <v>967499.88</v>
          </cell>
          <cell r="I79">
            <v>955533.97</v>
          </cell>
          <cell r="J79">
            <v>689752.15</v>
          </cell>
          <cell r="K79">
            <v>562410.86</v>
          </cell>
          <cell r="L79">
            <v>401781.91</v>
          </cell>
          <cell r="M79">
            <v>589772.49</v>
          </cell>
          <cell r="N79">
            <v>372744.24</v>
          </cell>
          <cell r="O79">
            <v>896865.33</v>
          </cell>
          <cell r="P79">
            <v>887016.34</v>
          </cell>
          <cell r="Q79">
            <v>1175233.57</v>
          </cell>
        </row>
        <row r="80">
          <cell r="C80" t="str">
            <v>Mountain Wind 2 p398449 QF</v>
          </cell>
          <cell r="F80">
            <v>2269998.4300000002</v>
          </cell>
          <cell r="G80">
            <v>1704222.78</v>
          </cell>
          <cell r="H80">
            <v>1433058.88</v>
          </cell>
          <cell r="I80">
            <v>1313594</v>
          </cell>
          <cell r="J80">
            <v>1065715.1200000001</v>
          </cell>
          <cell r="K80">
            <v>988495.6</v>
          </cell>
          <cell r="L80">
            <v>735250.16</v>
          </cell>
          <cell r="M80">
            <v>976627.21</v>
          </cell>
          <cell r="N80">
            <v>582362.4</v>
          </cell>
          <cell r="O80">
            <v>1272966.49</v>
          </cell>
          <cell r="P80">
            <v>1389201.46</v>
          </cell>
          <cell r="Q80">
            <v>1707628.24</v>
          </cell>
        </row>
        <row r="81">
          <cell r="C81" t="str">
            <v>Oregon Wind Farm QF</v>
          </cell>
          <cell r="F81">
            <v>723131.41</v>
          </cell>
          <cell r="G81">
            <v>783621.21</v>
          </cell>
          <cell r="H81">
            <v>822954.41000000015</v>
          </cell>
          <cell r="I81">
            <v>1274457.4500000002</v>
          </cell>
          <cell r="J81">
            <v>1185360.29</v>
          </cell>
          <cell r="K81">
            <v>1444331.72</v>
          </cell>
          <cell r="L81">
            <v>999842.2</v>
          </cell>
          <cell r="M81">
            <v>928128.31</v>
          </cell>
          <cell r="N81">
            <v>567217.64</v>
          </cell>
          <cell r="O81">
            <v>822131.86</v>
          </cell>
          <cell r="P81">
            <v>924702.03999999992</v>
          </cell>
          <cell r="Q81">
            <v>396793.18</v>
          </cell>
        </row>
        <row r="82">
          <cell r="C82" t="str">
            <v>Power County North Wind QF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147459.93</v>
          </cell>
        </row>
        <row r="83">
          <cell r="C83" t="str">
            <v>Power County South Wind QF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156692.62</v>
          </cell>
        </row>
        <row r="84">
          <cell r="C84" t="str">
            <v>SF Phosphates</v>
          </cell>
          <cell r="F84">
            <v>348107.35</v>
          </cell>
          <cell r="G84">
            <v>243683.8</v>
          </cell>
          <cell r="H84">
            <v>283363.38</v>
          </cell>
          <cell r="I84">
            <v>254665.08</v>
          </cell>
          <cell r="J84">
            <v>380020.75</v>
          </cell>
          <cell r="K84">
            <v>161912.73000000001</v>
          </cell>
          <cell r="L84">
            <v>389482.4</v>
          </cell>
          <cell r="M84">
            <v>350639.28</v>
          </cell>
          <cell r="N84">
            <v>378512</v>
          </cell>
          <cell r="O84">
            <v>208703.08</v>
          </cell>
          <cell r="P84">
            <v>335189.94</v>
          </cell>
          <cell r="Q84">
            <v>287155.48</v>
          </cell>
        </row>
        <row r="85">
          <cell r="C85" t="str">
            <v>Spanish Fork Wind 2 p311681 QF</v>
          </cell>
          <cell r="F85">
            <v>207302.88</v>
          </cell>
          <cell r="G85">
            <v>160589.26</v>
          </cell>
          <cell r="H85">
            <v>171540.28</v>
          </cell>
          <cell r="I85">
            <v>91029.61</v>
          </cell>
          <cell r="J85">
            <v>126453</v>
          </cell>
          <cell r="K85">
            <v>168122.2</v>
          </cell>
          <cell r="L85">
            <v>303400.01</v>
          </cell>
          <cell r="M85">
            <v>377980.71</v>
          </cell>
          <cell r="N85">
            <v>288911.76</v>
          </cell>
          <cell r="O85">
            <v>218036.6</v>
          </cell>
          <cell r="P85">
            <v>201716.21</v>
          </cell>
          <cell r="Q85">
            <v>108944.51</v>
          </cell>
        </row>
        <row r="86">
          <cell r="C86" t="str">
            <v>Sunnyside p83997/p59965 QF</v>
          </cell>
          <cell r="F86">
            <v>2199450.9700000002</v>
          </cell>
          <cell r="G86">
            <v>2174340.15</v>
          </cell>
          <cell r="H86">
            <v>2251739.7599999998</v>
          </cell>
          <cell r="I86">
            <v>1432025.9100000001</v>
          </cell>
          <cell r="J86">
            <v>2325561.13</v>
          </cell>
          <cell r="K86">
            <v>2282943.79</v>
          </cell>
          <cell r="L86">
            <v>2328902.6</v>
          </cell>
          <cell r="M86">
            <v>2319132.06</v>
          </cell>
          <cell r="N86">
            <v>2279758.2000000002</v>
          </cell>
          <cell r="O86">
            <v>1936962.21</v>
          </cell>
          <cell r="P86">
            <v>2303123.1100000003</v>
          </cell>
          <cell r="Q86">
            <v>2334538.6100000003</v>
          </cell>
        </row>
        <row r="87">
          <cell r="C87" t="str">
            <v>Tesoro QF</v>
          </cell>
          <cell r="F87">
            <v>223989.73</v>
          </cell>
          <cell r="G87">
            <v>157768.98000000001</v>
          </cell>
          <cell r="H87">
            <v>108996.21</v>
          </cell>
          <cell r="I87">
            <v>42323.62</v>
          </cell>
          <cell r="J87">
            <v>55976.74</v>
          </cell>
          <cell r="K87">
            <v>36843.629999999997</v>
          </cell>
          <cell r="L87">
            <v>108341.91</v>
          </cell>
          <cell r="M87">
            <v>111243.4</v>
          </cell>
          <cell r="N87">
            <v>71346.13</v>
          </cell>
          <cell r="O87">
            <v>116282.7</v>
          </cell>
          <cell r="P87">
            <v>102671.44</v>
          </cell>
          <cell r="Q87">
            <v>123333.39</v>
          </cell>
        </row>
        <row r="88">
          <cell r="C88" t="str">
            <v>Threemile Canyon Wind QF p500139</v>
          </cell>
          <cell r="F88">
            <v>101976.19999999998</v>
          </cell>
          <cell r="G88">
            <v>117753.8</v>
          </cell>
          <cell r="H88">
            <v>96477.19</v>
          </cell>
          <cell r="I88">
            <v>186901.43</v>
          </cell>
          <cell r="J88">
            <v>184254.57</v>
          </cell>
          <cell r="K88">
            <v>223462.57</v>
          </cell>
          <cell r="L88">
            <v>154798.82</v>
          </cell>
          <cell r="M88">
            <v>188240.13</v>
          </cell>
          <cell r="N88">
            <v>80170.66</v>
          </cell>
          <cell r="O88">
            <v>111868.31</v>
          </cell>
          <cell r="P88">
            <v>112104.25</v>
          </cell>
          <cell r="Q88">
            <v>46832.34</v>
          </cell>
        </row>
        <row r="89">
          <cell r="C89" t="str">
            <v>US Magnesium QF</v>
          </cell>
          <cell r="F89">
            <v>630881.49</v>
          </cell>
          <cell r="G89">
            <v>488829.87</v>
          </cell>
          <cell r="H89">
            <v>474938.79</v>
          </cell>
          <cell r="I89">
            <v>445046.29</v>
          </cell>
          <cell r="J89">
            <v>396616.44</v>
          </cell>
          <cell r="K89">
            <v>318857.71999999997</v>
          </cell>
          <cell r="L89">
            <v>526688.80000000005</v>
          </cell>
          <cell r="M89">
            <v>558527.9</v>
          </cell>
          <cell r="N89">
            <v>479670.12</v>
          </cell>
          <cell r="O89">
            <v>549428.54</v>
          </cell>
          <cell r="P89">
            <v>648954.09</v>
          </cell>
          <cell r="Q89">
            <v>715351.42</v>
          </cell>
        </row>
        <row r="91">
          <cell r="B91" t="str">
            <v>Total Qualifying Facilities</v>
          </cell>
          <cell r="F91">
            <v>18847133.299999997</v>
          </cell>
          <cell r="G91">
            <v>16100366.030000003</v>
          </cell>
          <cell r="H91">
            <v>16300066.580000002</v>
          </cell>
          <cell r="I91">
            <v>14172526.93</v>
          </cell>
          <cell r="J91">
            <v>14556679.139999997</v>
          </cell>
          <cell r="K91">
            <v>14470521.400000002</v>
          </cell>
          <cell r="L91">
            <v>14573648.230000002</v>
          </cell>
          <cell r="M91">
            <v>12452603.180000002</v>
          </cell>
          <cell r="N91">
            <v>12973549.27</v>
          </cell>
          <cell r="O91">
            <v>13045277.390000001</v>
          </cell>
          <cell r="P91">
            <v>14245737.199999997</v>
          </cell>
          <cell r="Q91">
            <v>15382812.409999998</v>
          </cell>
        </row>
        <row r="93">
          <cell r="B93" t="str">
            <v>Mid-Columbia Contracts</v>
          </cell>
        </row>
        <row r="94">
          <cell r="C94" t="str">
            <v>Chelan - Rocky Reach p60827</v>
          </cell>
          <cell r="F94">
            <v>286471.48</v>
          </cell>
          <cell r="G94">
            <v>249274.94</v>
          </cell>
          <cell r="H94">
            <v>222442.91</v>
          </cell>
          <cell r="I94">
            <v>281308.63</v>
          </cell>
          <cell r="J94">
            <v>247366.85</v>
          </cell>
          <cell r="K94">
            <v>796405.31</v>
          </cell>
          <cell r="L94">
            <v>251674.11</v>
          </cell>
          <cell r="M94">
            <v>229826.37</v>
          </cell>
          <cell r="N94">
            <v>318017.61</v>
          </cell>
          <cell r="O94">
            <v>531809.49</v>
          </cell>
          <cell r="P94">
            <v>80717.52</v>
          </cell>
          <cell r="Q94">
            <v>0</v>
          </cell>
        </row>
        <row r="95">
          <cell r="C95" t="str">
            <v>Douglas - Wells p60828</v>
          </cell>
          <cell r="F95">
            <v>289740</v>
          </cell>
          <cell r="G95">
            <v>289740</v>
          </cell>
          <cell r="H95">
            <v>289740</v>
          </cell>
          <cell r="I95">
            <v>289740</v>
          </cell>
          <cell r="J95">
            <v>289740</v>
          </cell>
          <cell r="K95">
            <v>289740</v>
          </cell>
          <cell r="L95">
            <v>289740</v>
          </cell>
          <cell r="M95">
            <v>289740</v>
          </cell>
          <cell r="N95">
            <v>296144</v>
          </cell>
          <cell r="O95">
            <v>296144</v>
          </cell>
          <cell r="P95">
            <v>296144</v>
          </cell>
          <cell r="Q95">
            <v>-58411</v>
          </cell>
        </row>
        <row r="96">
          <cell r="C96" t="str">
            <v>Grant Displacement p270294</v>
          </cell>
          <cell r="F96">
            <v>940334.74</v>
          </cell>
          <cell r="G96">
            <v>891455</v>
          </cell>
          <cell r="H96">
            <v>919503.17</v>
          </cell>
          <cell r="I96">
            <v>1186692.22</v>
          </cell>
          <cell r="J96">
            <v>1237191.8999999999</v>
          </cell>
          <cell r="K96">
            <v>1037022.25</v>
          </cell>
          <cell r="L96">
            <v>1210855.17</v>
          </cell>
          <cell r="M96">
            <v>1039239.12</v>
          </cell>
          <cell r="N96">
            <v>1025620.21</v>
          </cell>
          <cell r="O96">
            <v>0</v>
          </cell>
          <cell r="P96">
            <v>0</v>
          </cell>
          <cell r="Q96">
            <v>0</v>
          </cell>
        </row>
        <row r="97">
          <cell r="C97" t="str">
            <v>Grant Surplus p258951</v>
          </cell>
          <cell r="F97">
            <v>170715.42</v>
          </cell>
          <cell r="G97">
            <v>170715.42</v>
          </cell>
          <cell r="H97">
            <v>170715.42</v>
          </cell>
          <cell r="I97">
            <v>170715.42</v>
          </cell>
          <cell r="J97">
            <v>170715.42</v>
          </cell>
          <cell r="K97">
            <v>170715.42</v>
          </cell>
          <cell r="L97">
            <v>170715.42</v>
          </cell>
          <cell r="M97">
            <v>170715.42</v>
          </cell>
          <cell r="N97">
            <v>170715.42</v>
          </cell>
          <cell r="O97">
            <v>170715.42</v>
          </cell>
          <cell r="P97">
            <v>170715.42</v>
          </cell>
          <cell r="Q97">
            <v>170715.42</v>
          </cell>
        </row>
        <row r="98">
          <cell r="C98" t="str">
            <v>Grant Reasonable</v>
          </cell>
          <cell r="F98">
            <v>-703534.81</v>
          </cell>
          <cell r="G98">
            <v>-703534.81</v>
          </cell>
          <cell r="H98">
            <v>-703534.81</v>
          </cell>
          <cell r="I98">
            <v>-703534.81</v>
          </cell>
          <cell r="J98">
            <v>-703534.81</v>
          </cell>
          <cell r="K98">
            <v>-703034.81</v>
          </cell>
          <cell r="L98">
            <v>-704034.81</v>
          </cell>
          <cell r="M98">
            <v>-703534.81</v>
          </cell>
          <cell r="N98">
            <v>-703534.81</v>
          </cell>
          <cell r="O98">
            <v>-703534.81</v>
          </cell>
          <cell r="P98">
            <v>-703534.81</v>
          </cell>
          <cell r="Q98">
            <v>-703534.81</v>
          </cell>
        </row>
        <row r="100">
          <cell r="B100" t="str">
            <v>Total Mid-Columbia Contracts</v>
          </cell>
          <cell r="F100">
            <v>983726.82999999984</v>
          </cell>
          <cell r="G100">
            <v>897650.54999999981</v>
          </cell>
          <cell r="H100">
            <v>898866.69</v>
          </cell>
          <cell r="I100">
            <v>1224921.46</v>
          </cell>
          <cell r="J100">
            <v>1241479.3599999999</v>
          </cell>
          <cell r="K100">
            <v>1590848.17</v>
          </cell>
          <cell r="L100">
            <v>1218949.8899999997</v>
          </cell>
          <cell r="M100">
            <v>1025986.0999999999</v>
          </cell>
          <cell r="N100">
            <v>1106962.4299999997</v>
          </cell>
          <cell r="O100">
            <v>295134.09999999998</v>
          </cell>
          <cell r="P100">
            <v>-155957.87</v>
          </cell>
          <cell r="Q100">
            <v>-591230.39</v>
          </cell>
        </row>
        <row r="102">
          <cell r="B102" t="str">
            <v>Total Long Term Firm Purchases</v>
          </cell>
          <cell r="F102">
            <v>48639095.609999992</v>
          </cell>
          <cell r="G102">
            <v>44078598.369999997</v>
          </cell>
          <cell r="H102">
            <v>45169884.580000006</v>
          </cell>
          <cell r="I102">
            <v>40058172.840000004</v>
          </cell>
          <cell r="J102">
            <v>39442131.799999997</v>
          </cell>
          <cell r="K102">
            <v>41458100.500000007</v>
          </cell>
          <cell r="L102">
            <v>35315977.450000003</v>
          </cell>
          <cell r="M102">
            <v>42440542.310000002</v>
          </cell>
          <cell r="N102">
            <v>39146266.349999994</v>
          </cell>
          <cell r="O102">
            <v>40765467.119999997</v>
          </cell>
          <cell r="P102">
            <v>44643062.18</v>
          </cell>
          <cell r="Q102">
            <v>44659440.620000005</v>
          </cell>
        </row>
        <row r="104">
          <cell r="B104" t="str">
            <v>Storage &amp; Exchange</v>
          </cell>
        </row>
        <row r="105">
          <cell r="C105" t="str">
            <v>APGI/Colockum s191690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C106" t="str">
            <v>APS Exchange p58118/s58119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C107" t="str">
            <v>Black Hills CTs p64676</v>
          </cell>
          <cell r="F107">
            <v>285563.69</v>
          </cell>
          <cell r="G107">
            <v>64212.77</v>
          </cell>
          <cell r="H107">
            <v>204564.33</v>
          </cell>
          <cell r="I107">
            <v>8979.1300000000119</v>
          </cell>
          <cell r="J107">
            <v>248061.91</v>
          </cell>
          <cell r="K107">
            <v>87759.72</v>
          </cell>
          <cell r="L107">
            <v>82963.149999999994</v>
          </cell>
          <cell r="M107">
            <v>135550.44999999998</v>
          </cell>
          <cell r="N107">
            <v>143602.51999999999</v>
          </cell>
          <cell r="O107">
            <v>1337877.8999999999</v>
          </cell>
          <cell r="P107">
            <v>833176.2</v>
          </cell>
          <cell r="Q107">
            <v>-331523.13999999996</v>
          </cell>
        </row>
        <row r="108">
          <cell r="C108" t="str">
            <v>BPA Exchange p64706/p64888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C109" t="str">
            <v xml:space="preserve">BPA FC II Wind p63507 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C110" t="str">
            <v xml:space="preserve">BPA FC IV Wind p79207 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C111" t="str">
            <v>BPA Peaking p59820</v>
          </cell>
          <cell r="F111">
            <v>4801250</v>
          </cell>
          <cell r="G111">
            <v>4801250</v>
          </cell>
          <cell r="H111">
            <v>4801250</v>
          </cell>
          <cell r="I111">
            <v>4801250</v>
          </cell>
          <cell r="J111">
            <v>4801250</v>
          </cell>
          <cell r="K111">
            <v>4801250</v>
          </cell>
          <cell r="L111">
            <v>4801250</v>
          </cell>
          <cell r="M111">
            <v>4801250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C112" t="str">
            <v>BPA So. Idaho p64885/p83975/p64705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-2256</v>
          </cell>
          <cell r="N112">
            <v>184</v>
          </cell>
          <cell r="O112">
            <v>0</v>
          </cell>
          <cell r="P112">
            <v>0</v>
          </cell>
          <cell r="Q112">
            <v>0</v>
          </cell>
        </row>
        <row r="113">
          <cell r="C113" t="str">
            <v>Cowlitz Swift p65787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C114" t="str">
            <v>EWEB FC I p63508/p63510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C115" t="str">
            <v>PSCO FC III p63362/s63361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C116" t="str">
            <v>PSCo Exchange p340325</v>
          </cell>
          <cell r="F116">
            <v>375000</v>
          </cell>
          <cell r="G116">
            <v>375000</v>
          </cell>
          <cell r="H116">
            <v>375000</v>
          </cell>
          <cell r="I116">
            <v>375000</v>
          </cell>
          <cell r="J116">
            <v>375000</v>
          </cell>
          <cell r="K116">
            <v>375000</v>
          </cell>
          <cell r="L116">
            <v>375000</v>
          </cell>
          <cell r="M116">
            <v>375000</v>
          </cell>
          <cell r="N116">
            <v>375000</v>
          </cell>
          <cell r="O116">
            <v>375000</v>
          </cell>
          <cell r="P116">
            <v>375000</v>
          </cell>
          <cell r="Q116">
            <v>375000</v>
          </cell>
        </row>
        <row r="117">
          <cell r="C117" t="str">
            <v>Redding Exchange p66276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C118" t="str">
            <v>SCL State Line p105228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20">
          <cell r="B120" t="str">
            <v>Total Storage &amp; Exchange</v>
          </cell>
          <cell r="F120">
            <v>5461813.6900000004</v>
          </cell>
          <cell r="G120">
            <v>5240462.7699999996</v>
          </cell>
          <cell r="H120">
            <v>5380814.3300000001</v>
          </cell>
          <cell r="I120">
            <v>5185229.13</v>
          </cell>
          <cell r="J120">
            <v>5424311.9100000001</v>
          </cell>
          <cell r="K120">
            <v>5264009.72</v>
          </cell>
          <cell r="L120">
            <v>5259213.1500000004</v>
          </cell>
          <cell r="M120">
            <v>5309544.45</v>
          </cell>
          <cell r="N120">
            <v>518786.52</v>
          </cell>
          <cell r="O120">
            <v>1712877.9</v>
          </cell>
          <cell r="P120">
            <v>1208176.2</v>
          </cell>
          <cell r="Q120">
            <v>43476.860000000044</v>
          </cell>
        </row>
        <row r="122">
          <cell r="B122" t="str">
            <v>Total Short Term Firm Purchases</v>
          </cell>
          <cell r="F122">
            <v>-21208436.119999997</v>
          </cell>
          <cell r="G122">
            <v>-15024488.650000002</v>
          </cell>
          <cell r="H122">
            <v>-24878033.629999999</v>
          </cell>
          <cell r="I122">
            <v>-9493389.2100000009</v>
          </cell>
          <cell r="J122">
            <v>-8205974.6700000009</v>
          </cell>
          <cell r="K122">
            <v>-5114755.29</v>
          </cell>
          <cell r="L122">
            <v>15205577.030000007</v>
          </cell>
          <cell r="M122">
            <v>17883228.530000005</v>
          </cell>
          <cell r="N122">
            <v>13819364.120000008</v>
          </cell>
          <cell r="O122">
            <v>942668.55999999866</v>
          </cell>
          <cell r="P122">
            <v>8307563.8499999978</v>
          </cell>
          <cell r="Q122">
            <v>6634725.7300000004</v>
          </cell>
        </row>
        <row r="123">
          <cell r="B123" t="str">
            <v>Total Secondary Purchases</v>
          </cell>
          <cell r="F123">
            <v>477249.44999998808</v>
          </cell>
          <cell r="G123">
            <v>336535.70000001043</v>
          </cell>
          <cell r="H123">
            <v>691677.17999998853</v>
          </cell>
          <cell r="I123">
            <v>366957.0900000073</v>
          </cell>
          <cell r="J123">
            <v>245376.13999999594</v>
          </cell>
          <cell r="K123">
            <v>-7404.5600000023842</v>
          </cell>
          <cell r="L123">
            <v>225520.80999999493</v>
          </cell>
          <cell r="M123">
            <v>11984.670000001788</v>
          </cell>
          <cell r="N123">
            <v>286775.65999999642</v>
          </cell>
          <cell r="O123">
            <v>643046.51999999816</v>
          </cell>
          <cell r="P123">
            <v>191256.35000000894</v>
          </cell>
          <cell r="Q123">
            <v>398272.59000000637</v>
          </cell>
        </row>
        <row r="125">
          <cell r="F125">
            <v>33369722.629999984</v>
          </cell>
          <cell r="G125">
            <v>34631108.190000005</v>
          </cell>
          <cell r="H125">
            <v>26364342.459999997</v>
          </cell>
          <cell r="I125">
            <v>36116969.850000009</v>
          </cell>
          <cell r="J125">
            <v>36905845.179999992</v>
          </cell>
          <cell r="K125">
            <v>41599950.370000005</v>
          </cell>
          <cell r="L125">
            <v>56006288.440000005</v>
          </cell>
          <cell r="M125">
            <v>65645299.960000008</v>
          </cell>
          <cell r="N125">
            <v>53771192.649999999</v>
          </cell>
          <cell r="O125">
            <v>44064060.099999994</v>
          </cell>
          <cell r="P125">
            <v>54350058.580000006</v>
          </cell>
          <cell r="Q125">
            <v>51735915.800000012</v>
          </cell>
        </row>
        <row r="128">
          <cell r="C128" t="str">
            <v>Firm Wheeling</v>
          </cell>
          <cell r="F128">
            <v>10972471.98</v>
          </cell>
          <cell r="G128">
            <v>11364654.530000001</v>
          </cell>
          <cell r="H128">
            <v>11128886.879999999</v>
          </cell>
          <cell r="I128">
            <v>11050191.770000001</v>
          </cell>
          <cell r="J128">
            <v>10545706.689999999</v>
          </cell>
          <cell r="K128">
            <v>10592205.73</v>
          </cell>
          <cell r="L128">
            <v>10578290.57</v>
          </cell>
          <cell r="M128">
            <v>10334234.019999998</v>
          </cell>
          <cell r="N128">
            <v>10616629.249999998</v>
          </cell>
          <cell r="O128">
            <v>10475838.689999999</v>
          </cell>
          <cell r="P128">
            <v>11136213.220000001</v>
          </cell>
          <cell r="Q128">
            <v>11349036.680000002</v>
          </cell>
        </row>
        <row r="129">
          <cell r="C129" t="str">
            <v>Non-Firm Wheeling</v>
          </cell>
          <cell r="F129">
            <v>433149.31999999995</v>
          </cell>
          <cell r="G129">
            <v>392873.68</v>
          </cell>
          <cell r="H129">
            <v>237682.62</v>
          </cell>
          <cell r="I129">
            <v>514567.11000000004</v>
          </cell>
          <cell r="J129">
            <v>688575.82</v>
          </cell>
          <cell r="K129">
            <v>1143049.74</v>
          </cell>
          <cell r="L129">
            <v>1511999.2600000002</v>
          </cell>
          <cell r="M129">
            <v>589478.68999999994</v>
          </cell>
          <cell r="N129">
            <v>606436.4</v>
          </cell>
          <cell r="O129">
            <v>824705.42999999993</v>
          </cell>
          <cell r="P129">
            <v>715290.82000000007</v>
          </cell>
          <cell r="Q129">
            <v>881056.75999999989</v>
          </cell>
        </row>
        <row r="131">
          <cell r="F131">
            <v>11405621.300000001</v>
          </cell>
          <cell r="G131">
            <v>11757528.210000001</v>
          </cell>
          <cell r="H131">
            <v>11366569.499999998</v>
          </cell>
          <cell r="I131">
            <v>11564758.880000001</v>
          </cell>
          <cell r="J131">
            <v>11234282.51</v>
          </cell>
          <cell r="K131">
            <v>11735255.470000001</v>
          </cell>
          <cell r="L131">
            <v>12090289.83</v>
          </cell>
          <cell r="M131">
            <v>10923712.709999997</v>
          </cell>
          <cell r="N131">
            <v>11223065.649999999</v>
          </cell>
          <cell r="O131">
            <v>11300544.119999999</v>
          </cell>
          <cell r="P131">
            <v>11851504.040000001</v>
          </cell>
          <cell r="Q131">
            <v>12230093.440000001</v>
          </cell>
        </row>
        <row r="134">
          <cell r="C134" t="str">
            <v>Carbon</v>
          </cell>
          <cell r="F134">
            <v>1763343.25</v>
          </cell>
          <cell r="G134">
            <v>1368552.1</v>
          </cell>
          <cell r="H134">
            <v>1605635.4300000002</v>
          </cell>
          <cell r="I134">
            <v>1591838.0500000003</v>
          </cell>
          <cell r="J134">
            <v>1516217.4699999997</v>
          </cell>
          <cell r="K134">
            <v>1532352.03</v>
          </cell>
          <cell r="L134">
            <v>1707891.23</v>
          </cell>
          <cell r="M134">
            <v>1792863.0700000003</v>
          </cell>
          <cell r="N134">
            <v>1607813.52</v>
          </cell>
          <cell r="O134">
            <v>1718550.88</v>
          </cell>
          <cell r="P134">
            <v>1808915.8699999999</v>
          </cell>
          <cell r="Q134">
            <v>1789436.4299999997</v>
          </cell>
        </row>
        <row r="135">
          <cell r="C135" t="str">
            <v>Cholla</v>
          </cell>
          <cell r="F135">
            <v>4513624.2699999996</v>
          </cell>
          <cell r="G135">
            <v>4265749.4399999995</v>
          </cell>
          <cell r="H135">
            <v>4396993.58</v>
          </cell>
          <cell r="I135">
            <v>4161517.2199999997</v>
          </cell>
          <cell r="J135">
            <v>3433773.59</v>
          </cell>
          <cell r="K135">
            <v>4667206.29</v>
          </cell>
          <cell r="L135">
            <v>3523232.0100000002</v>
          </cell>
          <cell r="M135">
            <v>4907297.1400000006</v>
          </cell>
          <cell r="N135">
            <v>4880914.7</v>
          </cell>
          <cell r="O135">
            <v>4597653.7499999991</v>
          </cell>
          <cell r="P135">
            <v>4793526.3500000006</v>
          </cell>
          <cell r="Q135">
            <v>3667138.75</v>
          </cell>
        </row>
        <row r="136">
          <cell r="C136" t="str">
            <v>Colstrip</v>
          </cell>
          <cell r="F136">
            <v>1168852.5</v>
          </cell>
          <cell r="G136">
            <v>815237.98</v>
          </cell>
          <cell r="H136">
            <v>1367972.2799999998</v>
          </cell>
          <cell r="I136">
            <v>657121.16000000015</v>
          </cell>
          <cell r="J136">
            <v>715621.14</v>
          </cell>
          <cell r="K136">
            <v>587637.91</v>
          </cell>
          <cell r="L136">
            <v>1289163.1299999999</v>
          </cell>
          <cell r="M136">
            <v>1375691.9100000001</v>
          </cell>
          <cell r="N136">
            <v>996012.29</v>
          </cell>
          <cell r="O136">
            <v>1469764.49</v>
          </cell>
          <cell r="P136">
            <v>830153.36</v>
          </cell>
          <cell r="Q136">
            <v>1124301.02</v>
          </cell>
        </row>
        <row r="137">
          <cell r="C137" t="str">
            <v>Craig</v>
          </cell>
          <cell r="F137">
            <v>2032469.43</v>
          </cell>
          <cell r="G137">
            <v>1588441.52</v>
          </cell>
          <cell r="H137">
            <v>1096483.6000000001</v>
          </cell>
          <cell r="I137">
            <v>760629.37</v>
          </cell>
          <cell r="J137">
            <v>1132725.3700000001</v>
          </cell>
          <cell r="K137">
            <v>1801251.99</v>
          </cell>
          <cell r="L137">
            <v>1655876.8599999999</v>
          </cell>
          <cell r="M137">
            <v>1610155.7</v>
          </cell>
          <cell r="N137">
            <v>1835199.37</v>
          </cell>
          <cell r="O137">
            <v>1822276.2199999997</v>
          </cell>
          <cell r="P137">
            <v>1745322.5</v>
          </cell>
          <cell r="Q137">
            <v>1819853.35</v>
          </cell>
        </row>
        <row r="138">
          <cell r="C138" t="str">
            <v>Dave Johnston</v>
          </cell>
          <cell r="F138">
            <v>3467574.71</v>
          </cell>
          <cell r="G138">
            <v>3788723.7300000004</v>
          </cell>
          <cell r="H138">
            <v>4358949.6399999997</v>
          </cell>
          <cell r="I138">
            <v>4251271.67</v>
          </cell>
          <cell r="J138">
            <v>5120144.1900000004</v>
          </cell>
          <cell r="K138">
            <v>4360042.4799999995</v>
          </cell>
          <cell r="L138">
            <v>4291027.87</v>
          </cell>
          <cell r="M138">
            <v>4832457.76</v>
          </cell>
          <cell r="N138">
            <v>4349738.83</v>
          </cell>
          <cell r="O138">
            <v>4070954.5</v>
          </cell>
          <cell r="P138">
            <v>4077012.1500000004</v>
          </cell>
          <cell r="Q138">
            <v>4441546.7</v>
          </cell>
        </row>
        <row r="139">
          <cell r="C139" t="str">
            <v>Hayden</v>
          </cell>
          <cell r="F139">
            <v>1147478.6800000002</v>
          </cell>
          <cell r="G139">
            <v>953005.67999999993</v>
          </cell>
          <cell r="H139">
            <v>969091.14</v>
          </cell>
          <cell r="I139">
            <v>490151.92000000004</v>
          </cell>
          <cell r="J139">
            <v>356220.62</v>
          </cell>
          <cell r="K139">
            <v>281736.09999999998</v>
          </cell>
          <cell r="L139">
            <v>1128399.8700000001</v>
          </cell>
          <cell r="M139">
            <v>1038779.6099999999</v>
          </cell>
          <cell r="N139">
            <v>903403.95</v>
          </cell>
          <cell r="O139">
            <v>1078633.24</v>
          </cell>
          <cell r="P139">
            <v>968039.55</v>
          </cell>
          <cell r="Q139">
            <v>904236.51</v>
          </cell>
        </row>
        <row r="140">
          <cell r="C140" t="str">
            <v>Hunter</v>
          </cell>
          <cell r="F140">
            <v>10389358.84</v>
          </cell>
          <cell r="G140">
            <v>8462834.6899999995</v>
          </cell>
          <cell r="H140">
            <v>7196339.8300000001</v>
          </cell>
          <cell r="I140">
            <v>7726500.9000000004</v>
          </cell>
          <cell r="J140">
            <v>9744017.1699999999</v>
          </cell>
          <cell r="K140">
            <v>9919457.5099999998</v>
          </cell>
          <cell r="L140">
            <v>9981246.7300000004</v>
          </cell>
          <cell r="M140">
            <v>11585211.390000001</v>
          </cell>
          <cell r="N140">
            <v>8875296.1000000015</v>
          </cell>
          <cell r="O140">
            <v>11853533.93</v>
          </cell>
          <cell r="P140">
            <v>10995847.130000001</v>
          </cell>
          <cell r="Q140">
            <v>10494777.610000001</v>
          </cell>
        </row>
        <row r="141">
          <cell r="C141" t="str">
            <v>Huntington</v>
          </cell>
          <cell r="F141">
            <v>9723153.4700000007</v>
          </cell>
          <cell r="G141">
            <v>7439165.6200000001</v>
          </cell>
          <cell r="H141">
            <v>9086426.6699999999</v>
          </cell>
          <cell r="I141">
            <v>10688962.26</v>
          </cell>
          <cell r="J141">
            <v>9634747.1799999997</v>
          </cell>
          <cell r="K141">
            <v>6902998.2999999989</v>
          </cell>
          <cell r="L141">
            <v>8577048.8599999994</v>
          </cell>
          <cell r="M141">
            <v>8537392.3200000003</v>
          </cell>
          <cell r="N141">
            <v>8049305.8100000005</v>
          </cell>
          <cell r="O141">
            <v>5508608.46</v>
          </cell>
          <cell r="P141">
            <v>2266690.9900000002</v>
          </cell>
          <cell r="Q141">
            <v>5041808.49</v>
          </cell>
        </row>
        <row r="142">
          <cell r="C142" t="str">
            <v>Jim Bridger</v>
          </cell>
          <cell r="F142">
            <v>13586715.470000003</v>
          </cell>
          <cell r="G142">
            <v>13139764.57</v>
          </cell>
          <cell r="H142">
            <v>16032536.930000002</v>
          </cell>
          <cell r="I142">
            <v>12938890.579999998</v>
          </cell>
          <cell r="J142">
            <v>11656052.649999999</v>
          </cell>
          <cell r="K142">
            <v>11877476.59</v>
          </cell>
          <cell r="L142">
            <v>16425568.74</v>
          </cell>
          <cell r="M142">
            <v>17660922.43</v>
          </cell>
          <cell r="N142">
            <v>18556294.5</v>
          </cell>
          <cell r="O142">
            <v>19383978.649999999</v>
          </cell>
          <cell r="P142">
            <v>14614406.57</v>
          </cell>
          <cell r="Q142">
            <v>19706059.949999999</v>
          </cell>
        </row>
        <row r="143">
          <cell r="C143" t="str">
            <v>Naughton</v>
          </cell>
          <cell r="F143">
            <v>9355020.2799999993</v>
          </cell>
          <cell r="G143">
            <v>8064934.5300000003</v>
          </cell>
          <cell r="H143">
            <v>9744745.4000000004</v>
          </cell>
          <cell r="I143">
            <v>9242768.7200000007</v>
          </cell>
          <cell r="J143">
            <v>6221643.5599999996</v>
          </cell>
          <cell r="K143">
            <v>7282616.5399999991</v>
          </cell>
          <cell r="L143">
            <v>8550276.3200000003</v>
          </cell>
          <cell r="M143">
            <v>9116761.6000000015</v>
          </cell>
          <cell r="N143">
            <v>8292195.1899999995</v>
          </cell>
          <cell r="O143">
            <v>7252969.3600000003</v>
          </cell>
          <cell r="P143">
            <v>7032966.7700000005</v>
          </cell>
          <cell r="Q143">
            <v>10476815.030000001</v>
          </cell>
        </row>
        <row r="144">
          <cell r="C144" t="str">
            <v>Wyodak</v>
          </cell>
          <cell r="F144">
            <v>1833557.29</v>
          </cell>
          <cell r="G144">
            <v>1534360.5399999998</v>
          </cell>
          <cell r="H144">
            <v>211180.44000000015</v>
          </cell>
          <cell r="I144">
            <v>-21498.760000000017</v>
          </cell>
          <cell r="J144">
            <v>1501208.48</v>
          </cell>
          <cell r="K144">
            <v>1433223.26</v>
          </cell>
          <cell r="L144">
            <v>1723212.5699999998</v>
          </cell>
          <cell r="M144">
            <v>1262703.3600000001</v>
          </cell>
          <cell r="N144">
            <v>1610586.42</v>
          </cell>
          <cell r="O144">
            <v>812221.05999999982</v>
          </cell>
          <cell r="P144">
            <v>764144.71</v>
          </cell>
          <cell r="Q144">
            <v>1605964.1400000001</v>
          </cell>
        </row>
        <row r="146">
          <cell r="F146">
            <v>58981148.190000005</v>
          </cell>
          <cell r="G146">
            <v>51420770.399999999</v>
          </cell>
          <cell r="H146">
            <v>56066354.939999998</v>
          </cell>
          <cell r="I146">
            <v>52488153.089999996</v>
          </cell>
          <cell r="J146">
            <v>51032371.419999994</v>
          </cell>
          <cell r="K146">
            <v>50645999</v>
          </cell>
          <cell r="L146">
            <v>58852944.190000005</v>
          </cell>
          <cell r="M146">
            <v>63720236.289999999</v>
          </cell>
          <cell r="N146">
            <v>59956760.68</v>
          </cell>
          <cell r="O146">
            <v>59569144.539999999</v>
          </cell>
          <cell r="P146">
            <v>49897025.95000001</v>
          </cell>
          <cell r="Q146">
            <v>61071937.980000004</v>
          </cell>
        </row>
        <row r="149">
          <cell r="C149" t="str">
            <v>Chehalis</v>
          </cell>
          <cell r="F149">
            <v>2975009.28</v>
          </cell>
          <cell r="G149">
            <v>2571293.27</v>
          </cell>
          <cell r="H149">
            <v>2599707.98</v>
          </cell>
          <cell r="I149">
            <v>2036097.46</v>
          </cell>
          <cell r="J149">
            <v>1952829.9</v>
          </cell>
          <cell r="K149">
            <v>1919432.18</v>
          </cell>
          <cell r="L149">
            <v>4198511.01</v>
          </cell>
          <cell r="M149">
            <v>6745357.8099999996</v>
          </cell>
          <cell r="N149">
            <v>5838778.0999999996</v>
          </cell>
          <cell r="O149">
            <v>2781655.36</v>
          </cell>
          <cell r="P149">
            <v>6251178.5399999991</v>
          </cell>
          <cell r="Q149">
            <v>5686160</v>
          </cell>
        </row>
        <row r="150">
          <cell r="C150" t="str">
            <v>Currant Creek</v>
          </cell>
          <cell r="F150">
            <v>10270701.43</v>
          </cell>
          <cell r="G150">
            <v>10256891.970000001</v>
          </cell>
          <cell r="H150">
            <v>12458099.140000001</v>
          </cell>
          <cell r="I150">
            <v>10642711.23</v>
          </cell>
          <cell r="J150">
            <v>10133922.02</v>
          </cell>
          <cell r="K150">
            <v>11657287.689999999</v>
          </cell>
          <cell r="L150">
            <v>10791936.369999999</v>
          </cell>
          <cell r="M150">
            <v>11138490.300000001</v>
          </cell>
          <cell r="N150">
            <v>11721072.640000001</v>
          </cell>
          <cell r="O150">
            <v>10745263.91</v>
          </cell>
          <cell r="P150">
            <v>12306242.470000001</v>
          </cell>
          <cell r="Q150">
            <v>10965644.58</v>
          </cell>
        </row>
        <row r="151">
          <cell r="C151" t="str">
            <v>Gadsby</v>
          </cell>
          <cell r="F151">
            <v>46307.91</v>
          </cell>
          <cell r="G151">
            <v>177044.12</v>
          </cell>
          <cell r="H151">
            <v>385813.74</v>
          </cell>
          <cell r="I151">
            <v>65168.87</v>
          </cell>
          <cell r="J151">
            <v>45643.08</v>
          </cell>
          <cell r="K151">
            <v>1054371.92</v>
          </cell>
          <cell r="L151">
            <v>3337859.62</v>
          </cell>
          <cell r="M151">
            <v>3188689.45</v>
          </cell>
          <cell r="N151">
            <v>971242.59000000008</v>
          </cell>
          <cell r="O151">
            <v>49464.899999999994</v>
          </cell>
          <cell r="P151">
            <v>46156.07</v>
          </cell>
          <cell r="Q151">
            <v>46154.9</v>
          </cell>
        </row>
        <row r="152">
          <cell r="C152" t="str">
            <v>Gadsby CT</v>
          </cell>
          <cell r="F152">
            <v>738174.32000000007</v>
          </cell>
          <cell r="G152">
            <v>397518.9</v>
          </cell>
          <cell r="H152">
            <v>1680982.0499999998</v>
          </cell>
          <cell r="I152">
            <v>541413.32999999996</v>
          </cell>
          <cell r="J152">
            <v>644724.63</v>
          </cell>
          <cell r="K152">
            <v>1955895.1600000001</v>
          </cell>
          <cell r="L152">
            <v>2179294.4700000002</v>
          </cell>
          <cell r="M152">
            <v>1668698.39</v>
          </cell>
          <cell r="N152">
            <v>735056.53</v>
          </cell>
          <cell r="O152">
            <v>345014.12</v>
          </cell>
          <cell r="P152">
            <v>413500.41000000003</v>
          </cell>
          <cell r="Q152">
            <v>460553.58</v>
          </cell>
        </row>
        <row r="153">
          <cell r="C153" t="str">
            <v>Hermiston</v>
          </cell>
          <cell r="F153">
            <v>5215752.58</v>
          </cell>
          <cell r="G153">
            <v>4831825.79</v>
          </cell>
          <cell r="H153">
            <v>4813122.57</v>
          </cell>
          <cell r="I153">
            <v>3382940.63</v>
          </cell>
          <cell r="J153">
            <v>2509464.16</v>
          </cell>
          <cell r="K153">
            <v>4152239.14</v>
          </cell>
          <cell r="L153">
            <v>8740616.4100000001</v>
          </cell>
          <cell r="M153">
            <v>5652662.6500000004</v>
          </cell>
          <cell r="N153">
            <v>1234028.96</v>
          </cell>
          <cell r="O153">
            <v>6168633.7699999996</v>
          </cell>
          <cell r="P153">
            <v>6297224.1699999999</v>
          </cell>
          <cell r="Q153">
            <v>6625052.9000000004</v>
          </cell>
        </row>
        <row r="154">
          <cell r="C154" t="str">
            <v>Lake Side</v>
          </cell>
          <cell r="F154">
            <v>11782168.6</v>
          </cell>
          <cell r="G154">
            <v>10171031.219999999</v>
          </cell>
          <cell r="H154">
            <v>4008298.33</v>
          </cell>
          <cell r="I154">
            <v>5592159.04</v>
          </cell>
          <cell r="J154">
            <v>7229344.7999999998</v>
          </cell>
          <cell r="K154">
            <v>719158.77</v>
          </cell>
          <cell r="L154">
            <v>9016735.9100000001</v>
          </cell>
          <cell r="M154">
            <v>11688853.560000001</v>
          </cell>
          <cell r="N154">
            <v>11792738.359999999</v>
          </cell>
          <cell r="O154">
            <v>9434022.0600000005</v>
          </cell>
          <cell r="P154">
            <v>9076986.1699999999</v>
          </cell>
          <cell r="Q154">
            <v>14280682.82</v>
          </cell>
        </row>
        <row r="155">
          <cell r="C155" t="str">
            <v>Little Mountain</v>
          </cell>
          <cell r="F155">
            <v>1413973.03</v>
          </cell>
          <cell r="G155">
            <v>1058581.67</v>
          </cell>
          <cell r="H155">
            <v>1327195.58</v>
          </cell>
          <cell r="I155">
            <v>1123033.01</v>
          </cell>
          <cell r="J155">
            <v>1153072.78</v>
          </cell>
          <cell r="K155">
            <v>1468156.63</v>
          </cell>
          <cell r="L155">
            <v>618979.57999999996</v>
          </cell>
          <cell r="M155">
            <v>468481.27</v>
          </cell>
          <cell r="N155">
            <v>975864.76</v>
          </cell>
          <cell r="O155">
            <v>730210.19</v>
          </cell>
          <cell r="P155">
            <v>1240474.02</v>
          </cell>
          <cell r="Q155">
            <v>922035.75</v>
          </cell>
        </row>
        <row r="157">
          <cell r="F157">
            <v>32442087.149999999</v>
          </cell>
          <cell r="G157">
            <v>29464186.939999998</v>
          </cell>
          <cell r="H157">
            <v>27273219.390000001</v>
          </cell>
          <cell r="I157">
            <v>23383523.57</v>
          </cell>
          <cell r="J157">
            <v>23669001.370000001</v>
          </cell>
          <cell r="K157">
            <v>22926541.489999998</v>
          </cell>
          <cell r="L157">
            <v>38883933.369999997</v>
          </cell>
          <cell r="M157">
            <v>40551233.430000007</v>
          </cell>
          <cell r="N157">
            <v>33268781.940000005</v>
          </cell>
          <cell r="O157">
            <v>30254264.309999999</v>
          </cell>
          <cell r="P157">
            <v>35631761.850000001</v>
          </cell>
          <cell r="Q157">
            <v>38986284.530000001</v>
          </cell>
        </row>
        <row r="160">
          <cell r="C160" t="str">
            <v>Blundell</v>
          </cell>
          <cell r="F160">
            <v>256238.74</v>
          </cell>
          <cell r="G160">
            <v>243892.81</v>
          </cell>
          <cell r="H160">
            <v>247429.21</v>
          </cell>
          <cell r="I160">
            <v>267886.02</v>
          </cell>
          <cell r="J160">
            <v>260192.14</v>
          </cell>
          <cell r="K160">
            <v>276580.01</v>
          </cell>
          <cell r="L160">
            <v>234234.33</v>
          </cell>
          <cell r="M160">
            <v>276433.61</v>
          </cell>
          <cell r="N160">
            <v>274326.68</v>
          </cell>
          <cell r="O160">
            <v>292648.55</v>
          </cell>
          <cell r="P160">
            <v>266710.26</v>
          </cell>
          <cell r="Q160">
            <v>312988.01</v>
          </cell>
        </row>
        <row r="162">
          <cell r="F162">
            <v>256238.74</v>
          </cell>
          <cell r="G162">
            <v>243892.81</v>
          </cell>
          <cell r="H162">
            <v>247429.21</v>
          </cell>
          <cell r="I162">
            <v>267886.02</v>
          </cell>
          <cell r="J162">
            <v>260192.14</v>
          </cell>
          <cell r="K162">
            <v>276580.01</v>
          </cell>
          <cell r="L162">
            <v>234234.33</v>
          </cell>
          <cell r="M162">
            <v>276433.61</v>
          </cell>
          <cell r="N162">
            <v>274326.68</v>
          </cell>
          <cell r="O162">
            <v>292648.55</v>
          </cell>
          <cell r="P162">
            <v>266710.26</v>
          </cell>
          <cell r="Q162">
            <v>312988.01</v>
          </cell>
        </row>
        <row r="164">
          <cell r="F164">
            <v>106336507.36999999</v>
          </cell>
          <cell r="G164">
            <v>102042110.28999998</v>
          </cell>
          <cell r="H164">
            <v>99083917.389999986</v>
          </cell>
          <cell r="I164">
            <v>95385864.409999996</v>
          </cell>
          <cell r="J164">
            <v>98613495.279999986</v>
          </cell>
          <cell r="K164">
            <v>105443912.89000002</v>
          </cell>
          <cell r="L164">
            <v>140333065.18000001</v>
          </cell>
          <cell r="M164">
            <v>147987442.31999999</v>
          </cell>
          <cell r="N164">
            <v>125959886.75000001</v>
          </cell>
          <cell r="O164">
            <v>110097900.00999999</v>
          </cell>
          <cell r="P164">
            <v>121887467.27000001</v>
          </cell>
          <cell r="Q164">
            <v>135081796.85000002</v>
          </cell>
        </row>
        <row r="166">
          <cell r="C166" t="str">
            <v>Net Power Cost/Net System Load</v>
          </cell>
          <cell r="F166">
            <v>20.036662159018917</v>
          </cell>
          <cell r="G166">
            <v>21.749445056663049</v>
          </cell>
          <cell r="H166">
            <v>20.266081010526232</v>
          </cell>
          <cell r="I166">
            <v>21.051730931632559</v>
          </cell>
          <cell r="J166">
            <v>21.887422091299122</v>
          </cell>
          <cell r="K166">
            <v>22.760976896962081</v>
          </cell>
          <cell r="L166">
            <v>26.146925140881116</v>
          </cell>
          <cell r="M166">
            <v>27.836793079741593</v>
          </cell>
          <cell r="N166">
            <v>26.912582070001896</v>
          </cell>
          <cell r="O166">
            <v>23.821948419299858</v>
          </cell>
          <cell r="P166">
            <v>25.263142280943757</v>
          </cell>
          <cell r="Q166">
            <v>24.97167058687133</v>
          </cell>
        </row>
        <row r="174">
          <cell r="A174" t="str">
            <v>NET SYSTEM LOAD</v>
          </cell>
          <cell r="F174">
            <v>5307096.8870000001</v>
          </cell>
          <cell r="G174">
            <v>4691710.9850000003</v>
          </cell>
          <cell r="H174">
            <v>4889150.3660000004</v>
          </cell>
          <cell r="I174">
            <v>4531022.4000000004</v>
          </cell>
          <cell r="J174">
            <v>4505486.9809999997</v>
          </cell>
          <cell r="K174">
            <v>4632662.0060000001</v>
          </cell>
          <cell r="L174">
            <v>5367096.3</v>
          </cell>
          <cell r="M174">
            <v>5316253.273</v>
          </cell>
          <cell r="N174">
            <v>4680334.5149999997</v>
          </cell>
          <cell r="O174">
            <v>4621700.0420000004</v>
          </cell>
          <cell r="P174">
            <v>4824715.2280000001</v>
          </cell>
          <cell r="Q174">
            <v>5409401.6809999999</v>
          </cell>
        </row>
        <row r="177">
          <cell r="A177" t="str">
            <v>Special Sales For Resale</v>
          </cell>
        </row>
        <row r="178">
          <cell r="B178" t="str">
            <v>Long Term Firm Sales</v>
          </cell>
        </row>
        <row r="179">
          <cell r="C179" t="str">
            <v>Black Hills s27013/s28160</v>
          </cell>
          <cell r="F179">
            <v>29740</v>
          </cell>
          <cell r="G179">
            <v>27236</v>
          </cell>
          <cell r="H179">
            <v>27872</v>
          </cell>
          <cell r="I179">
            <v>28195</v>
          </cell>
          <cell r="J179">
            <v>20995</v>
          </cell>
          <cell r="K179">
            <v>18958</v>
          </cell>
          <cell r="L179">
            <v>27492</v>
          </cell>
          <cell r="M179">
            <v>29283</v>
          </cell>
          <cell r="N179">
            <v>29730</v>
          </cell>
          <cell r="O179">
            <v>31025</v>
          </cell>
          <cell r="P179">
            <v>29905</v>
          </cell>
          <cell r="Q179">
            <v>29923</v>
          </cell>
        </row>
        <row r="180">
          <cell r="C180" t="str">
            <v>BPA Wind s42818</v>
          </cell>
          <cell r="F180">
            <v>5626</v>
          </cell>
          <cell r="G180">
            <v>2347</v>
          </cell>
          <cell r="H180">
            <v>4053</v>
          </cell>
          <cell r="I180">
            <v>4458</v>
          </cell>
          <cell r="J180">
            <v>3322</v>
          </cell>
          <cell r="K180">
            <v>2041</v>
          </cell>
          <cell r="L180">
            <v>1710</v>
          </cell>
          <cell r="M180">
            <v>2072</v>
          </cell>
          <cell r="N180">
            <v>2464</v>
          </cell>
          <cell r="O180">
            <v>4280</v>
          </cell>
          <cell r="P180">
            <v>4486</v>
          </cell>
          <cell r="Q180">
            <v>3266</v>
          </cell>
        </row>
        <row r="181">
          <cell r="C181" t="str">
            <v>Hurricane Sale s393046</v>
          </cell>
          <cell r="F181">
            <v>18</v>
          </cell>
          <cell r="G181">
            <v>16</v>
          </cell>
          <cell r="H181">
            <v>18</v>
          </cell>
          <cell r="I181">
            <v>18</v>
          </cell>
          <cell r="J181">
            <v>18</v>
          </cell>
          <cell r="K181">
            <v>18</v>
          </cell>
          <cell r="L181">
            <v>20</v>
          </cell>
          <cell r="M181">
            <v>20</v>
          </cell>
          <cell r="N181">
            <v>18</v>
          </cell>
          <cell r="O181">
            <v>18</v>
          </cell>
          <cell r="P181">
            <v>17</v>
          </cell>
          <cell r="Q181">
            <v>17</v>
          </cell>
        </row>
        <row r="182">
          <cell r="C182" t="str">
            <v>LADWP (IPP Layoff)</v>
          </cell>
          <cell r="F182">
            <v>52824</v>
          </cell>
          <cell r="G182">
            <v>47712</v>
          </cell>
          <cell r="H182">
            <v>38791</v>
          </cell>
          <cell r="I182">
            <v>27298</v>
          </cell>
          <cell r="J182">
            <v>49696</v>
          </cell>
          <cell r="K182">
            <v>51120</v>
          </cell>
          <cell r="L182">
            <v>52824</v>
          </cell>
          <cell r="M182">
            <v>52824</v>
          </cell>
          <cell r="N182">
            <v>48072</v>
          </cell>
          <cell r="O182">
            <v>52739</v>
          </cell>
          <cell r="P182">
            <v>47992</v>
          </cell>
          <cell r="Q182">
            <v>49663</v>
          </cell>
        </row>
        <row r="183">
          <cell r="C183" t="str">
            <v>NVE s811499</v>
          </cell>
          <cell r="F183">
            <v>0</v>
          </cell>
          <cell r="G183">
            <v>50400</v>
          </cell>
          <cell r="H183">
            <v>111450</v>
          </cell>
          <cell r="I183">
            <v>108000</v>
          </cell>
          <cell r="J183">
            <v>109941</v>
          </cell>
          <cell r="K183">
            <v>65476</v>
          </cell>
          <cell r="L183">
            <v>32117</v>
          </cell>
          <cell r="M183">
            <v>37200</v>
          </cell>
          <cell r="N183">
            <v>70666</v>
          </cell>
          <cell r="O183">
            <v>111600</v>
          </cell>
          <cell r="P183">
            <v>107806</v>
          </cell>
          <cell r="Q183">
            <v>111460</v>
          </cell>
        </row>
        <row r="184">
          <cell r="C184" t="str">
            <v>Pacific Gas &amp; Electric s524491</v>
          </cell>
          <cell r="F184">
            <v>74365</v>
          </cell>
          <cell r="G184">
            <v>67025</v>
          </cell>
          <cell r="H184">
            <v>73922</v>
          </cell>
          <cell r="I184">
            <v>71795</v>
          </cell>
          <cell r="J184">
            <v>74377</v>
          </cell>
          <cell r="K184">
            <v>71890</v>
          </cell>
          <cell r="L184">
            <v>0</v>
          </cell>
          <cell r="M184">
            <v>0</v>
          </cell>
          <cell r="N184">
            <v>0</v>
          </cell>
          <cell r="O184">
            <v>74311</v>
          </cell>
          <cell r="P184">
            <v>72059</v>
          </cell>
          <cell r="Q184">
            <v>74530</v>
          </cell>
        </row>
        <row r="185">
          <cell r="C185" t="str">
            <v>PSCO s100035</v>
          </cell>
          <cell r="F185">
            <v>20088</v>
          </cell>
          <cell r="G185">
            <v>18166</v>
          </cell>
          <cell r="H185">
            <v>20041</v>
          </cell>
          <cell r="I185">
            <v>19328</v>
          </cell>
          <cell r="J185">
            <v>19969</v>
          </cell>
          <cell r="K185">
            <v>19096</v>
          </cell>
          <cell r="L185">
            <v>20094</v>
          </cell>
          <cell r="M185">
            <v>20186</v>
          </cell>
          <cell r="N185">
            <v>19911</v>
          </cell>
          <cell r="O185">
            <v>20270</v>
          </cell>
          <cell r="P185">
            <v>19642</v>
          </cell>
          <cell r="Q185">
            <v>19704</v>
          </cell>
        </row>
        <row r="186">
          <cell r="C186" t="str">
            <v>SCE s513948</v>
          </cell>
          <cell r="F186">
            <v>37200</v>
          </cell>
          <cell r="G186">
            <v>33549</v>
          </cell>
          <cell r="H186">
            <v>37201</v>
          </cell>
          <cell r="I186">
            <v>36000</v>
          </cell>
          <cell r="J186">
            <v>37200</v>
          </cell>
          <cell r="K186">
            <v>36000</v>
          </cell>
          <cell r="L186">
            <v>0</v>
          </cell>
          <cell r="M186">
            <v>0</v>
          </cell>
          <cell r="N186">
            <v>0</v>
          </cell>
          <cell r="O186">
            <v>37200</v>
          </cell>
          <cell r="P186">
            <v>36050</v>
          </cell>
          <cell r="Q186">
            <v>37200</v>
          </cell>
        </row>
        <row r="187">
          <cell r="C187" t="str">
            <v>SMUD s24296</v>
          </cell>
          <cell r="F187">
            <v>17692</v>
          </cell>
          <cell r="G187">
            <v>15898</v>
          </cell>
          <cell r="H187">
            <v>5564</v>
          </cell>
          <cell r="I187">
            <v>28733</v>
          </cell>
          <cell r="J187">
            <v>-1217</v>
          </cell>
          <cell r="K187">
            <v>-30929</v>
          </cell>
          <cell r="L187">
            <v>2023</v>
          </cell>
          <cell r="M187">
            <v>49861</v>
          </cell>
          <cell r="N187">
            <v>71051</v>
          </cell>
          <cell r="O187">
            <v>73314</v>
          </cell>
          <cell r="P187">
            <v>71530</v>
          </cell>
          <cell r="Q187">
            <v>65131</v>
          </cell>
        </row>
        <row r="188">
          <cell r="C188" t="str">
            <v>UMPA II s45631</v>
          </cell>
          <cell r="F188">
            <v>13899</v>
          </cell>
          <cell r="G188">
            <v>10792</v>
          </cell>
          <cell r="H188">
            <v>11916</v>
          </cell>
          <cell r="I188">
            <v>13181</v>
          </cell>
          <cell r="J188">
            <v>9539</v>
          </cell>
          <cell r="K188">
            <v>13246</v>
          </cell>
          <cell r="L188">
            <v>34967</v>
          </cell>
          <cell r="M188">
            <v>30694</v>
          </cell>
          <cell r="N188">
            <v>17566</v>
          </cell>
          <cell r="O188">
            <v>13712</v>
          </cell>
          <cell r="P188">
            <v>11585</v>
          </cell>
          <cell r="Q188">
            <v>13857</v>
          </cell>
        </row>
        <row r="190">
          <cell r="B190" t="str">
            <v>Total Long Term Firm Sales</v>
          </cell>
          <cell r="F190">
            <v>251452</v>
          </cell>
          <cell r="G190">
            <v>273141</v>
          </cell>
          <cell r="H190">
            <v>330828</v>
          </cell>
          <cell r="I190">
            <v>337006</v>
          </cell>
          <cell r="J190">
            <v>323840</v>
          </cell>
          <cell r="K190">
            <v>246916</v>
          </cell>
          <cell r="L190">
            <v>171247</v>
          </cell>
          <cell r="M190">
            <v>222140</v>
          </cell>
          <cell r="N190">
            <v>259478</v>
          </cell>
          <cell r="O190">
            <v>418469</v>
          </cell>
          <cell r="P190">
            <v>401072</v>
          </cell>
          <cell r="Q190">
            <v>404751</v>
          </cell>
        </row>
        <row r="191">
          <cell r="B191" t="str">
            <v>Total Short Term Firm Sales</v>
          </cell>
          <cell r="F191">
            <v>563024.76599999983</v>
          </cell>
          <cell r="G191">
            <v>499443.77100000007</v>
          </cell>
          <cell r="H191">
            <v>354875.5850000002</v>
          </cell>
          <cell r="I191">
            <v>557839.40500000014</v>
          </cell>
          <cell r="J191">
            <v>494366.04700000014</v>
          </cell>
          <cell r="K191">
            <v>522336.45000000019</v>
          </cell>
          <cell r="L191">
            <v>588745.91900000046</v>
          </cell>
          <cell r="M191">
            <v>715145.46500000008</v>
          </cell>
          <cell r="N191">
            <v>702453.73900000006</v>
          </cell>
          <cell r="O191">
            <v>697386.429</v>
          </cell>
          <cell r="P191">
            <v>530879.97699999972</v>
          </cell>
          <cell r="Q191">
            <v>491490.60399999982</v>
          </cell>
        </row>
        <row r="192">
          <cell r="B192" t="str">
            <v>Total Secondary Sales</v>
          </cell>
          <cell r="F192">
            <v>5639.8830000000307</v>
          </cell>
          <cell r="G192">
            <v>58.25</v>
          </cell>
          <cell r="H192">
            <v>584.68700000003446</v>
          </cell>
          <cell r="I192">
            <v>3353.5089999999618</v>
          </cell>
          <cell r="J192">
            <v>4.7140000000363216</v>
          </cell>
          <cell r="K192">
            <v>157.24399999994785</v>
          </cell>
          <cell r="L192">
            <v>-46.672000000020489</v>
          </cell>
          <cell r="M192">
            <v>25.087999999988824</v>
          </cell>
          <cell r="N192">
            <v>11.626000000047497</v>
          </cell>
          <cell r="O192">
            <v>50.479000000050291</v>
          </cell>
          <cell r="P192">
            <v>15.327000000048429</v>
          </cell>
          <cell r="Q192">
            <v>-220.00600000005215</v>
          </cell>
        </row>
        <row r="194">
          <cell r="A194" t="str">
            <v>Total Special Sales For Resale</v>
          </cell>
          <cell r="F194">
            <v>820116.64899999986</v>
          </cell>
          <cell r="G194">
            <v>772643.02100000007</v>
          </cell>
          <cell r="H194">
            <v>686288.27200000023</v>
          </cell>
          <cell r="I194">
            <v>898198.91400000011</v>
          </cell>
          <cell r="J194">
            <v>818210.76100000017</v>
          </cell>
          <cell r="K194">
            <v>769409.69400000013</v>
          </cell>
          <cell r="L194">
            <v>759946.24700000044</v>
          </cell>
          <cell r="M194">
            <v>937310.55300000007</v>
          </cell>
          <cell r="N194">
            <v>961943.36500000011</v>
          </cell>
          <cell r="O194">
            <v>1115905.9080000001</v>
          </cell>
          <cell r="P194">
            <v>931967.30399999977</v>
          </cell>
          <cell r="Q194">
            <v>896021.59799999977</v>
          </cell>
        </row>
        <row r="196">
          <cell r="A196" t="str">
            <v>Total Requirements</v>
          </cell>
          <cell r="F196">
            <v>6127213.5360000003</v>
          </cell>
          <cell r="G196">
            <v>5464354.0060000001</v>
          </cell>
          <cell r="H196">
            <v>5575438.6380000003</v>
          </cell>
          <cell r="I196">
            <v>5429221.3140000002</v>
          </cell>
          <cell r="J196">
            <v>5323697.7419999996</v>
          </cell>
          <cell r="K196">
            <v>5402071.7000000002</v>
          </cell>
          <cell r="L196">
            <v>6127042.5470000003</v>
          </cell>
          <cell r="M196">
            <v>6253563.8260000004</v>
          </cell>
          <cell r="N196">
            <v>5642277.8799999999</v>
          </cell>
          <cell r="O196">
            <v>5737605.9500000002</v>
          </cell>
          <cell r="P196">
            <v>5756682.5319999997</v>
          </cell>
          <cell r="Q196">
            <v>6305423.2789999992</v>
          </cell>
        </row>
        <row r="198">
          <cell r="A198" t="str">
            <v>PURCHASED POWER &amp; NET INTERCHANGE</v>
          </cell>
        </row>
        <row r="199">
          <cell r="B199" t="str">
            <v>Long Term Firm Purchases</v>
          </cell>
        </row>
        <row r="200">
          <cell r="C200" t="str">
            <v>APS Supplemental p27875</v>
          </cell>
          <cell r="F200">
            <v>5200</v>
          </cell>
          <cell r="G200">
            <v>4250</v>
          </cell>
          <cell r="H200">
            <v>2500</v>
          </cell>
          <cell r="I200">
            <v>1350</v>
          </cell>
          <cell r="J200">
            <v>4600</v>
          </cell>
          <cell r="K200">
            <v>1200</v>
          </cell>
          <cell r="L200">
            <v>950</v>
          </cell>
          <cell r="M200">
            <v>150</v>
          </cell>
          <cell r="N200">
            <v>300</v>
          </cell>
          <cell r="O200">
            <v>750</v>
          </cell>
          <cell r="P200">
            <v>450</v>
          </cell>
          <cell r="Q200">
            <v>1200</v>
          </cell>
        </row>
        <row r="201">
          <cell r="C201" t="str">
            <v>Blanding Purchase p379174</v>
          </cell>
          <cell r="F201">
            <v>54.722000000000001</v>
          </cell>
          <cell r="G201">
            <v>43.84</v>
          </cell>
          <cell r="H201">
            <v>33.594000000000001</v>
          </cell>
          <cell r="I201">
            <v>29.959</v>
          </cell>
          <cell r="J201">
            <v>31.248000000000001</v>
          </cell>
          <cell r="K201">
            <v>25.449000000000002</v>
          </cell>
          <cell r="L201">
            <v>31.045000000000002</v>
          </cell>
          <cell r="M201">
            <v>28.379000000000001</v>
          </cell>
          <cell r="N201">
            <v>25.765000000000001</v>
          </cell>
          <cell r="O201">
            <v>25.187000000000001</v>
          </cell>
          <cell r="P201">
            <v>43.719000000000001</v>
          </cell>
          <cell r="Q201">
            <v>46.677999999999997</v>
          </cell>
        </row>
        <row r="202">
          <cell r="C202" t="str">
            <v>BPA Reserve Purchase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C203" t="str">
            <v>Chehalis Station Service</v>
          </cell>
          <cell r="F203">
            <v>915.25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C204" t="str">
            <v xml:space="preserve">Combine Hills Wind p160595 </v>
          </cell>
          <cell r="F204">
            <v>10890.922</v>
          </cell>
          <cell r="G204">
            <v>10041.15</v>
          </cell>
          <cell r="H204">
            <v>12739.257</v>
          </cell>
          <cell r="I204">
            <v>13217.267</v>
          </cell>
          <cell r="J204">
            <v>10792.919</v>
          </cell>
          <cell r="K204">
            <v>12380.857</v>
          </cell>
          <cell r="L204">
            <v>8540.7379999999994</v>
          </cell>
          <cell r="M204">
            <v>9777.48</v>
          </cell>
          <cell r="N204">
            <v>4674.4430000000002</v>
          </cell>
          <cell r="O204">
            <v>8798.2049999999999</v>
          </cell>
          <cell r="P204">
            <v>11991.712</v>
          </cell>
          <cell r="Q204">
            <v>4798.0640000000003</v>
          </cell>
        </row>
        <row r="205">
          <cell r="C205" t="str">
            <v>Deseret Purchase p194277</v>
          </cell>
          <cell r="F205">
            <v>72136</v>
          </cell>
          <cell r="G205">
            <v>62239</v>
          </cell>
          <cell r="H205">
            <v>69413</v>
          </cell>
          <cell r="I205">
            <v>65260</v>
          </cell>
          <cell r="J205">
            <v>47750</v>
          </cell>
          <cell r="K205">
            <v>56137</v>
          </cell>
          <cell r="L205">
            <v>64129</v>
          </cell>
          <cell r="M205">
            <v>67957</v>
          </cell>
          <cell r="N205">
            <v>63268</v>
          </cell>
          <cell r="O205">
            <v>68578</v>
          </cell>
          <cell r="P205">
            <v>66452</v>
          </cell>
          <cell r="Q205">
            <v>68935</v>
          </cell>
        </row>
        <row r="206">
          <cell r="C206" t="str">
            <v>Douglas PUD Settlement p38185</v>
          </cell>
          <cell r="F206">
            <v>3126</v>
          </cell>
          <cell r="G206">
            <v>5164</v>
          </cell>
          <cell r="H206">
            <v>6375</v>
          </cell>
          <cell r="I206">
            <v>8635</v>
          </cell>
          <cell r="J206">
            <v>9294</v>
          </cell>
          <cell r="K206">
            <v>7937</v>
          </cell>
          <cell r="L206">
            <v>10277</v>
          </cell>
          <cell r="M206">
            <v>7510</v>
          </cell>
          <cell r="N206">
            <v>2514</v>
          </cell>
          <cell r="O206">
            <v>3595</v>
          </cell>
          <cell r="P206">
            <v>2778</v>
          </cell>
          <cell r="Q206">
            <v>2736</v>
          </cell>
        </row>
        <row r="207">
          <cell r="C207" t="str">
            <v>Gemstate p99489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3500</v>
          </cell>
          <cell r="K207">
            <v>14478</v>
          </cell>
          <cell r="L207">
            <v>16117</v>
          </cell>
          <cell r="M207">
            <v>14469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C208" t="str">
            <v>Georgia-Pacific Camas</v>
          </cell>
          <cell r="F208">
            <v>10352</v>
          </cell>
          <cell r="G208">
            <v>9839</v>
          </cell>
          <cell r="H208">
            <v>4096</v>
          </cell>
          <cell r="I208">
            <v>6046</v>
          </cell>
          <cell r="J208">
            <v>9216</v>
          </cell>
          <cell r="K208">
            <v>8308</v>
          </cell>
          <cell r="L208">
            <v>6671</v>
          </cell>
          <cell r="M208">
            <v>5374</v>
          </cell>
          <cell r="N208">
            <v>3997</v>
          </cell>
          <cell r="O208">
            <v>7448</v>
          </cell>
          <cell r="P208">
            <v>8609</v>
          </cell>
          <cell r="Q208">
            <v>9545</v>
          </cell>
        </row>
        <row r="209">
          <cell r="C209" t="str">
            <v>Grant County 10 aMW p66274</v>
          </cell>
          <cell r="F209">
            <v>6394</v>
          </cell>
          <cell r="G209">
            <v>4990</v>
          </cell>
          <cell r="H209">
            <v>5818</v>
          </cell>
          <cell r="I209">
            <v>7409</v>
          </cell>
          <cell r="J209">
            <v>9342</v>
          </cell>
          <cell r="K209">
            <v>9996</v>
          </cell>
          <cell r="L209">
            <v>10278</v>
          </cell>
          <cell r="M209">
            <v>9559</v>
          </cell>
          <cell r="N209">
            <v>7096</v>
          </cell>
          <cell r="O209">
            <v>5900</v>
          </cell>
          <cell r="P209">
            <v>4728</v>
          </cell>
          <cell r="Q209">
            <v>6090</v>
          </cell>
        </row>
        <row r="210">
          <cell r="C210" t="str">
            <v>Hermiston Purchase p99563</v>
          </cell>
          <cell r="F210">
            <v>136423.25</v>
          </cell>
          <cell r="G210">
            <v>122519</v>
          </cell>
          <cell r="H210">
            <v>129396.5</v>
          </cell>
          <cell r="I210">
            <v>75197.75</v>
          </cell>
          <cell r="J210">
            <v>49740.75</v>
          </cell>
          <cell r="K210">
            <v>44054</v>
          </cell>
          <cell r="L210">
            <v>51213.72</v>
          </cell>
          <cell r="M210">
            <v>72899</v>
          </cell>
          <cell r="N210">
            <v>91347.5</v>
          </cell>
          <cell r="O210">
            <v>121022.25</v>
          </cell>
          <cell r="P210">
            <v>131040.25</v>
          </cell>
          <cell r="Q210">
            <v>132265.75</v>
          </cell>
        </row>
        <row r="211">
          <cell r="C211" t="str">
            <v>Hurricane Purchase p393045</v>
          </cell>
          <cell r="F211">
            <v>189</v>
          </cell>
          <cell r="G211">
            <v>213.3</v>
          </cell>
          <cell r="H211">
            <v>180.9</v>
          </cell>
          <cell r="I211">
            <v>139.5</v>
          </cell>
          <cell r="J211">
            <v>109.8</v>
          </cell>
          <cell r="K211">
            <v>102.6</v>
          </cell>
          <cell r="L211">
            <v>137.69999999999999</v>
          </cell>
          <cell r="M211">
            <v>203.4</v>
          </cell>
          <cell r="N211">
            <v>219.6</v>
          </cell>
          <cell r="O211">
            <v>142.19999999999999</v>
          </cell>
          <cell r="P211">
            <v>107.1</v>
          </cell>
          <cell r="Q211">
            <v>139.5</v>
          </cell>
        </row>
        <row r="212">
          <cell r="C212" t="str">
            <v>LADWP p491303-4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C213" t="str">
            <v>IPP Purchase</v>
          </cell>
          <cell r="F213">
            <v>52824</v>
          </cell>
          <cell r="G213">
            <v>47712</v>
          </cell>
          <cell r="H213">
            <v>38791</v>
          </cell>
          <cell r="I213">
            <v>27298</v>
          </cell>
          <cell r="J213">
            <v>49696</v>
          </cell>
          <cell r="K213">
            <v>51120</v>
          </cell>
          <cell r="L213">
            <v>52824</v>
          </cell>
          <cell r="M213">
            <v>52824</v>
          </cell>
          <cell r="N213">
            <v>48072</v>
          </cell>
          <cell r="O213">
            <v>52739</v>
          </cell>
          <cell r="P213">
            <v>47992</v>
          </cell>
          <cell r="Q213">
            <v>49663</v>
          </cell>
        </row>
        <row r="214">
          <cell r="C214" t="str">
            <v>Kennecott Generation Incentive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C215" t="str">
            <v>MagCorp Reserves p510378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C216" t="str">
            <v>Morgan Stanley p272153-6-8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C217" t="str">
            <v>Morgan Stanley p272154-7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C218" t="str">
            <v>Nucor p346856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C219" t="str">
            <v>P4 Production p137215/p145258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C220" t="str">
            <v>PGE Cove p83984</v>
          </cell>
          <cell r="F220">
            <v>1014</v>
          </cell>
          <cell r="G220">
            <v>942</v>
          </cell>
          <cell r="H220">
            <v>1013</v>
          </cell>
          <cell r="I220">
            <v>990</v>
          </cell>
          <cell r="J220">
            <v>1014</v>
          </cell>
          <cell r="K220">
            <v>990</v>
          </cell>
          <cell r="L220">
            <v>1014</v>
          </cell>
          <cell r="M220">
            <v>1014</v>
          </cell>
          <cell r="N220">
            <v>990</v>
          </cell>
          <cell r="O220">
            <v>1014</v>
          </cell>
          <cell r="P220">
            <v>992</v>
          </cell>
          <cell r="Q220">
            <v>1014</v>
          </cell>
        </row>
        <row r="221">
          <cell r="C221" t="str">
            <v>Rock River Wind p100371</v>
          </cell>
          <cell r="F221">
            <v>19074.8</v>
          </cell>
          <cell r="G221">
            <v>9763.2999999999993</v>
          </cell>
          <cell r="H221">
            <v>17411.8</v>
          </cell>
          <cell r="I221">
            <v>16047.8</v>
          </cell>
          <cell r="J221">
            <v>11912.2</v>
          </cell>
          <cell r="K221">
            <v>7432</v>
          </cell>
          <cell r="L221">
            <v>5295.4</v>
          </cell>
          <cell r="M221">
            <v>6248.3</v>
          </cell>
          <cell r="N221">
            <v>7421.5</v>
          </cell>
          <cell r="O221">
            <v>15752.3</v>
          </cell>
          <cell r="P221">
            <v>10397</v>
          </cell>
          <cell r="Q221">
            <v>9322.5</v>
          </cell>
        </row>
        <row r="222">
          <cell r="C222" t="str">
            <v>Roseburg Forest Products p312292</v>
          </cell>
          <cell r="F222">
            <v>14720.130999999999</v>
          </cell>
          <cell r="G222">
            <v>12047.666999999999</v>
          </cell>
          <cell r="H222">
            <v>13043.42</v>
          </cell>
          <cell r="I222">
            <v>12673.018</v>
          </cell>
          <cell r="J222">
            <v>13979.692999999999</v>
          </cell>
          <cell r="K222">
            <v>14276.192999999999</v>
          </cell>
          <cell r="L222">
            <v>13555.144</v>
          </cell>
          <cell r="M222">
            <v>1127.8620000000001</v>
          </cell>
          <cell r="N222">
            <v>1112.328</v>
          </cell>
          <cell r="O222">
            <v>0</v>
          </cell>
          <cell r="P222">
            <v>194.44200000000001</v>
          </cell>
          <cell r="Q222">
            <v>50.718000000000004</v>
          </cell>
        </row>
        <row r="223">
          <cell r="C223" t="str">
            <v>Small Purchases east</v>
          </cell>
          <cell r="F223">
            <v>1076.0129999999999</v>
          </cell>
          <cell r="G223">
            <v>929.10000000000014</v>
          </cell>
          <cell r="H223">
            <v>982.24200000000019</v>
          </cell>
          <cell r="I223">
            <v>966.13499999999999</v>
          </cell>
          <cell r="J223">
            <v>770.79799999999989</v>
          </cell>
          <cell r="K223">
            <v>563.678</v>
          </cell>
          <cell r="L223">
            <v>60.309000000000005</v>
          </cell>
          <cell r="M223">
            <v>61.439</v>
          </cell>
          <cell r="N223">
            <v>94.17</v>
          </cell>
          <cell r="O223">
            <v>75.792000000000002</v>
          </cell>
          <cell r="P223">
            <v>618.86</v>
          </cell>
          <cell r="Q223">
            <v>383.27700000000004</v>
          </cell>
        </row>
        <row r="224">
          <cell r="C224" t="str">
            <v>Small Purchases west</v>
          </cell>
          <cell r="F224">
            <v>0.375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1.0999999999999999E-2</v>
          </cell>
          <cell r="O224">
            <v>0</v>
          </cell>
          <cell r="P224">
            <v>0</v>
          </cell>
          <cell r="Q224">
            <v>0</v>
          </cell>
        </row>
        <row r="225">
          <cell r="C225" t="str">
            <v>Three Buttes Wind p460457</v>
          </cell>
          <cell r="F225">
            <v>43303.9</v>
          </cell>
          <cell r="G225">
            <v>37784.199999999997</v>
          </cell>
          <cell r="H225">
            <v>36113</v>
          </cell>
          <cell r="I225">
            <v>29132.1</v>
          </cell>
          <cell r="J225">
            <v>27414.1</v>
          </cell>
          <cell r="K225">
            <v>22753.4</v>
          </cell>
          <cell r="L225">
            <v>17837.2</v>
          </cell>
          <cell r="M225">
            <v>18737.400000000001</v>
          </cell>
          <cell r="N225">
            <v>15065</v>
          </cell>
          <cell r="O225">
            <v>26208.2</v>
          </cell>
          <cell r="P225">
            <v>42846.65</v>
          </cell>
          <cell r="Q225">
            <v>42605.2</v>
          </cell>
        </row>
        <row r="226">
          <cell r="C226" t="str">
            <v>Tri-State Purchase p27057</v>
          </cell>
          <cell r="F226">
            <v>12197</v>
          </cell>
          <cell r="G226">
            <v>10649</v>
          </cell>
          <cell r="H226">
            <v>11984</v>
          </cell>
          <cell r="I226">
            <v>12609</v>
          </cell>
          <cell r="J226">
            <v>8651</v>
          </cell>
          <cell r="K226">
            <v>11073</v>
          </cell>
          <cell r="L226">
            <v>10986</v>
          </cell>
          <cell r="M226">
            <v>11894</v>
          </cell>
          <cell r="N226">
            <v>8798</v>
          </cell>
          <cell r="O226">
            <v>10095</v>
          </cell>
          <cell r="P226">
            <v>8896</v>
          </cell>
          <cell r="Q226">
            <v>13614</v>
          </cell>
        </row>
        <row r="227">
          <cell r="C227" t="str">
            <v>Top of the World Wind p522807</v>
          </cell>
          <cell r="F227">
            <v>76999.899999999994</v>
          </cell>
          <cell r="G227">
            <v>67897.399999999994</v>
          </cell>
          <cell r="H227">
            <v>70248.100000000006</v>
          </cell>
          <cell r="I227">
            <v>59375.199999999997</v>
          </cell>
          <cell r="J227">
            <v>54849.8</v>
          </cell>
          <cell r="K227">
            <v>45993.1</v>
          </cell>
          <cell r="L227">
            <v>35996</v>
          </cell>
          <cell r="M227">
            <v>39029.4</v>
          </cell>
          <cell r="N227">
            <v>31380.9</v>
          </cell>
          <cell r="O227">
            <v>49636.3</v>
          </cell>
          <cell r="P227">
            <v>81922.2</v>
          </cell>
          <cell r="Q227">
            <v>72120</v>
          </cell>
        </row>
        <row r="228">
          <cell r="C228" t="str">
            <v>West Valley Toll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16542</v>
          </cell>
          <cell r="N228">
            <v>15956</v>
          </cell>
          <cell r="O228">
            <v>7463</v>
          </cell>
          <cell r="P228">
            <v>18949</v>
          </cell>
          <cell r="Q228">
            <v>18822</v>
          </cell>
        </row>
        <row r="229">
          <cell r="C229" t="str">
            <v>Wolverine Creek Wind p244520</v>
          </cell>
          <cell r="F229">
            <v>11725.710000000001</v>
          </cell>
          <cell r="G229">
            <v>18100.490000000002</v>
          </cell>
          <cell r="H229">
            <v>24858.560000000001</v>
          </cell>
          <cell r="I229">
            <v>21151.56</v>
          </cell>
          <cell r="J229">
            <v>18077.46</v>
          </cell>
          <cell r="K229">
            <v>18181</v>
          </cell>
          <cell r="L229">
            <v>16017.15</v>
          </cell>
          <cell r="M229">
            <v>10996.08</v>
          </cell>
          <cell r="N229">
            <v>8846.4</v>
          </cell>
          <cell r="O229">
            <v>18324.66</v>
          </cell>
          <cell r="P229">
            <v>21213.59</v>
          </cell>
          <cell r="Q229">
            <v>10971.63</v>
          </cell>
        </row>
        <row r="231">
          <cell r="B231" t="str">
            <v>Sub Total Long Term Firm Purchases</v>
          </cell>
          <cell r="F231">
            <v>478616.97299999994</v>
          </cell>
          <cell r="G231">
            <v>425124.44699999993</v>
          </cell>
          <cell r="H231">
            <v>444997.37299999996</v>
          </cell>
          <cell r="I231">
            <v>357527.28899999999</v>
          </cell>
          <cell r="J231">
            <v>330741.76800000004</v>
          </cell>
          <cell r="K231">
            <v>327001.277</v>
          </cell>
          <cell r="L231">
            <v>321930.40600000008</v>
          </cell>
          <cell r="M231">
            <v>346401.74000000005</v>
          </cell>
          <cell r="N231">
            <v>311178.61700000003</v>
          </cell>
          <cell r="O231">
            <v>397567.09399999998</v>
          </cell>
          <cell r="P231">
            <v>460221.52299999999</v>
          </cell>
          <cell r="Q231">
            <v>444322.31699999998</v>
          </cell>
        </row>
        <row r="233">
          <cell r="B233" t="str">
            <v>Seasonal Purchased Power</v>
          </cell>
        </row>
        <row r="235">
          <cell r="B235" t="str">
            <v>Sub Total Seasonal Purchased Power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7">
          <cell r="B237" t="str">
            <v>Qualifying Facilities</v>
          </cell>
        </row>
        <row r="238">
          <cell r="C238" t="str">
            <v>QF California</v>
          </cell>
          <cell r="F238">
            <v>4227.6050000000005</v>
          </cell>
          <cell r="G238">
            <v>3820.4809999999998</v>
          </cell>
          <cell r="H238">
            <v>8193.8889999999992</v>
          </cell>
          <cell r="I238">
            <v>11730.357000000002</v>
          </cell>
          <cell r="J238">
            <v>12232.962</v>
          </cell>
          <cell r="K238">
            <v>13203.829</v>
          </cell>
          <cell r="L238">
            <v>5209.2349999999997</v>
          </cell>
          <cell r="M238">
            <v>4043.9560000000001</v>
          </cell>
          <cell r="N238">
            <v>3496.8249999999998</v>
          </cell>
          <cell r="O238">
            <v>3799.0549999999998</v>
          </cell>
          <cell r="P238">
            <v>3072.5529999999999</v>
          </cell>
          <cell r="Q238">
            <v>3073.3040000000001</v>
          </cell>
        </row>
        <row r="239">
          <cell r="C239" t="str">
            <v>QF Idaho</v>
          </cell>
          <cell r="F239">
            <v>4906.4180000000006</v>
          </cell>
          <cell r="G239">
            <v>4426.1490000000003</v>
          </cell>
          <cell r="H239">
            <v>5383.7110000000002</v>
          </cell>
          <cell r="I239">
            <v>6312.8979999999992</v>
          </cell>
          <cell r="J239">
            <v>8316.4679999999989</v>
          </cell>
          <cell r="K239">
            <v>11355.269</v>
          </cell>
          <cell r="L239">
            <v>10565.627999999999</v>
          </cell>
          <cell r="M239">
            <v>10503.236999999997</v>
          </cell>
          <cell r="N239">
            <v>9500.0910000000003</v>
          </cell>
          <cell r="O239">
            <v>9446.3839999999982</v>
          </cell>
          <cell r="P239">
            <v>8493.6139999999996</v>
          </cell>
          <cell r="Q239">
            <v>6327.3749999999991</v>
          </cell>
        </row>
        <row r="240">
          <cell r="C240" t="str">
            <v>QF Oregon</v>
          </cell>
          <cell r="F240">
            <v>21193.782999999999</v>
          </cell>
          <cell r="G240">
            <v>14135.72</v>
          </cell>
          <cell r="H240">
            <v>19288.540000000005</v>
          </cell>
          <cell r="I240">
            <v>24678.491000000009</v>
          </cell>
          <cell r="J240">
            <v>25729.788</v>
          </cell>
          <cell r="K240">
            <v>24156.716000000008</v>
          </cell>
          <cell r="L240">
            <v>18872.531999999999</v>
          </cell>
          <cell r="M240">
            <v>17149.446000000004</v>
          </cell>
          <cell r="N240">
            <v>16641.162999999997</v>
          </cell>
          <cell r="O240">
            <v>14354.564</v>
          </cell>
          <cell r="P240">
            <v>17288.052</v>
          </cell>
          <cell r="Q240">
            <v>19557.686999999998</v>
          </cell>
        </row>
        <row r="241">
          <cell r="C241" t="str">
            <v>QF Utah</v>
          </cell>
          <cell r="F241">
            <v>2131.7489999999998</v>
          </cell>
          <cell r="G241">
            <v>1640.8109999999999</v>
          </cell>
          <cell r="H241">
            <v>2229.8180000000002</v>
          </cell>
          <cell r="I241">
            <v>2268.0600000000004</v>
          </cell>
          <cell r="J241">
            <v>2430.739</v>
          </cell>
          <cell r="K241">
            <v>2370.7150000000001</v>
          </cell>
          <cell r="L241">
            <v>2297.991</v>
          </cell>
          <cell r="M241">
            <v>2166.2629999999999</v>
          </cell>
          <cell r="N241">
            <v>2069.163</v>
          </cell>
          <cell r="O241">
            <v>2533.4220000000005</v>
          </cell>
          <cell r="P241">
            <v>2209.7929999999997</v>
          </cell>
          <cell r="Q241">
            <v>1520.8910000000001</v>
          </cell>
        </row>
        <row r="242">
          <cell r="C242" t="str">
            <v>QF Washington</v>
          </cell>
          <cell r="F242">
            <v>1778.2530000000002</v>
          </cell>
          <cell r="G242">
            <v>1467.818</v>
          </cell>
          <cell r="H242">
            <v>1835.4679999999998</v>
          </cell>
          <cell r="I242">
            <v>1788.8029999999999</v>
          </cell>
          <cell r="J242">
            <v>1856.6579999999999</v>
          </cell>
          <cell r="K242">
            <v>2137.3520000000003</v>
          </cell>
          <cell r="L242">
            <v>3153.7269999999999</v>
          </cell>
          <cell r="M242">
            <v>3422.7109999999998</v>
          </cell>
          <cell r="N242">
            <v>3246.9480000000003</v>
          </cell>
          <cell r="O242">
            <v>1677.6130000000001</v>
          </cell>
          <cell r="P242">
            <v>1479.6770000000001</v>
          </cell>
          <cell r="Q242">
            <v>1551.491</v>
          </cell>
        </row>
        <row r="243">
          <cell r="C243" t="str">
            <v>QF Wyoming</v>
          </cell>
          <cell r="F243">
            <v>161.00200000000001</v>
          </cell>
          <cell r="G243">
            <v>143.86500000000001</v>
          </cell>
          <cell r="H243">
            <v>161.54300000000001</v>
          </cell>
          <cell r="I243">
            <v>334.52</v>
          </cell>
          <cell r="J243">
            <v>1791.1420000000001</v>
          </cell>
          <cell r="K243">
            <v>1804.865</v>
          </cell>
          <cell r="L243">
            <v>2010.663</v>
          </cell>
          <cell r="M243">
            <v>2023.0040000000001</v>
          </cell>
          <cell r="N243">
            <v>1891.0650000000001</v>
          </cell>
          <cell r="O243">
            <v>789.86</v>
          </cell>
          <cell r="P243">
            <v>154.93299999999999</v>
          </cell>
          <cell r="Q243">
            <v>155.751</v>
          </cell>
        </row>
        <row r="244">
          <cell r="C244" t="str">
            <v>Biomass p234159 QF</v>
          </cell>
          <cell r="F244">
            <v>15953.09</v>
          </cell>
          <cell r="G244">
            <v>15993.36</v>
          </cell>
          <cell r="H244">
            <v>15994.94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15200.74</v>
          </cell>
          <cell r="N244">
            <v>15866.64</v>
          </cell>
          <cell r="O244">
            <v>12664.68</v>
          </cell>
          <cell r="P244">
            <v>11326.9</v>
          </cell>
          <cell r="Q244">
            <v>7999.95</v>
          </cell>
        </row>
        <row r="245">
          <cell r="C245" t="str">
            <v>Chevron Wind p499335 QF</v>
          </cell>
          <cell r="F245">
            <v>6357.52</v>
          </cell>
          <cell r="G245">
            <v>5029.78</v>
          </cell>
          <cell r="H245">
            <v>5555.86</v>
          </cell>
          <cell r="I245">
            <v>4125.04</v>
          </cell>
          <cell r="J245">
            <v>4035.5</v>
          </cell>
          <cell r="K245">
            <v>3235</v>
          </cell>
          <cell r="L245">
            <v>2599.61</v>
          </cell>
          <cell r="M245">
            <v>2179</v>
          </cell>
          <cell r="N245">
            <v>1746.94</v>
          </cell>
          <cell r="O245">
            <v>3454.9</v>
          </cell>
          <cell r="P245">
            <v>6287.87</v>
          </cell>
          <cell r="Q245">
            <v>4215.51</v>
          </cell>
        </row>
        <row r="246">
          <cell r="C246" t="str">
            <v>DCFP p316701 QF</v>
          </cell>
          <cell r="F246">
            <v>67.478999999999999</v>
          </cell>
          <cell r="G246">
            <v>0</v>
          </cell>
          <cell r="H246">
            <v>112.376</v>
          </cell>
          <cell r="I246">
            <v>111.23399999999999</v>
          </cell>
          <cell r="J246">
            <v>262.78300000000002</v>
          </cell>
          <cell r="K246">
            <v>139.57300000000001</v>
          </cell>
          <cell r="L246">
            <v>106.7</v>
          </cell>
          <cell r="M246">
            <v>28.411999999999999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C247" t="str">
            <v>Evergreen BioPower p351030 QF</v>
          </cell>
          <cell r="F247">
            <v>3128.5430000000001</v>
          </cell>
          <cell r="G247">
            <v>3480.0149999999999</v>
          </cell>
          <cell r="H247">
            <v>3059.6019999999999</v>
          </cell>
          <cell r="I247">
            <v>2977.83</v>
          </cell>
          <cell r="J247">
            <v>3646.2559999999999</v>
          </cell>
          <cell r="K247">
            <v>3943.355</v>
          </cell>
          <cell r="L247">
            <v>4309.4399999999996</v>
          </cell>
          <cell r="M247">
            <v>2459.049</v>
          </cell>
          <cell r="N247">
            <v>3501.8490000000002</v>
          </cell>
          <cell r="O247">
            <v>4106.3040000000001</v>
          </cell>
          <cell r="P247">
            <v>3283.95</v>
          </cell>
          <cell r="Q247">
            <v>3799.3820000000001</v>
          </cell>
        </row>
        <row r="248">
          <cell r="C248" t="str">
            <v>ExxonMobil p255042 QF</v>
          </cell>
          <cell r="F248">
            <v>70913.899999999994</v>
          </cell>
          <cell r="G248">
            <v>66718.8</v>
          </cell>
          <cell r="H248">
            <v>71438</v>
          </cell>
          <cell r="I248">
            <v>51454.7</v>
          </cell>
          <cell r="J248">
            <v>50470.9</v>
          </cell>
          <cell r="K248">
            <v>48525.1</v>
          </cell>
          <cell r="L248">
            <v>47591.5</v>
          </cell>
          <cell r="M248">
            <v>1075.3</v>
          </cell>
          <cell r="N248">
            <v>40486.5</v>
          </cell>
          <cell r="O248">
            <v>47749.599999999999</v>
          </cell>
          <cell r="P248">
            <v>53499.8</v>
          </cell>
          <cell r="Q248">
            <v>70885.100000000006</v>
          </cell>
        </row>
        <row r="249">
          <cell r="C249" t="str">
            <v>Kennecott Smelter QF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12235.19</v>
          </cell>
          <cell r="M249">
            <v>8187.23</v>
          </cell>
          <cell r="N249">
            <v>12944.75</v>
          </cell>
          <cell r="O249">
            <v>0</v>
          </cell>
          <cell r="P249">
            <v>0</v>
          </cell>
          <cell r="Q249">
            <v>0</v>
          </cell>
        </row>
        <row r="250">
          <cell r="C250" t="str">
            <v>Mountain Wind 1 p367721 QF</v>
          </cell>
          <cell r="F250">
            <v>27064.546999999999</v>
          </cell>
          <cell r="G250">
            <v>21112.402999999998</v>
          </cell>
          <cell r="H250">
            <v>18173.317999999999</v>
          </cell>
          <cell r="I250">
            <v>20027.420999999998</v>
          </cell>
          <cell r="J250">
            <v>14077.567999999999</v>
          </cell>
          <cell r="K250">
            <v>10992.598</v>
          </cell>
          <cell r="L250">
            <v>6300.26</v>
          </cell>
          <cell r="M250">
            <v>8506.4349999999995</v>
          </cell>
          <cell r="N250">
            <v>6040.64</v>
          </cell>
          <cell r="O250">
            <v>17000.268</v>
          </cell>
          <cell r="P250">
            <v>16844.310000000001</v>
          </cell>
          <cell r="Q250">
            <v>20363.425999999999</v>
          </cell>
        </row>
        <row r="251">
          <cell r="C251" t="str">
            <v>Mountain Wind 2 p398449 QF</v>
          </cell>
          <cell r="F251">
            <v>33052.959999999999</v>
          </cell>
          <cell r="G251">
            <v>26297.907999999999</v>
          </cell>
          <cell r="H251">
            <v>23442.504000000001</v>
          </cell>
          <cell r="I251">
            <v>24408.564999999999</v>
          </cell>
          <cell r="J251">
            <v>19524.172999999999</v>
          </cell>
          <cell r="K251">
            <v>15149.061</v>
          </cell>
          <cell r="L251">
            <v>8449.6380000000008</v>
          </cell>
          <cell r="M251">
            <v>11020.386</v>
          </cell>
          <cell r="N251">
            <v>8154.2619999999997</v>
          </cell>
          <cell r="O251">
            <v>22071.07</v>
          </cell>
          <cell r="P251">
            <v>23164.018</v>
          </cell>
          <cell r="Q251">
            <v>26110.388999999999</v>
          </cell>
        </row>
        <row r="252">
          <cell r="C252" t="str">
            <v>Oregon Wind Farm QF</v>
          </cell>
          <cell r="F252">
            <v>11485.324999999999</v>
          </cell>
          <cell r="G252">
            <v>12359.77</v>
          </cell>
          <cell r="H252">
            <v>12890.4</v>
          </cell>
          <cell r="I252">
            <v>20097.699000000001</v>
          </cell>
          <cell r="J252">
            <v>19254.875</v>
          </cell>
          <cell r="K252">
            <v>22767.201000000001</v>
          </cell>
          <cell r="L252">
            <v>16327.475</v>
          </cell>
          <cell r="M252">
            <v>14983.423999999999</v>
          </cell>
          <cell r="N252">
            <v>9176.0249999999978</v>
          </cell>
          <cell r="O252">
            <v>12847.572999999999</v>
          </cell>
          <cell r="P252">
            <v>14537.301000000003</v>
          </cell>
          <cell r="Q252">
            <v>6334.2259999999997</v>
          </cell>
        </row>
        <row r="253">
          <cell r="C253" t="str">
            <v>Power County North Wind QF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2941.174</v>
          </cell>
        </row>
        <row r="254">
          <cell r="C254" t="str">
            <v>Power County South Wind QF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2909.8209999999999</v>
          </cell>
        </row>
        <row r="255">
          <cell r="C255" t="str">
            <v>SF Phosphates</v>
          </cell>
          <cell r="F255">
            <v>6534.8360000000002</v>
          </cell>
          <cell r="G255">
            <v>5331.0829999999996</v>
          </cell>
          <cell r="H255">
            <v>6199.1549999999997</v>
          </cell>
          <cell r="I255">
            <v>5571.3209999999999</v>
          </cell>
          <cell r="J255">
            <v>7233.0069999999996</v>
          </cell>
          <cell r="K255">
            <v>3542.1729999999998</v>
          </cell>
          <cell r="L255">
            <v>7924.9669999999996</v>
          </cell>
          <cell r="M255">
            <v>6590.2269999999999</v>
          </cell>
          <cell r="N255">
            <v>7337.8069999999998</v>
          </cell>
          <cell r="O255">
            <v>4565.808</v>
          </cell>
          <cell r="P255">
            <v>6252.241</v>
          </cell>
          <cell r="Q255">
            <v>6282.1149999999998</v>
          </cell>
        </row>
        <row r="256">
          <cell r="C256" t="str">
            <v>Spanish Fork Wind 2 p311681 QF</v>
          </cell>
          <cell r="F256">
            <v>3797.36</v>
          </cell>
          <cell r="G256">
            <v>3010.9</v>
          </cell>
          <cell r="H256">
            <v>3367.95</v>
          </cell>
          <cell r="I256">
            <v>1939.32</v>
          </cell>
          <cell r="J256">
            <v>2744.3</v>
          </cell>
          <cell r="K256">
            <v>3745.45</v>
          </cell>
          <cell r="L256">
            <v>5557.51</v>
          </cell>
          <cell r="M256">
            <v>6080.63</v>
          </cell>
          <cell r="N256">
            <v>5365.7</v>
          </cell>
          <cell r="O256">
            <v>4393.2</v>
          </cell>
          <cell r="P256">
            <v>3961.25</v>
          </cell>
          <cell r="Q256">
            <v>3416.76</v>
          </cell>
        </row>
        <row r="257">
          <cell r="C257" t="str">
            <v>Sunnyside p83997/p59965 QF</v>
          </cell>
          <cell r="F257">
            <v>34973.26</v>
          </cell>
          <cell r="G257">
            <v>34359.42</v>
          </cell>
          <cell r="H257">
            <v>36443.75</v>
          </cell>
          <cell r="I257">
            <v>19601.87</v>
          </cell>
          <cell r="J257">
            <v>38406.67</v>
          </cell>
          <cell r="K257">
            <v>37264</v>
          </cell>
          <cell r="L257">
            <v>38471</v>
          </cell>
          <cell r="M257">
            <v>38213.61</v>
          </cell>
          <cell r="N257">
            <v>37204.620000000003</v>
          </cell>
          <cell r="O257">
            <v>28491.31</v>
          </cell>
          <cell r="P257">
            <v>37231.35</v>
          </cell>
          <cell r="Q257">
            <v>38647.31</v>
          </cell>
        </row>
        <row r="258">
          <cell r="C258" t="str">
            <v>Tesoro QF</v>
          </cell>
          <cell r="F258">
            <v>5928.74</v>
          </cell>
          <cell r="G258">
            <v>4294.9399999999996</v>
          </cell>
          <cell r="H258">
            <v>3079.94</v>
          </cell>
          <cell r="I258">
            <v>1171.9100000000001</v>
          </cell>
          <cell r="J258">
            <v>1789.29</v>
          </cell>
          <cell r="K258">
            <v>1210.96</v>
          </cell>
          <cell r="L258">
            <v>2501.39</v>
          </cell>
          <cell r="M258">
            <v>2532.02</v>
          </cell>
          <cell r="N258">
            <v>1599.65</v>
          </cell>
          <cell r="O258">
            <v>2718.53</v>
          </cell>
          <cell r="P258">
            <v>2624.24</v>
          </cell>
          <cell r="Q258">
            <v>2978.16</v>
          </cell>
        </row>
        <row r="259">
          <cell r="C259" t="str">
            <v>Threemile Canyon Wind QF p500139</v>
          </cell>
          <cell r="F259">
            <v>1618.8610000000001</v>
          </cell>
          <cell r="G259">
            <v>1843.5920000000001</v>
          </cell>
          <cell r="H259">
            <v>1481.7660000000001</v>
          </cell>
          <cell r="I259">
            <v>2905.788</v>
          </cell>
          <cell r="J259">
            <v>2935.0129999999999</v>
          </cell>
          <cell r="K259">
            <v>3463.451</v>
          </cell>
          <cell r="L259">
            <v>2452.59</v>
          </cell>
          <cell r="M259">
            <v>2973.6889999999999</v>
          </cell>
          <cell r="N259">
            <v>1261.4659999999999</v>
          </cell>
          <cell r="O259">
            <v>1707.5409999999999</v>
          </cell>
          <cell r="P259">
            <v>1769.56</v>
          </cell>
          <cell r="Q259">
            <v>734.19</v>
          </cell>
        </row>
        <row r="260">
          <cell r="C260" t="str">
            <v>US Magnesium QF</v>
          </cell>
          <cell r="F260">
            <v>16732.3</v>
          </cell>
          <cell r="G260">
            <v>11787.9</v>
          </cell>
          <cell r="H260">
            <v>12664.3</v>
          </cell>
          <cell r="I260">
            <v>12497</v>
          </cell>
          <cell r="J260">
            <v>13135.8</v>
          </cell>
          <cell r="K260">
            <v>10988.6</v>
          </cell>
          <cell r="L260">
            <v>10577.8</v>
          </cell>
          <cell r="M260">
            <v>11208.5</v>
          </cell>
          <cell r="N260">
            <v>11477.4</v>
          </cell>
          <cell r="O260">
            <v>13778.1</v>
          </cell>
          <cell r="P260">
            <v>14929.5</v>
          </cell>
          <cell r="Q260">
            <v>15820</v>
          </cell>
        </row>
        <row r="262">
          <cell r="B262" t="str">
            <v>Total Qualifying Facilities</v>
          </cell>
          <cell r="F262">
            <v>272007.53100000002</v>
          </cell>
          <cell r="G262">
            <v>237254.715</v>
          </cell>
          <cell r="H262">
            <v>250996.83000000002</v>
          </cell>
          <cell r="I262">
            <v>214002.82699999999</v>
          </cell>
          <cell r="J262">
            <v>229873.89199999999</v>
          </cell>
          <cell r="K262">
            <v>219995.26800000001</v>
          </cell>
          <cell r="L262">
            <v>207514.84600000002</v>
          </cell>
          <cell r="M262">
            <v>170547.269</v>
          </cell>
          <cell r="N262">
            <v>199009.50399999999</v>
          </cell>
          <cell r="O262">
            <v>208149.78199999998</v>
          </cell>
          <cell r="P262">
            <v>228410.91200000001</v>
          </cell>
          <cell r="Q262">
            <v>245624.01199999999</v>
          </cell>
        </row>
        <row r="264">
          <cell r="B264" t="str">
            <v>Mid-Columbia Contracts</v>
          </cell>
        </row>
        <row r="265">
          <cell r="C265" t="str">
            <v>Canadian Entitlement p60828</v>
          </cell>
          <cell r="F265">
            <v>-1498</v>
          </cell>
          <cell r="G265">
            <v>-1384</v>
          </cell>
          <cell r="H265">
            <v>-1558</v>
          </cell>
          <cell r="I265">
            <v>-1498</v>
          </cell>
          <cell r="J265">
            <v>-1500</v>
          </cell>
          <cell r="K265">
            <v>-1500</v>
          </cell>
          <cell r="L265">
            <v>-1494</v>
          </cell>
          <cell r="M265">
            <v>-1558</v>
          </cell>
          <cell r="N265">
            <v>-1500</v>
          </cell>
          <cell r="O265">
            <v>-1499</v>
          </cell>
          <cell r="P265">
            <v>0</v>
          </cell>
          <cell r="Q265">
            <v>0</v>
          </cell>
        </row>
        <row r="266">
          <cell r="C266" t="str">
            <v>Chelan - Rocky Reach p60827</v>
          </cell>
          <cell r="F266">
            <v>32292</v>
          </cell>
          <cell r="G266">
            <v>34596</v>
          </cell>
          <cell r="H266">
            <v>37492</v>
          </cell>
          <cell r="I266">
            <v>38390</v>
          </cell>
          <cell r="J266">
            <v>47796</v>
          </cell>
          <cell r="K266">
            <v>50340</v>
          </cell>
          <cell r="L266">
            <v>43690</v>
          </cell>
          <cell r="M266">
            <v>37121</v>
          </cell>
          <cell r="N266">
            <v>20545</v>
          </cell>
          <cell r="O266">
            <v>21964</v>
          </cell>
          <cell r="P266">
            <v>0</v>
          </cell>
          <cell r="Q266">
            <v>0</v>
          </cell>
        </row>
        <row r="267">
          <cell r="C267" t="str">
            <v>Douglas - Wells p60828</v>
          </cell>
          <cell r="F267">
            <v>22827</v>
          </cell>
          <cell r="G267">
            <v>23810</v>
          </cell>
          <cell r="H267">
            <v>24136</v>
          </cell>
          <cell r="I267">
            <v>24252</v>
          </cell>
          <cell r="J267">
            <v>26897</v>
          </cell>
          <cell r="K267">
            <v>20744</v>
          </cell>
          <cell r="L267">
            <v>17468</v>
          </cell>
          <cell r="M267">
            <v>26559</v>
          </cell>
          <cell r="N267">
            <v>14786</v>
          </cell>
          <cell r="O267">
            <v>15122</v>
          </cell>
          <cell r="P267">
            <v>18195</v>
          </cell>
          <cell r="Q267">
            <v>19989</v>
          </cell>
        </row>
        <row r="268">
          <cell r="C268" t="str">
            <v>Grant Displacement p270294</v>
          </cell>
          <cell r="F268">
            <v>29411</v>
          </cell>
          <cell r="G268">
            <v>26745</v>
          </cell>
          <cell r="H268">
            <v>29768</v>
          </cell>
          <cell r="I268">
            <v>42963</v>
          </cell>
          <cell r="J268">
            <v>53655</v>
          </cell>
          <cell r="K268">
            <v>51540</v>
          </cell>
          <cell r="L268">
            <v>46501</v>
          </cell>
          <cell r="M268">
            <v>33186</v>
          </cell>
          <cell r="N268">
            <v>30963</v>
          </cell>
          <cell r="O268">
            <v>0</v>
          </cell>
          <cell r="P268">
            <v>0</v>
          </cell>
          <cell r="Q268">
            <v>0</v>
          </cell>
        </row>
        <row r="269">
          <cell r="C269" t="str">
            <v>Grant Surplus p258951</v>
          </cell>
          <cell r="F269">
            <v>10430</v>
          </cell>
          <cell r="G269">
            <v>7541</v>
          </cell>
          <cell r="H269">
            <v>8882</v>
          </cell>
          <cell r="I269">
            <v>3766</v>
          </cell>
          <cell r="J269">
            <v>1035</v>
          </cell>
          <cell r="K269">
            <v>1447</v>
          </cell>
          <cell r="L269">
            <v>8211</v>
          </cell>
          <cell r="M269">
            <v>9391</v>
          </cell>
          <cell r="N269">
            <v>5881</v>
          </cell>
          <cell r="O269">
            <v>7323</v>
          </cell>
          <cell r="P269">
            <v>8792</v>
          </cell>
          <cell r="Q269">
            <v>9872</v>
          </cell>
        </row>
        <row r="270">
          <cell r="C270" t="str">
            <v>Grant Reasonable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2">
          <cell r="B272" t="str">
            <v>Total Mid-Columbia Contracts</v>
          </cell>
          <cell r="F272">
            <v>93462</v>
          </cell>
          <cell r="G272">
            <v>91308</v>
          </cell>
          <cell r="H272">
            <v>98720</v>
          </cell>
          <cell r="I272">
            <v>107873</v>
          </cell>
          <cell r="J272">
            <v>127883</v>
          </cell>
          <cell r="K272">
            <v>122571</v>
          </cell>
          <cell r="L272">
            <v>114376</v>
          </cell>
          <cell r="M272">
            <v>104699</v>
          </cell>
          <cell r="N272">
            <v>70675</v>
          </cell>
          <cell r="O272">
            <v>42910</v>
          </cell>
          <cell r="P272">
            <v>26987</v>
          </cell>
          <cell r="Q272">
            <v>29861</v>
          </cell>
        </row>
        <row r="274">
          <cell r="B274" t="str">
            <v>Total Long Term Firm Purchases</v>
          </cell>
          <cell r="F274">
            <v>844086.50399999996</v>
          </cell>
          <cell r="G274">
            <v>753687.16199999989</v>
          </cell>
          <cell r="H274">
            <v>794714.20299999998</v>
          </cell>
          <cell r="I274">
            <v>679403.11599999992</v>
          </cell>
          <cell r="J274">
            <v>688498.66</v>
          </cell>
          <cell r="K274">
            <v>669567.54500000004</v>
          </cell>
          <cell r="L274">
            <v>643821.25200000009</v>
          </cell>
          <cell r="M274">
            <v>621648.00900000008</v>
          </cell>
          <cell r="N274">
            <v>580863.12100000004</v>
          </cell>
          <cell r="O274">
            <v>648626.87599999993</v>
          </cell>
          <cell r="P274">
            <v>715619.43500000006</v>
          </cell>
          <cell r="Q274">
            <v>719807.32899999991</v>
          </cell>
        </row>
        <row r="276">
          <cell r="B276" t="str">
            <v>Storage &amp; Exchange</v>
          </cell>
        </row>
        <row r="277">
          <cell r="C277" t="str">
            <v>APGI/Colockum s191690</v>
          </cell>
          <cell r="F277">
            <v>-18607</v>
          </cell>
          <cell r="G277">
            <v>-15580</v>
          </cell>
          <cell r="H277">
            <v>-16825</v>
          </cell>
          <cell r="I277">
            <v>-16446</v>
          </cell>
          <cell r="J277">
            <v>-18607</v>
          </cell>
          <cell r="K277">
            <v>-16446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C278" t="str">
            <v>APS Exchange p58118/s58119</v>
          </cell>
          <cell r="F278">
            <v>142660</v>
          </cell>
          <cell r="G278">
            <v>69020</v>
          </cell>
          <cell r="H278">
            <v>0</v>
          </cell>
          <cell r="I278">
            <v>0</v>
          </cell>
          <cell r="J278">
            <v>-78336</v>
          </cell>
          <cell r="K278">
            <v>-138184</v>
          </cell>
          <cell r="L278">
            <v>-142870</v>
          </cell>
          <cell r="M278">
            <v>-142746</v>
          </cell>
          <cell r="N278">
            <v>-69120</v>
          </cell>
          <cell r="O278">
            <v>78336</v>
          </cell>
          <cell r="P278">
            <v>136819</v>
          </cell>
          <cell r="Q278">
            <v>138488</v>
          </cell>
        </row>
        <row r="279">
          <cell r="C279" t="str">
            <v>Black Hills CTs p64676</v>
          </cell>
          <cell r="F279">
            <v>49.389999999999986</v>
          </cell>
          <cell r="G279">
            <v>33</v>
          </cell>
          <cell r="H279">
            <v>199.17699999999999</v>
          </cell>
          <cell r="I279">
            <v>-266.03499999999997</v>
          </cell>
          <cell r="J279">
            <v>2.1980000000000075</v>
          </cell>
          <cell r="K279">
            <v>-38</v>
          </cell>
          <cell r="L279">
            <v>989.56</v>
          </cell>
          <cell r="M279">
            <v>-455</v>
          </cell>
          <cell r="N279">
            <v>-570.73500000000001</v>
          </cell>
          <cell r="O279">
            <v>92.372</v>
          </cell>
          <cell r="P279">
            <v>116.009</v>
          </cell>
          <cell r="Q279">
            <v>-122.63999999999999</v>
          </cell>
        </row>
        <row r="280">
          <cell r="C280" t="str">
            <v>BPA Exchange p64706/p64888</v>
          </cell>
          <cell r="F280">
            <v>0</v>
          </cell>
          <cell r="G280">
            <v>1</v>
          </cell>
          <cell r="H280">
            <v>-50000</v>
          </cell>
          <cell r="I280">
            <v>0</v>
          </cell>
          <cell r="J280">
            <v>0</v>
          </cell>
          <cell r="K280">
            <v>132194</v>
          </cell>
          <cell r="L280">
            <v>117798</v>
          </cell>
          <cell r="M280">
            <v>0</v>
          </cell>
          <cell r="N280">
            <v>-66664</v>
          </cell>
          <cell r="O280">
            <v>-66664</v>
          </cell>
          <cell r="P280">
            <v>-66664</v>
          </cell>
          <cell r="Q280">
            <v>0</v>
          </cell>
        </row>
        <row r="281">
          <cell r="C281" t="str">
            <v xml:space="preserve">BPA FC II Wind p63507 </v>
          </cell>
          <cell r="F281">
            <v>189.572</v>
          </cell>
          <cell r="G281">
            <v>-413.62099999999998</v>
          </cell>
          <cell r="H281">
            <v>287.27300000000002</v>
          </cell>
          <cell r="I281">
            <v>-17.878000000000043</v>
          </cell>
          <cell r="J281">
            <v>-89.853999999999985</v>
          </cell>
          <cell r="K281">
            <v>-214.548</v>
          </cell>
          <cell r="L281">
            <v>-53.837999999999994</v>
          </cell>
          <cell r="M281">
            <v>57.994000000000028</v>
          </cell>
          <cell r="N281">
            <v>43.413999999999987</v>
          </cell>
          <cell r="O281">
            <v>300.95600000000002</v>
          </cell>
          <cell r="P281">
            <v>6.5480000000000018</v>
          </cell>
          <cell r="Q281">
            <v>-145.041</v>
          </cell>
        </row>
        <row r="282">
          <cell r="C282" t="str">
            <v xml:space="preserve">BPA FC IV Wind p79207 </v>
          </cell>
          <cell r="F282">
            <v>1655.5889999999999</v>
          </cell>
          <cell r="G282">
            <v>-3242.0529999999999</v>
          </cell>
          <cell r="H282">
            <v>2925.2420000000002</v>
          </cell>
          <cell r="I282">
            <v>-925.43599999999969</v>
          </cell>
          <cell r="J282">
            <v>-1289.7439999999997</v>
          </cell>
          <cell r="K282">
            <v>-1925.8119999999999</v>
          </cell>
          <cell r="L282">
            <v>-602.57299999999987</v>
          </cell>
          <cell r="M282">
            <v>279.63200000000006</v>
          </cell>
          <cell r="N282">
            <v>641.79100000000017</v>
          </cell>
          <cell r="O282">
            <v>2600.2740000000003</v>
          </cell>
          <cell r="P282">
            <v>270.04100000000017</v>
          </cell>
          <cell r="Q282">
            <v>-918.93299999999999</v>
          </cell>
        </row>
        <row r="283">
          <cell r="C283" t="str">
            <v>BPA Peaking p59820</v>
          </cell>
          <cell r="F283">
            <v>-3020</v>
          </cell>
          <cell r="G283">
            <v>-1530</v>
          </cell>
          <cell r="H283">
            <v>-7118</v>
          </cell>
          <cell r="I283">
            <v>5374</v>
          </cell>
          <cell r="J283">
            <v>-4190</v>
          </cell>
          <cell r="K283">
            <v>6851</v>
          </cell>
          <cell r="L283">
            <v>2262</v>
          </cell>
          <cell r="M283">
            <v>5549</v>
          </cell>
          <cell r="N283">
            <v>-25984</v>
          </cell>
          <cell r="O283">
            <v>0</v>
          </cell>
          <cell r="P283">
            <v>0</v>
          </cell>
          <cell r="Q283">
            <v>0</v>
          </cell>
        </row>
        <row r="284">
          <cell r="C284" t="str">
            <v>BPA So. Idaho p64885/p83975/p64705</v>
          </cell>
          <cell r="F284">
            <v>-88</v>
          </cell>
          <cell r="G284">
            <v>14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282</v>
          </cell>
          <cell r="N284">
            <v>-23</v>
          </cell>
          <cell r="O284">
            <v>270</v>
          </cell>
          <cell r="P284">
            <v>0</v>
          </cell>
          <cell r="Q284">
            <v>0</v>
          </cell>
        </row>
        <row r="285">
          <cell r="C285" t="str">
            <v>Cowlitz Swift p65787</v>
          </cell>
          <cell r="F285">
            <v>-1528</v>
          </cell>
          <cell r="G285">
            <v>-6406</v>
          </cell>
          <cell r="H285">
            <v>-2001</v>
          </cell>
          <cell r="I285">
            <v>-9098</v>
          </cell>
          <cell r="J285">
            <v>2907</v>
          </cell>
          <cell r="K285">
            <v>-3882</v>
          </cell>
          <cell r="L285">
            <v>-4318</v>
          </cell>
          <cell r="M285">
            <v>-2112</v>
          </cell>
          <cell r="N285">
            <v>149</v>
          </cell>
          <cell r="O285">
            <v>-5539</v>
          </cell>
          <cell r="P285">
            <v>1608</v>
          </cell>
          <cell r="Q285">
            <v>-5136</v>
          </cell>
        </row>
        <row r="286">
          <cell r="C286" t="str">
            <v>EWEB FC I p63508/p63510</v>
          </cell>
          <cell r="F286">
            <v>562</v>
          </cell>
          <cell r="G286">
            <v>-434</v>
          </cell>
          <cell r="H286">
            <v>336</v>
          </cell>
          <cell r="I286">
            <v>21</v>
          </cell>
          <cell r="J286">
            <v>-132</v>
          </cell>
          <cell r="K286">
            <v>-914</v>
          </cell>
          <cell r="L286">
            <v>-86</v>
          </cell>
          <cell r="M286">
            <v>336</v>
          </cell>
          <cell r="N286">
            <v>24.432999999999993</v>
          </cell>
          <cell r="O286">
            <v>1229</v>
          </cell>
          <cell r="P286">
            <v>210</v>
          </cell>
          <cell r="Q286">
            <v>-844</v>
          </cell>
        </row>
        <row r="287">
          <cell r="C287" t="str">
            <v>PSCO FC III p63362/s63361</v>
          </cell>
          <cell r="F287">
            <v>3700</v>
          </cell>
          <cell r="G287">
            <v>-3569</v>
          </cell>
          <cell r="H287">
            <v>-3085</v>
          </cell>
          <cell r="I287">
            <v>3674</v>
          </cell>
          <cell r="J287">
            <v>-1581</v>
          </cell>
          <cell r="K287">
            <v>-5857</v>
          </cell>
          <cell r="L287">
            <v>-3807</v>
          </cell>
          <cell r="M287">
            <v>-325</v>
          </cell>
          <cell r="N287">
            <v>1281</v>
          </cell>
          <cell r="O287">
            <v>4872</v>
          </cell>
          <cell r="P287">
            <v>5192</v>
          </cell>
          <cell r="Q287">
            <v>-1652</v>
          </cell>
        </row>
        <row r="288">
          <cell r="C288" t="str">
            <v>PSCo Exchange p340325</v>
          </cell>
          <cell r="F288">
            <v>-744</v>
          </cell>
          <cell r="G288">
            <v>125</v>
          </cell>
          <cell r="H288">
            <v>171</v>
          </cell>
          <cell r="I288">
            <v>524</v>
          </cell>
          <cell r="J288">
            <v>646</v>
          </cell>
          <cell r="K288">
            <v>1749</v>
          </cell>
          <cell r="L288">
            <v>1763</v>
          </cell>
          <cell r="M288">
            <v>126</v>
          </cell>
          <cell r="N288">
            <v>-3</v>
          </cell>
          <cell r="O288">
            <v>156</v>
          </cell>
          <cell r="P288">
            <v>90</v>
          </cell>
          <cell r="Q288">
            <v>147</v>
          </cell>
        </row>
        <row r="289">
          <cell r="C289" t="str">
            <v>Redding Exchange p66276</v>
          </cell>
          <cell r="F289">
            <v>9996</v>
          </cell>
          <cell r="G289">
            <v>7474</v>
          </cell>
          <cell r="H289">
            <v>9596</v>
          </cell>
          <cell r="I289">
            <v>10482</v>
          </cell>
          <cell r="J289">
            <v>-7821</v>
          </cell>
          <cell r="K289">
            <v>-7608</v>
          </cell>
          <cell r="L289">
            <v>-9774</v>
          </cell>
          <cell r="M289">
            <v>-12524</v>
          </cell>
          <cell r="N289">
            <v>-7041</v>
          </cell>
          <cell r="O289">
            <v>-6637</v>
          </cell>
          <cell r="P289">
            <v>2806</v>
          </cell>
          <cell r="Q289">
            <v>9727</v>
          </cell>
        </row>
        <row r="290">
          <cell r="C290" t="str">
            <v>SCL State Line p105228</v>
          </cell>
          <cell r="F290">
            <v>12515.682000000001</v>
          </cell>
          <cell r="G290">
            <v>9410.9429999999993</v>
          </cell>
          <cell r="H290">
            <v>-1848.413999999997</v>
          </cell>
          <cell r="I290">
            <v>10074.474999999999</v>
          </cell>
          <cell r="J290">
            <v>-253.80099999999948</v>
          </cell>
          <cell r="K290">
            <v>-1667.9389999999985</v>
          </cell>
          <cell r="L290">
            <v>-7576.6450000000004</v>
          </cell>
          <cell r="M290">
            <v>-6475.4510000000009</v>
          </cell>
          <cell r="N290">
            <v>-8986.7180000000008</v>
          </cell>
          <cell r="O290">
            <v>-6588.5600000000013</v>
          </cell>
          <cell r="P290">
            <v>14768.269</v>
          </cell>
          <cell r="Q290">
            <v>-9176.1020000000008</v>
          </cell>
        </row>
        <row r="292">
          <cell r="B292" t="str">
            <v>Total Storage &amp; Exchange</v>
          </cell>
          <cell r="F292">
            <v>147341.23300000001</v>
          </cell>
          <cell r="G292">
            <v>54903.269</v>
          </cell>
          <cell r="H292">
            <v>-67362.722000000009</v>
          </cell>
          <cell r="I292">
            <v>3396.1259999999966</v>
          </cell>
          <cell r="J292">
            <v>-108745.201</v>
          </cell>
          <cell r="K292">
            <v>-35943.298999999999</v>
          </cell>
          <cell r="L292">
            <v>-46275.495999999999</v>
          </cell>
          <cell r="M292">
            <v>-158006.82499999998</v>
          </cell>
          <cell r="N292">
            <v>-176252.815</v>
          </cell>
          <cell r="O292">
            <v>2428.0420000000013</v>
          </cell>
          <cell r="P292">
            <v>95221.866999999984</v>
          </cell>
          <cell r="Q292">
            <v>130367.284</v>
          </cell>
        </row>
        <row r="294">
          <cell r="B294" t="str">
            <v>Total Short Term Firm Purchases</v>
          </cell>
          <cell r="F294">
            <v>47879.282000000007</v>
          </cell>
          <cell r="G294">
            <v>244136.62500000006</v>
          </cell>
          <cell r="H294">
            <v>193115.571</v>
          </cell>
          <cell r="I294">
            <v>303625.38800000004</v>
          </cell>
          <cell r="J294">
            <v>355973.41399999999</v>
          </cell>
          <cell r="K294">
            <v>537779.84499999997</v>
          </cell>
          <cell r="L294">
            <v>908059.31900000037</v>
          </cell>
          <cell r="M294">
            <v>769727.41599999997</v>
          </cell>
          <cell r="N294">
            <v>549220.92200000002</v>
          </cell>
          <cell r="O294">
            <v>474873.32499999995</v>
          </cell>
          <cell r="P294">
            <v>626800.66100000008</v>
          </cell>
          <cell r="Q294">
            <v>581966.74799999991</v>
          </cell>
        </row>
        <row r="295">
          <cell r="B295" t="str">
            <v>Total Secondary Purchases</v>
          </cell>
          <cell r="F295">
            <v>43067.517000000342</v>
          </cell>
          <cell r="G295">
            <v>15576.949999999168</v>
          </cell>
          <cell r="H295">
            <v>47214.58599999937</v>
          </cell>
          <cell r="I295">
            <v>39917.684000001231</v>
          </cell>
          <cell r="J295">
            <v>-17064.13099999947</v>
          </cell>
          <cell r="K295">
            <v>1484.6090000001714</v>
          </cell>
          <cell r="L295">
            <v>11475.471999999834</v>
          </cell>
          <cell r="M295">
            <v>-50315.774000000674</v>
          </cell>
          <cell r="N295">
            <v>-4012.348000000231</v>
          </cell>
          <cell r="O295">
            <v>-1118.2929999997141</v>
          </cell>
          <cell r="P295">
            <v>-51217.430999999517</v>
          </cell>
          <cell r="Q295">
            <v>-14783.082000000635</v>
          </cell>
        </row>
        <row r="297">
          <cell r="A297" t="str">
            <v>Total Purchased Power &amp; Net Interchange</v>
          </cell>
          <cell r="F297">
            <v>1082374.5360000003</v>
          </cell>
          <cell r="G297">
            <v>1068304.0059999991</v>
          </cell>
          <cell r="H297">
            <v>967681.63799999934</v>
          </cell>
          <cell r="I297">
            <v>1026342.3140000012</v>
          </cell>
          <cell r="J297">
            <v>918662.74200000055</v>
          </cell>
          <cell r="K297">
            <v>1172888.7000000002</v>
          </cell>
          <cell r="L297">
            <v>1517080.5470000003</v>
          </cell>
          <cell r="M297">
            <v>1183052.8259999994</v>
          </cell>
          <cell r="N297">
            <v>949818.87999999989</v>
          </cell>
          <cell r="O297">
            <v>1124809.9500000002</v>
          </cell>
          <cell r="P297">
            <v>1386424.5320000006</v>
          </cell>
          <cell r="Q297">
            <v>1417358.2789999992</v>
          </cell>
        </row>
        <row r="299">
          <cell r="A299" t="str">
            <v>Coal Generation</v>
          </cell>
        </row>
        <row r="300">
          <cell r="C300" t="str">
            <v>Carbon</v>
          </cell>
          <cell r="F300">
            <v>112114</v>
          </cell>
          <cell r="G300">
            <v>95611</v>
          </cell>
          <cell r="H300">
            <v>112083</v>
          </cell>
          <cell r="I300">
            <v>108733</v>
          </cell>
          <cell r="J300">
            <v>97752</v>
          </cell>
          <cell r="K300">
            <v>104537</v>
          </cell>
          <cell r="L300">
            <v>116510</v>
          </cell>
          <cell r="M300">
            <v>119122</v>
          </cell>
          <cell r="N300">
            <v>113472</v>
          </cell>
          <cell r="O300">
            <v>117445</v>
          </cell>
          <cell r="P300">
            <v>118597</v>
          </cell>
          <cell r="Q300">
            <v>116242</v>
          </cell>
        </row>
        <row r="301">
          <cell r="C301" t="str">
            <v>Cholla</v>
          </cell>
          <cell r="F301">
            <v>237655</v>
          </cell>
          <cell r="G301">
            <v>216353</v>
          </cell>
          <cell r="H301">
            <v>235746</v>
          </cell>
          <cell r="I301">
            <v>227682</v>
          </cell>
          <cell r="J301">
            <v>174246</v>
          </cell>
          <cell r="K301">
            <v>248202</v>
          </cell>
          <cell r="L301">
            <v>188060</v>
          </cell>
          <cell r="M301">
            <v>247860</v>
          </cell>
          <cell r="N301">
            <v>247034</v>
          </cell>
          <cell r="O301">
            <v>237682</v>
          </cell>
          <cell r="P301">
            <v>240511</v>
          </cell>
          <cell r="Q301">
            <v>187339</v>
          </cell>
        </row>
        <row r="302">
          <cell r="C302" t="str">
            <v>Colstrip</v>
          </cell>
          <cell r="F302">
            <v>92651</v>
          </cell>
          <cell r="G302">
            <v>82657</v>
          </cell>
          <cell r="H302">
            <v>103121</v>
          </cell>
          <cell r="I302">
            <v>47416</v>
          </cell>
          <cell r="J302">
            <v>49808</v>
          </cell>
          <cell r="K302">
            <v>53027</v>
          </cell>
          <cell r="L302">
            <v>85891</v>
          </cell>
          <cell r="M302">
            <v>102142</v>
          </cell>
          <cell r="N302">
            <v>92442</v>
          </cell>
          <cell r="O302">
            <v>109257</v>
          </cell>
          <cell r="P302">
            <v>100791</v>
          </cell>
          <cell r="Q302">
            <v>105118</v>
          </cell>
        </row>
        <row r="303">
          <cell r="C303" t="str">
            <v>Craig</v>
          </cell>
          <cell r="F303">
            <v>116514</v>
          </cell>
          <cell r="G303">
            <v>102932</v>
          </cell>
          <cell r="H303">
            <v>80547</v>
          </cell>
          <cell r="I303">
            <v>48660</v>
          </cell>
          <cell r="J303">
            <v>79679</v>
          </cell>
          <cell r="K303">
            <v>109956</v>
          </cell>
          <cell r="L303">
            <v>110691</v>
          </cell>
          <cell r="M303">
            <v>121919</v>
          </cell>
          <cell r="N303">
            <v>113461</v>
          </cell>
          <cell r="O303">
            <v>120211</v>
          </cell>
          <cell r="P303">
            <v>117659</v>
          </cell>
          <cell r="Q303">
            <v>112595</v>
          </cell>
        </row>
        <row r="304">
          <cell r="C304" t="str">
            <v>Dave Johnston</v>
          </cell>
          <cell r="F304">
            <v>366939</v>
          </cell>
          <cell r="G304">
            <v>359490</v>
          </cell>
          <cell r="H304">
            <v>412714</v>
          </cell>
          <cell r="I304">
            <v>448751</v>
          </cell>
          <cell r="J304">
            <v>462518</v>
          </cell>
          <cell r="K304">
            <v>437994</v>
          </cell>
          <cell r="L304">
            <v>417651</v>
          </cell>
          <cell r="M304">
            <v>459286</v>
          </cell>
          <cell r="N304">
            <v>442056</v>
          </cell>
          <cell r="O304">
            <v>440154</v>
          </cell>
          <cell r="P304">
            <v>384529</v>
          </cell>
          <cell r="Q304">
            <v>427848</v>
          </cell>
        </row>
        <row r="305">
          <cell r="C305" t="str">
            <v>Hayden</v>
          </cell>
          <cell r="F305">
            <v>56718</v>
          </cell>
          <cell r="G305">
            <v>50774</v>
          </cell>
          <cell r="H305">
            <v>56655</v>
          </cell>
          <cell r="I305">
            <v>29219</v>
          </cell>
          <cell r="J305">
            <v>28385</v>
          </cell>
          <cell r="K305">
            <v>21330</v>
          </cell>
          <cell r="L305">
            <v>50241</v>
          </cell>
          <cell r="M305">
            <v>56664</v>
          </cell>
          <cell r="N305">
            <v>49393</v>
          </cell>
          <cell r="O305">
            <v>57954</v>
          </cell>
          <cell r="P305">
            <v>53457</v>
          </cell>
          <cell r="Q305">
            <v>48885</v>
          </cell>
        </row>
        <row r="306">
          <cell r="C306" t="str">
            <v>Hunter</v>
          </cell>
          <cell r="F306">
            <v>718974</v>
          </cell>
          <cell r="G306">
            <v>563939</v>
          </cell>
          <cell r="H306">
            <v>487403</v>
          </cell>
          <cell r="I306">
            <v>476604</v>
          </cell>
          <cell r="J306">
            <v>631285</v>
          </cell>
          <cell r="K306">
            <v>612680</v>
          </cell>
          <cell r="L306">
            <v>619430</v>
          </cell>
          <cell r="M306">
            <v>730851</v>
          </cell>
          <cell r="N306">
            <v>620260</v>
          </cell>
          <cell r="O306">
            <v>709126</v>
          </cell>
          <cell r="P306">
            <v>657180</v>
          </cell>
          <cell r="Q306">
            <v>614587</v>
          </cell>
        </row>
        <row r="307">
          <cell r="C307" t="str">
            <v>Huntington</v>
          </cell>
          <cell r="F307">
            <v>537421</v>
          </cell>
          <cell r="G307">
            <v>445788</v>
          </cell>
          <cell r="H307">
            <v>553115</v>
          </cell>
          <cell r="I307">
            <v>591675</v>
          </cell>
          <cell r="J307">
            <v>573554</v>
          </cell>
          <cell r="K307">
            <v>543847</v>
          </cell>
          <cell r="L307">
            <v>577705</v>
          </cell>
          <cell r="M307">
            <v>598627</v>
          </cell>
          <cell r="N307">
            <v>561984</v>
          </cell>
          <cell r="O307">
            <v>406185</v>
          </cell>
          <cell r="P307">
            <v>160799</v>
          </cell>
          <cell r="Q307">
            <v>410904</v>
          </cell>
        </row>
        <row r="308">
          <cell r="C308" t="str">
            <v>Jim Bridger</v>
          </cell>
          <cell r="F308">
            <v>732124</v>
          </cell>
          <cell r="G308">
            <v>691429</v>
          </cell>
          <cell r="H308">
            <v>743507</v>
          </cell>
          <cell r="I308">
            <v>600080</v>
          </cell>
          <cell r="J308">
            <v>503146</v>
          </cell>
          <cell r="K308">
            <v>536281</v>
          </cell>
          <cell r="L308">
            <v>750709</v>
          </cell>
          <cell r="M308">
            <v>898106</v>
          </cell>
          <cell r="N308">
            <v>856241</v>
          </cell>
          <cell r="O308">
            <v>935740</v>
          </cell>
          <cell r="P308">
            <v>744223</v>
          </cell>
          <cell r="Q308">
            <v>914086</v>
          </cell>
        </row>
        <row r="309">
          <cell r="C309" t="str">
            <v>Naughton</v>
          </cell>
          <cell r="F309">
            <v>461965</v>
          </cell>
          <cell r="G309">
            <v>423654</v>
          </cell>
          <cell r="H309">
            <v>454328</v>
          </cell>
          <cell r="I309">
            <v>445415</v>
          </cell>
          <cell r="J309">
            <v>359373</v>
          </cell>
          <cell r="K309">
            <v>443713</v>
          </cell>
          <cell r="L309">
            <v>464111</v>
          </cell>
          <cell r="M309">
            <v>473685</v>
          </cell>
          <cell r="N309">
            <v>405583</v>
          </cell>
          <cell r="O309">
            <v>332903</v>
          </cell>
          <cell r="P309">
            <v>370412</v>
          </cell>
          <cell r="Q309">
            <v>467093</v>
          </cell>
        </row>
        <row r="310">
          <cell r="C310" t="str">
            <v>Wyodak</v>
          </cell>
          <cell r="F310">
            <v>184530</v>
          </cell>
          <cell r="G310">
            <v>157063</v>
          </cell>
          <cell r="H310">
            <v>18483</v>
          </cell>
          <cell r="I310">
            <v>-2052</v>
          </cell>
          <cell r="J310">
            <v>132653</v>
          </cell>
          <cell r="K310">
            <v>140730</v>
          </cell>
          <cell r="L310">
            <v>176227</v>
          </cell>
          <cell r="M310">
            <v>166569</v>
          </cell>
          <cell r="N310">
            <v>165775</v>
          </cell>
          <cell r="O310">
            <v>87068</v>
          </cell>
          <cell r="P310">
            <v>70662</v>
          </cell>
          <cell r="Q310">
            <v>160000</v>
          </cell>
        </row>
        <row r="312">
          <cell r="A312" t="str">
            <v>Total Coal Generation</v>
          </cell>
          <cell r="F312">
            <v>3617605</v>
          </cell>
          <cell r="G312">
            <v>3189690</v>
          </cell>
          <cell r="H312">
            <v>3257702</v>
          </cell>
          <cell r="I312">
            <v>3022183</v>
          </cell>
          <cell r="J312">
            <v>3092399</v>
          </cell>
          <cell r="K312">
            <v>3252297</v>
          </cell>
          <cell r="L312">
            <v>3557226</v>
          </cell>
          <cell r="M312">
            <v>3974831</v>
          </cell>
          <cell r="N312">
            <v>3667701</v>
          </cell>
          <cell r="O312">
            <v>3553725</v>
          </cell>
          <cell r="P312">
            <v>3018820</v>
          </cell>
          <cell r="Q312">
            <v>3564697</v>
          </cell>
        </row>
        <row r="314">
          <cell r="A314" t="str">
            <v>Gas Generation</v>
          </cell>
        </row>
        <row r="315">
          <cell r="C315" t="str">
            <v>Chehalis</v>
          </cell>
          <cell r="F315">
            <v>19656</v>
          </cell>
          <cell r="G315">
            <v>12551</v>
          </cell>
          <cell r="H315">
            <v>5293</v>
          </cell>
          <cell r="I315">
            <v>12303</v>
          </cell>
          <cell r="J315">
            <v>2627</v>
          </cell>
          <cell r="K315">
            <v>4360</v>
          </cell>
          <cell r="L315">
            <v>57766</v>
          </cell>
          <cell r="M315">
            <v>146418</v>
          </cell>
          <cell r="N315">
            <v>113589</v>
          </cell>
          <cell r="O315">
            <v>22228</v>
          </cell>
          <cell r="P315">
            <v>140067</v>
          </cell>
          <cell r="Q315">
            <v>127465</v>
          </cell>
        </row>
        <row r="316">
          <cell r="C316" t="str">
            <v>Currant Creek</v>
          </cell>
          <cell r="F316">
            <v>174199</v>
          </cell>
          <cell r="G316">
            <v>190468</v>
          </cell>
          <cell r="H316">
            <v>227501</v>
          </cell>
          <cell r="I316">
            <v>222840</v>
          </cell>
          <cell r="J316">
            <v>211662</v>
          </cell>
          <cell r="K316">
            <v>191405</v>
          </cell>
          <cell r="L316">
            <v>194656</v>
          </cell>
          <cell r="M316">
            <v>188104</v>
          </cell>
          <cell r="N316">
            <v>195774</v>
          </cell>
          <cell r="O316">
            <v>211942</v>
          </cell>
          <cell r="P316">
            <v>200702</v>
          </cell>
          <cell r="Q316">
            <v>187529</v>
          </cell>
        </row>
        <row r="317">
          <cell r="C317" t="str">
            <v>Gadsby</v>
          </cell>
          <cell r="F317">
            <v>-553</v>
          </cell>
          <cell r="G317">
            <v>-443</v>
          </cell>
          <cell r="H317">
            <v>501</v>
          </cell>
          <cell r="I317">
            <v>-244</v>
          </cell>
          <cell r="J317">
            <v>-480</v>
          </cell>
          <cell r="K317">
            <v>7587</v>
          </cell>
          <cell r="L317">
            <v>28928</v>
          </cell>
          <cell r="M317">
            <v>27378</v>
          </cell>
          <cell r="N317">
            <v>7489</v>
          </cell>
          <cell r="O317">
            <v>-370</v>
          </cell>
          <cell r="P317">
            <v>-341</v>
          </cell>
          <cell r="Q317">
            <v>-374</v>
          </cell>
        </row>
        <row r="318">
          <cell r="C318" t="str">
            <v>Gadsby CT</v>
          </cell>
          <cell r="F318">
            <v>7926</v>
          </cell>
          <cell r="G318">
            <v>3803</v>
          </cell>
          <cell r="H318">
            <v>18673</v>
          </cell>
          <cell r="I318">
            <v>7074</v>
          </cell>
          <cell r="J318">
            <v>8091</v>
          </cell>
          <cell r="K318">
            <v>20778</v>
          </cell>
          <cell r="L318">
            <v>24083</v>
          </cell>
          <cell r="M318">
            <v>16832</v>
          </cell>
          <cell r="N318">
            <v>6952</v>
          </cell>
          <cell r="O318">
            <v>3422</v>
          </cell>
          <cell r="P318">
            <v>4242</v>
          </cell>
          <cell r="Q318">
            <v>4044</v>
          </cell>
        </row>
        <row r="319">
          <cell r="C319" t="str">
            <v>Hermiston</v>
          </cell>
          <cell r="F319">
            <v>136947</v>
          </cell>
          <cell r="G319">
            <v>123002</v>
          </cell>
          <cell r="H319">
            <v>129923</v>
          </cell>
          <cell r="I319">
            <v>75530</v>
          </cell>
          <cell r="J319">
            <v>49979</v>
          </cell>
          <cell r="K319">
            <v>44198</v>
          </cell>
          <cell r="L319">
            <v>51358</v>
          </cell>
          <cell r="M319">
            <v>73064</v>
          </cell>
          <cell r="N319">
            <v>91597</v>
          </cell>
          <cell r="O319">
            <v>121345</v>
          </cell>
          <cell r="P319">
            <v>131360</v>
          </cell>
          <cell r="Q319">
            <v>132791</v>
          </cell>
        </row>
        <row r="320">
          <cell r="C320" t="str">
            <v>Lake Side</v>
          </cell>
          <cell r="F320">
            <v>207635</v>
          </cell>
          <cell r="G320">
            <v>189618</v>
          </cell>
          <cell r="H320">
            <v>62646</v>
          </cell>
          <cell r="I320">
            <v>103609</v>
          </cell>
          <cell r="J320">
            <v>144451</v>
          </cell>
          <cell r="K320">
            <v>-766</v>
          </cell>
          <cell r="L320">
            <v>157141</v>
          </cell>
          <cell r="M320">
            <v>205078</v>
          </cell>
          <cell r="N320">
            <v>198273</v>
          </cell>
          <cell r="O320">
            <v>183223</v>
          </cell>
          <cell r="P320">
            <v>138235</v>
          </cell>
          <cell r="Q320">
            <v>256755</v>
          </cell>
        </row>
        <row r="321">
          <cell r="C321" t="str">
            <v>Little Mountain</v>
          </cell>
          <cell r="F321">
            <v>10238</v>
          </cell>
          <cell r="G321">
            <v>8526</v>
          </cell>
          <cell r="H321">
            <v>9768</v>
          </cell>
          <cell r="I321">
            <v>9423</v>
          </cell>
          <cell r="J321">
            <v>9523</v>
          </cell>
          <cell r="K321">
            <v>8753</v>
          </cell>
          <cell r="L321">
            <v>2981</v>
          </cell>
          <cell r="M321">
            <v>-116</v>
          </cell>
          <cell r="N321">
            <v>-167</v>
          </cell>
          <cell r="O321">
            <v>-168</v>
          </cell>
          <cell r="P321">
            <v>-188</v>
          </cell>
          <cell r="Q321">
            <v>-235</v>
          </cell>
        </row>
        <row r="323">
          <cell r="A323" t="str">
            <v>Total Gas Generation</v>
          </cell>
          <cell r="F323">
            <v>556048</v>
          </cell>
          <cell r="G323">
            <v>527525</v>
          </cell>
          <cell r="H323">
            <v>454305</v>
          </cell>
          <cell r="I323">
            <v>430535</v>
          </cell>
          <cell r="J323">
            <v>425853</v>
          </cell>
          <cell r="K323">
            <v>276315</v>
          </cell>
          <cell r="L323">
            <v>516913</v>
          </cell>
          <cell r="M323">
            <v>656758</v>
          </cell>
          <cell r="N323">
            <v>613507</v>
          </cell>
          <cell r="O323">
            <v>541622</v>
          </cell>
          <cell r="P323">
            <v>614077</v>
          </cell>
          <cell r="Q323">
            <v>707975</v>
          </cell>
        </row>
        <row r="325">
          <cell r="A325" t="str">
            <v>Hydro Generation</v>
          </cell>
        </row>
        <row r="326">
          <cell r="C326" t="str">
            <v>West Hydro</v>
          </cell>
          <cell r="F326">
            <v>465561</v>
          </cell>
          <cell r="G326">
            <v>336322</v>
          </cell>
          <cell r="H326">
            <v>476210</v>
          </cell>
          <cell r="I326">
            <v>508960</v>
          </cell>
          <cell r="J326">
            <v>514373</v>
          </cell>
          <cell r="K326">
            <v>375003</v>
          </cell>
          <cell r="L326">
            <v>280033</v>
          </cell>
          <cell r="M326">
            <v>171912</v>
          </cell>
          <cell r="N326">
            <v>184218</v>
          </cell>
          <cell r="O326">
            <v>173620</v>
          </cell>
          <cell r="P326">
            <v>317606</v>
          </cell>
          <cell r="Q326">
            <v>256779</v>
          </cell>
        </row>
        <row r="327">
          <cell r="C327" t="str">
            <v>East Hydro</v>
          </cell>
          <cell r="F327">
            <v>26960</v>
          </cell>
          <cell r="G327">
            <v>25056</v>
          </cell>
          <cell r="H327">
            <v>42289</v>
          </cell>
          <cell r="I327">
            <v>69819</v>
          </cell>
          <cell r="J327">
            <v>75113</v>
          </cell>
          <cell r="K327">
            <v>60404</v>
          </cell>
          <cell r="L327">
            <v>52863</v>
          </cell>
          <cell r="M327">
            <v>56685</v>
          </cell>
          <cell r="N327">
            <v>48430</v>
          </cell>
          <cell r="O327">
            <v>54861</v>
          </cell>
          <cell r="P327">
            <v>53865</v>
          </cell>
          <cell r="Q327">
            <v>51391</v>
          </cell>
        </row>
        <row r="329">
          <cell r="A329" t="str">
            <v>Total Hydro Generation</v>
          </cell>
          <cell r="F329">
            <v>492521</v>
          </cell>
          <cell r="G329">
            <v>361378</v>
          </cell>
          <cell r="H329">
            <v>518499</v>
          </cell>
          <cell r="I329">
            <v>578779</v>
          </cell>
          <cell r="J329">
            <v>589486</v>
          </cell>
          <cell r="K329">
            <v>435407</v>
          </cell>
          <cell r="L329">
            <v>332896</v>
          </cell>
          <cell r="M329">
            <v>228597</v>
          </cell>
          <cell r="N329">
            <v>232648</v>
          </cell>
          <cell r="O329">
            <v>228481</v>
          </cell>
          <cell r="P329">
            <v>371471</v>
          </cell>
          <cell r="Q329">
            <v>308170</v>
          </cell>
        </row>
        <row r="331">
          <cell r="A331" t="str">
            <v>Other Generation</v>
          </cell>
        </row>
        <row r="332">
          <cell r="C332" t="str">
            <v>Blundell</v>
          </cell>
          <cell r="F332">
            <v>25442</v>
          </cell>
          <cell r="G332">
            <v>18175</v>
          </cell>
          <cell r="H332">
            <v>24979</v>
          </cell>
          <cell r="I332">
            <v>24025</v>
          </cell>
          <cell r="J332">
            <v>24657</v>
          </cell>
          <cell r="K332">
            <v>22789</v>
          </cell>
          <cell r="L332">
            <v>20883</v>
          </cell>
          <cell r="M332">
            <v>19298</v>
          </cell>
          <cell r="N332">
            <v>22950</v>
          </cell>
          <cell r="O332">
            <v>24992</v>
          </cell>
          <cell r="P332">
            <v>24797</v>
          </cell>
          <cell r="Q332">
            <v>25094</v>
          </cell>
        </row>
        <row r="333">
          <cell r="C333" t="str">
            <v>Dunlap I Wind p524168</v>
          </cell>
          <cell r="F333">
            <v>54509</v>
          </cell>
          <cell r="G333">
            <v>40049</v>
          </cell>
          <cell r="H333">
            <v>50528</v>
          </cell>
          <cell r="I333">
            <v>41823</v>
          </cell>
          <cell r="J333">
            <v>35044</v>
          </cell>
          <cell r="K333">
            <v>21856</v>
          </cell>
          <cell r="L333">
            <v>16957</v>
          </cell>
          <cell r="M333">
            <v>18817</v>
          </cell>
          <cell r="N333">
            <v>18974</v>
          </cell>
          <cell r="O333">
            <v>33627</v>
          </cell>
          <cell r="P333">
            <v>43873</v>
          </cell>
          <cell r="Q333">
            <v>45029</v>
          </cell>
        </row>
        <row r="334">
          <cell r="C334" t="str">
            <v>Foote Creek I Wind</v>
          </cell>
          <cell r="F334">
            <v>14735</v>
          </cell>
          <cell r="G334">
            <v>6146</v>
          </cell>
          <cell r="H334">
            <v>10613</v>
          </cell>
          <cell r="I334">
            <v>11674</v>
          </cell>
          <cell r="J334">
            <v>8700</v>
          </cell>
          <cell r="K334">
            <v>5347</v>
          </cell>
          <cell r="L334">
            <v>4479</v>
          </cell>
          <cell r="M334">
            <v>5425</v>
          </cell>
          <cell r="N334">
            <v>6453</v>
          </cell>
          <cell r="O334">
            <v>11210</v>
          </cell>
          <cell r="P334">
            <v>11748</v>
          </cell>
          <cell r="Q334">
            <v>8552</v>
          </cell>
        </row>
        <row r="335">
          <cell r="C335" t="str">
            <v>Glenrock Wind p423461</v>
          </cell>
          <cell r="F335">
            <v>37029</v>
          </cell>
          <cell r="G335">
            <v>34204</v>
          </cell>
          <cell r="H335">
            <v>35422</v>
          </cell>
          <cell r="I335">
            <v>28374</v>
          </cell>
          <cell r="J335">
            <v>26937</v>
          </cell>
          <cell r="K335">
            <v>22447</v>
          </cell>
          <cell r="L335">
            <v>19630</v>
          </cell>
          <cell r="M335">
            <v>16711</v>
          </cell>
          <cell r="N335">
            <v>14535</v>
          </cell>
          <cell r="O335">
            <v>24184</v>
          </cell>
          <cell r="P335">
            <v>40304</v>
          </cell>
          <cell r="Q335">
            <v>41057</v>
          </cell>
        </row>
        <row r="336">
          <cell r="C336" t="str">
            <v>Glenrock III Wind p454125</v>
          </cell>
          <cell r="F336">
            <v>13938</v>
          </cell>
          <cell r="G336">
            <v>13345</v>
          </cell>
          <cell r="H336">
            <v>13540</v>
          </cell>
          <cell r="I336">
            <v>11081</v>
          </cell>
          <cell r="J336">
            <v>10709</v>
          </cell>
          <cell r="K336">
            <v>8307</v>
          </cell>
          <cell r="L336">
            <v>7107</v>
          </cell>
          <cell r="M336">
            <v>6209</v>
          </cell>
          <cell r="N336">
            <v>5548</v>
          </cell>
          <cell r="O336">
            <v>9311</v>
          </cell>
          <cell r="P336">
            <v>15208</v>
          </cell>
          <cell r="Q336">
            <v>15891</v>
          </cell>
        </row>
        <row r="337">
          <cell r="C337" t="str">
            <v>Goodnoe Wind p332427</v>
          </cell>
          <cell r="F337">
            <v>19780</v>
          </cell>
          <cell r="G337">
            <v>20647</v>
          </cell>
          <cell r="H337">
            <v>18267</v>
          </cell>
          <cell r="I337">
            <v>28331</v>
          </cell>
          <cell r="J337">
            <v>18471</v>
          </cell>
          <cell r="K337">
            <v>24928</v>
          </cell>
          <cell r="L337">
            <v>20859</v>
          </cell>
          <cell r="M337">
            <v>22616</v>
          </cell>
          <cell r="N337">
            <v>14058</v>
          </cell>
          <cell r="O337">
            <v>18751</v>
          </cell>
          <cell r="P337">
            <v>19804</v>
          </cell>
          <cell r="Q337">
            <v>12919</v>
          </cell>
        </row>
        <row r="338">
          <cell r="C338" t="str">
            <v>High Plains Wind p492251</v>
          </cell>
          <cell r="F338">
            <v>33653</v>
          </cell>
          <cell r="G338">
            <v>26549</v>
          </cell>
          <cell r="H338">
            <v>44546</v>
          </cell>
          <cell r="I338">
            <v>41411</v>
          </cell>
          <cell r="J338">
            <v>32008</v>
          </cell>
          <cell r="K338">
            <v>23747</v>
          </cell>
          <cell r="L338">
            <v>13167</v>
          </cell>
          <cell r="M338">
            <v>14749</v>
          </cell>
          <cell r="N338">
            <v>18111</v>
          </cell>
          <cell r="O338">
            <v>30159</v>
          </cell>
          <cell r="P338">
            <v>34070</v>
          </cell>
          <cell r="Q338">
            <v>23293</v>
          </cell>
        </row>
        <row r="339">
          <cell r="C339" t="str">
            <v>Leaning Juniper 1 p317714</v>
          </cell>
          <cell r="F339">
            <v>19062</v>
          </cell>
          <cell r="G339">
            <v>19309</v>
          </cell>
          <cell r="H339">
            <v>15802</v>
          </cell>
          <cell r="I339">
            <v>28429</v>
          </cell>
          <cell r="J339">
            <v>20538</v>
          </cell>
          <cell r="K339">
            <v>27432</v>
          </cell>
          <cell r="L339">
            <v>25383</v>
          </cell>
          <cell r="M339">
            <v>27022</v>
          </cell>
          <cell r="N339">
            <v>11121</v>
          </cell>
          <cell r="O339">
            <v>16699</v>
          </cell>
          <cell r="P339">
            <v>15723</v>
          </cell>
          <cell r="Q339">
            <v>8269</v>
          </cell>
        </row>
        <row r="340">
          <cell r="C340" t="str">
            <v>Marengo I Wind p332428</v>
          </cell>
          <cell r="F340">
            <v>41645</v>
          </cell>
          <cell r="G340">
            <v>35124</v>
          </cell>
          <cell r="H340">
            <v>42514</v>
          </cell>
          <cell r="I340">
            <v>47217</v>
          </cell>
          <cell r="J340">
            <v>33191</v>
          </cell>
          <cell r="K340">
            <v>37855</v>
          </cell>
          <cell r="L340">
            <v>22088</v>
          </cell>
          <cell r="M340">
            <v>27706</v>
          </cell>
          <cell r="N340">
            <v>18082</v>
          </cell>
          <cell r="O340">
            <v>32380</v>
          </cell>
          <cell r="P340">
            <v>41933</v>
          </cell>
          <cell r="Q340">
            <v>25030</v>
          </cell>
        </row>
        <row r="341">
          <cell r="C341" t="str">
            <v>Marengo II Wind p423463</v>
          </cell>
          <cell r="F341">
            <v>20822</v>
          </cell>
          <cell r="G341">
            <v>17562</v>
          </cell>
          <cell r="H341">
            <v>21256</v>
          </cell>
          <cell r="I341">
            <v>23608</v>
          </cell>
          <cell r="J341">
            <v>16596</v>
          </cell>
          <cell r="K341">
            <v>18329</v>
          </cell>
          <cell r="L341">
            <v>10321</v>
          </cell>
          <cell r="M341">
            <v>13382</v>
          </cell>
          <cell r="N341">
            <v>7805</v>
          </cell>
          <cell r="O341">
            <v>12844</v>
          </cell>
          <cell r="P341">
            <v>19280</v>
          </cell>
          <cell r="Q341">
            <v>12573</v>
          </cell>
        </row>
        <row r="342">
          <cell r="C342" t="str">
            <v>McFadden Ridge Wind p492250</v>
          </cell>
          <cell r="F342">
            <v>9621</v>
          </cell>
          <cell r="G342">
            <v>9823</v>
          </cell>
          <cell r="H342">
            <v>13358</v>
          </cell>
          <cell r="I342">
            <v>12306</v>
          </cell>
          <cell r="J342">
            <v>9631</v>
          </cell>
          <cell r="K342">
            <v>7410</v>
          </cell>
          <cell r="L342">
            <v>4418</v>
          </cell>
          <cell r="M342">
            <v>4628</v>
          </cell>
          <cell r="N342">
            <v>5370</v>
          </cell>
          <cell r="O342">
            <v>9316</v>
          </cell>
          <cell r="P342">
            <v>9971</v>
          </cell>
          <cell r="Q342">
            <v>6732</v>
          </cell>
        </row>
        <row r="343">
          <cell r="C343" t="str">
            <v>Rolling Hills Wind p423462</v>
          </cell>
          <cell r="F343">
            <v>32490</v>
          </cell>
          <cell r="G343">
            <v>31190</v>
          </cell>
          <cell r="H343">
            <v>32667</v>
          </cell>
          <cell r="I343">
            <v>26391</v>
          </cell>
          <cell r="J343">
            <v>24758</v>
          </cell>
          <cell r="K343">
            <v>19564</v>
          </cell>
          <cell r="L343">
            <v>17261</v>
          </cell>
          <cell r="M343">
            <v>14823</v>
          </cell>
          <cell r="N343">
            <v>12665</v>
          </cell>
          <cell r="O343">
            <v>23106</v>
          </cell>
          <cell r="P343">
            <v>37688</v>
          </cell>
          <cell r="Q343">
            <v>36570</v>
          </cell>
        </row>
        <row r="344">
          <cell r="C344" t="str">
            <v>Seven Mile Wind p454126</v>
          </cell>
          <cell r="F344">
            <v>46069</v>
          </cell>
          <cell r="G344">
            <v>37343</v>
          </cell>
          <cell r="H344">
            <v>44074</v>
          </cell>
          <cell r="I344">
            <v>38385</v>
          </cell>
          <cell r="J344">
            <v>29294</v>
          </cell>
          <cell r="K344">
            <v>20419</v>
          </cell>
          <cell r="L344">
            <v>16627</v>
          </cell>
          <cell r="M344">
            <v>15482</v>
          </cell>
          <cell r="N344">
            <v>18729</v>
          </cell>
          <cell r="O344">
            <v>34846</v>
          </cell>
          <cell r="P344">
            <v>42563</v>
          </cell>
          <cell r="Q344">
            <v>37848</v>
          </cell>
        </row>
        <row r="345">
          <cell r="C345" t="str">
            <v>Seven Mile II Wind p357819</v>
          </cell>
          <cell r="F345">
            <v>9870</v>
          </cell>
          <cell r="G345">
            <v>7991</v>
          </cell>
          <cell r="H345">
            <v>9685</v>
          </cell>
          <cell r="I345">
            <v>8327</v>
          </cell>
          <cell r="J345">
            <v>6763</v>
          </cell>
          <cell r="K345">
            <v>4734</v>
          </cell>
          <cell r="L345">
            <v>3747</v>
          </cell>
          <cell r="M345">
            <v>3457</v>
          </cell>
          <cell r="N345">
            <v>4202</v>
          </cell>
          <cell r="O345">
            <v>7543</v>
          </cell>
          <cell r="P345">
            <v>8928</v>
          </cell>
          <cell r="Q345">
            <v>8366</v>
          </cell>
        </row>
        <row r="347">
          <cell r="A347" t="str">
            <v>Total Other Generation</v>
          </cell>
          <cell r="F347">
            <v>378665</v>
          </cell>
          <cell r="G347">
            <v>317457</v>
          </cell>
          <cell r="H347">
            <v>377251</v>
          </cell>
          <cell r="I347">
            <v>371382</v>
          </cell>
          <cell r="J347">
            <v>297297</v>
          </cell>
          <cell r="K347">
            <v>265164</v>
          </cell>
          <cell r="L347">
            <v>202927</v>
          </cell>
          <cell r="M347">
            <v>210325</v>
          </cell>
          <cell r="N347">
            <v>178603</v>
          </cell>
          <cell r="O347">
            <v>288968</v>
          </cell>
          <cell r="P347">
            <v>365890</v>
          </cell>
          <cell r="Q347">
            <v>307223</v>
          </cell>
        </row>
        <row r="349">
          <cell r="A349" t="str">
            <v>Total Resources</v>
          </cell>
          <cell r="F349">
            <v>6127213.5360000003</v>
          </cell>
          <cell r="G349">
            <v>5464354.0059999991</v>
          </cell>
          <cell r="H349">
            <v>5575438.6379999993</v>
          </cell>
          <cell r="I349">
            <v>5429221.3140000012</v>
          </cell>
          <cell r="J349">
            <v>5323697.7420000006</v>
          </cell>
          <cell r="K349">
            <v>5402071.7000000002</v>
          </cell>
          <cell r="L349">
            <v>6127042.5470000003</v>
          </cell>
          <cell r="M349">
            <v>6253563.8259999994</v>
          </cell>
          <cell r="N349">
            <v>5642277.8799999999</v>
          </cell>
          <cell r="O349">
            <v>5737605.9500000002</v>
          </cell>
          <cell r="P349">
            <v>5756682.5320000006</v>
          </cell>
          <cell r="Q349">
            <v>6305423.2789999992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</sheetData>
      <sheetData sheetId="2">
        <row r="5">
          <cell r="B5" t="str">
            <v>TORIS</v>
          </cell>
        </row>
      </sheetData>
      <sheetData sheetId="3">
        <row r="2">
          <cell r="C2">
            <v>40544</v>
          </cell>
        </row>
      </sheetData>
      <sheetData sheetId="4">
        <row r="2">
          <cell r="C2">
            <v>40544</v>
          </cell>
        </row>
      </sheetData>
      <sheetData sheetId="5">
        <row r="2">
          <cell r="B2" t="str">
            <v>Georgia Pacific Camas Co-Gen Energy Charge</v>
          </cell>
        </row>
      </sheetData>
      <sheetData sheetId="6">
        <row r="2">
          <cell r="B2" t="str">
            <v>Actual NPC Calculation</v>
          </cell>
        </row>
      </sheetData>
      <sheetData sheetId="7">
        <row r="2">
          <cell r="B2" t="str">
            <v>Actual NPC Calculation</v>
          </cell>
        </row>
      </sheetData>
      <sheetData sheetId="8">
        <row r="9">
          <cell r="F9">
            <v>40603</v>
          </cell>
        </row>
      </sheetData>
      <sheetData sheetId="9">
        <row r="2">
          <cell r="B2" t="str">
            <v>BO</v>
          </cell>
        </row>
      </sheetData>
      <sheetData sheetId="10">
        <row r="1">
          <cell r="B1" t="str">
            <v>Total</v>
          </cell>
        </row>
      </sheetData>
      <sheetData sheetId="11">
        <row r="1">
          <cell r="B1" t="str">
            <v>Total</v>
          </cell>
        </row>
      </sheetData>
      <sheetData sheetId="12" refreshError="1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ummary"/>
      <sheetName val="Operating Cost Summary"/>
      <sheetName val="Pre 2012 Investment"/>
      <sheetName val="FAS 158-112"/>
      <sheetName val="CAPEX"/>
      <sheetName val="% Depletion"/>
      <sheetName val="Royalty-Taxes"/>
      <sheetName val="Advance Royalties"/>
      <sheetName val="Final Reclamation"/>
      <sheetName val="Transportation"/>
      <sheetName val="External Coal"/>
      <sheetName val="PE - Fin model inputs"/>
      <sheetName val="Fin. Summary"/>
      <sheetName val="Options"/>
      <sheetName val="Recovery Rpt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">
          <cell r="B8">
            <v>3</v>
          </cell>
        </row>
      </sheetData>
      <sheetData sheetId="14" refreshError="1"/>
      <sheetData sheetId="15" refreshError="1">
        <row r="13">
          <cell r="B13">
            <v>2013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Data"/>
      <sheetName val="BLS 333120"/>
      <sheetName val="BLS 33312011"/>
      <sheetName val="BLS 33312014"/>
      <sheetName val="Sheet1"/>
      <sheetName val="BLS 324110324110413"/>
    </sheetNames>
    <sheetDataSet>
      <sheetData sheetId="0"/>
      <sheetData sheetId="1" refreshError="1">
        <row r="8">
          <cell r="C8">
            <v>157.1</v>
          </cell>
          <cell r="D8">
            <v>169.5</v>
          </cell>
        </row>
        <row r="9">
          <cell r="C9">
            <v>157.9</v>
          </cell>
          <cell r="D9">
            <v>170</v>
          </cell>
        </row>
        <row r="10">
          <cell r="C10">
            <v>157.9</v>
          </cell>
          <cell r="D10">
            <v>170</v>
          </cell>
        </row>
        <row r="11">
          <cell r="C11">
            <v>159.1</v>
          </cell>
          <cell r="D11">
            <v>170.8</v>
          </cell>
        </row>
        <row r="12">
          <cell r="C12">
            <v>159.19999999999999</v>
          </cell>
          <cell r="D12">
            <v>171</v>
          </cell>
        </row>
        <row r="13">
          <cell r="C13">
            <v>159.19999999999999</v>
          </cell>
          <cell r="D13">
            <v>171</v>
          </cell>
        </row>
        <row r="14">
          <cell r="C14">
            <v>159.19999999999999</v>
          </cell>
          <cell r="D14">
            <v>171</v>
          </cell>
        </row>
        <row r="15">
          <cell r="C15">
            <v>159.19999999999999</v>
          </cell>
          <cell r="D15">
            <v>171.1</v>
          </cell>
        </row>
        <row r="16">
          <cell r="C16">
            <v>159.30000000000001</v>
          </cell>
          <cell r="D16">
            <v>171.1</v>
          </cell>
        </row>
        <row r="17">
          <cell r="C17">
            <v>159.30000000000001</v>
          </cell>
          <cell r="D17">
            <v>171.4</v>
          </cell>
        </row>
        <row r="18">
          <cell r="C18">
            <v>159.30000000000001</v>
          </cell>
          <cell r="D18">
            <v>171.6</v>
          </cell>
        </row>
        <row r="19">
          <cell r="C19">
            <v>159.30000000000001</v>
          </cell>
          <cell r="D19">
            <v>171.5</v>
          </cell>
        </row>
        <row r="20">
          <cell r="C20">
            <v>160.1</v>
          </cell>
          <cell r="D20">
            <v>172.3</v>
          </cell>
        </row>
        <row r="21">
          <cell r="C21">
            <v>161.4</v>
          </cell>
          <cell r="D21">
            <v>172.3</v>
          </cell>
        </row>
        <row r="22">
          <cell r="C22">
            <v>161.4</v>
          </cell>
          <cell r="D22">
            <v>172.4</v>
          </cell>
        </row>
        <row r="23">
          <cell r="C23">
            <v>161.5</v>
          </cell>
          <cell r="D23">
            <v>172.7</v>
          </cell>
        </row>
        <row r="24">
          <cell r="C24">
            <v>161.6</v>
          </cell>
          <cell r="D24">
            <v>172.6</v>
          </cell>
        </row>
        <row r="25">
          <cell r="C25">
            <v>161.6</v>
          </cell>
          <cell r="D25">
            <v>172.6</v>
          </cell>
        </row>
        <row r="26">
          <cell r="C26">
            <v>161.6</v>
          </cell>
          <cell r="D26">
            <v>172.8</v>
          </cell>
        </row>
        <row r="27">
          <cell r="C27">
            <v>161.69999999999999</v>
          </cell>
          <cell r="D27">
            <v>172.8</v>
          </cell>
        </row>
        <row r="28">
          <cell r="C28">
            <v>161.69999999999999</v>
          </cell>
          <cell r="D28">
            <v>173</v>
          </cell>
        </row>
        <row r="29">
          <cell r="C29">
            <v>161.69999999999999</v>
          </cell>
          <cell r="D29">
            <v>173</v>
          </cell>
        </row>
        <row r="30">
          <cell r="C30">
            <v>161.69999999999999</v>
          </cell>
          <cell r="D30">
            <v>173</v>
          </cell>
        </row>
        <row r="31">
          <cell r="C31">
            <v>161.69999999999999</v>
          </cell>
          <cell r="D31">
            <v>173</v>
          </cell>
        </row>
        <row r="32">
          <cell r="C32">
            <v>162.19999999999999</v>
          </cell>
          <cell r="D32">
            <v>173.1</v>
          </cell>
        </row>
        <row r="33">
          <cell r="C33">
            <v>162</v>
          </cell>
          <cell r="D33">
            <v>172.9</v>
          </cell>
        </row>
        <row r="34">
          <cell r="C34">
            <v>161.9</v>
          </cell>
          <cell r="D34">
            <v>173</v>
          </cell>
        </row>
        <row r="35">
          <cell r="C35">
            <v>161.9</v>
          </cell>
          <cell r="D35">
            <v>173.6</v>
          </cell>
        </row>
        <row r="36">
          <cell r="C36">
            <v>162</v>
          </cell>
          <cell r="D36">
            <v>173.5</v>
          </cell>
        </row>
        <row r="37">
          <cell r="C37">
            <v>162</v>
          </cell>
          <cell r="D37">
            <v>173.5</v>
          </cell>
        </row>
        <row r="38">
          <cell r="C38">
            <v>162</v>
          </cell>
          <cell r="D38">
            <v>173.5</v>
          </cell>
        </row>
        <row r="39">
          <cell r="C39">
            <v>162</v>
          </cell>
          <cell r="D39">
            <v>173.6</v>
          </cell>
        </row>
        <row r="40">
          <cell r="C40">
            <v>162</v>
          </cell>
          <cell r="D40">
            <v>173.5</v>
          </cell>
        </row>
        <row r="41">
          <cell r="C41">
            <v>162</v>
          </cell>
          <cell r="D41">
            <v>174.1</v>
          </cell>
        </row>
        <row r="42">
          <cell r="C42">
            <v>163</v>
          </cell>
          <cell r="D42">
            <v>174.2</v>
          </cell>
        </row>
        <row r="43">
          <cell r="C43">
            <v>163.19999999999999</v>
          </cell>
          <cell r="D43">
            <v>173.7</v>
          </cell>
        </row>
        <row r="44">
          <cell r="C44">
            <v>164.3</v>
          </cell>
          <cell r="D44">
            <v>174.2</v>
          </cell>
        </row>
        <row r="45">
          <cell r="C45">
            <v>164</v>
          </cell>
          <cell r="D45">
            <v>174.2</v>
          </cell>
        </row>
        <row r="46">
          <cell r="C46">
            <v>164</v>
          </cell>
          <cell r="D46">
            <v>176.2</v>
          </cell>
        </row>
        <row r="47">
          <cell r="C47">
            <v>164</v>
          </cell>
          <cell r="D47">
            <v>176.4</v>
          </cell>
        </row>
        <row r="48">
          <cell r="C48">
            <v>163.9</v>
          </cell>
          <cell r="D48">
            <v>176.3</v>
          </cell>
        </row>
        <row r="49">
          <cell r="C49">
            <v>163.9</v>
          </cell>
          <cell r="D49">
            <v>176.1</v>
          </cell>
        </row>
        <row r="50">
          <cell r="C50">
            <v>164</v>
          </cell>
          <cell r="D50">
            <v>176.1</v>
          </cell>
        </row>
        <row r="51">
          <cell r="C51">
            <v>164</v>
          </cell>
          <cell r="D51">
            <v>176.1</v>
          </cell>
        </row>
        <row r="52">
          <cell r="C52">
            <v>164.3</v>
          </cell>
          <cell r="D52">
            <v>176.3</v>
          </cell>
        </row>
        <row r="53">
          <cell r="C53">
            <v>164.3</v>
          </cell>
          <cell r="D53">
            <v>176.3</v>
          </cell>
        </row>
        <row r="54">
          <cell r="C54">
            <v>164.7</v>
          </cell>
          <cell r="D54">
            <v>176.5</v>
          </cell>
        </row>
        <row r="55">
          <cell r="C55">
            <v>164.7</v>
          </cell>
          <cell r="D55">
            <v>176.6</v>
          </cell>
        </row>
        <row r="56">
          <cell r="C56">
            <v>165.8</v>
          </cell>
          <cell r="D56">
            <v>177.7</v>
          </cell>
        </row>
        <row r="57">
          <cell r="C57">
            <v>166</v>
          </cell>
          <cell r="D57">
            <v>177.9</v>
          </cell>
        </row>
        <row r="58">
          <cell r="C58">
            <v>166</v>
          </cell>
          <cell r="D58">
            <v>177.9</v>
          </cell>
        </row>
        <row r="59">
          <cell r="C59">
            <v>166</v>
          </cell>
          <cell r="D59">
            <v>178.4</v>
          </cell>
        </row>
        <row r="60">
          <cell r="C60">
            <v>166</v>
          </cell>
          <cell r="D60">
            <v>178.6</v>
          </cell>
        </row>
        <row r="61">
          <cell r="C61">
            <v>166</v>
          </cell>
          <cell r="D61">
            <v>178.7</v>
          </cell>
        </row>
        <row r="62">
          <cell r="C62">
            <v>166</v>
          </cell>
          <cell r="D62">
            <v>178.4</v>
          </cell>
        </row>
        <row r="63">
          <cell r="C63">
            <v>166</v>
          </cell>
          <cell r="D63">
            <v>178.5</v>
          </cell>
        </row>
        <row r="64">
          <cell r="C64">
            <v>166</v>
          </cell>
          <cell r="D64">
            <v>178.4</v>
          </cell>
        </row>
        <row r="65">
          <cell r="C65">
            <v>166</v>
          </cell>
          <cell r="D65">
            <v>178.5</v>
          </cell>
        </row>
        <row r="66">
          <cell r="C66">
            <v>166.4</v>
          </cell>
          <cell r="D66">
            <v>178.6</v>
          </cell>
        </row>
        <row r="67">
          <cell r="C67">
            <v>166.4</v>
          </cell>
          <cell r="D67">
            <v>178.7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Totals"/>
      <sheetName val="Trade POD"/>
      <sheetName val="TradeList"/>
      <sheetName val="COB"/>
      <sheetName val="Cholla"/>
      <sheetName val="Colorado"/>
      <sheetName val="Four Corners"/>
      <sheetName val="Idaho"/>
      <sheetName val="Jim Bridger"/>
      <sheetName val="Mid Columbia"/>
      <sheetName val="Mona"/>
      <sheetName val="PP-GC"/>
      <sheetName val="Palo Verde"/>
      <sheetName val="Path C(N)"/>
      <sheetName val="SP15"/>
      <sheetName val="Utah North"/>
      <sheetName val="Utah South"/>
      <sheetName val="West Main"/>
      <sheetName val="Wyoming NE"/>
      <sheetName val="Grid Mapping"/>
    </sheetNames>
    <sheetDataSet>
      <sheetData sheetId="0">
        <row r="34">
          <cell r="C34">
            <v>39814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 Download"/>
      <sheetName val="BCC Download"/>
      <sheetName val="Input"/>
      <sheetName val="Consolidated"/>
      <sheetName val="Additional Information"/>
      <sheetName val="Labor Costs"/>
      <sheetName val="SAP JE upload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s"/>
      <sheetName val="Exhibit 1"/>
      <sheetName val="Exhibit 2"/>
      <sheetName val="Quality Adj for Unit 4"/>
      <sheetName val="Lee Ranch Amendment Split"/>
      <sheetName val="Projected Inventory"/>
      <sheetName val="APS Counter Proposal EW 1"/>
      <sheetName val="APS Counter Proposal EW 2"/>
      <sheetName val="Projected Inventory (2)"/>
      <sheetName val="Sheet2"/>
      <sheetName val="BRIDGER FORECAST"/>
      <sheetName val="HAY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59-61"/>
      <sheetName val="61-62"/>
      <sheetName val="62-63"/>
      <sheetName val="blks04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J (CB)"/>
      <sheetName val="DJ DETAIL"/>
      <sheetName val="DJ Pricing Detail"/>
      <sheetName val="DJ Pricing-Black Hills Base"/>
      <sheetName val="BNSF reopener at 1-1-14"/>
      <sheetName val="JT Boyd table"/>
      <sheetName val="GRAPH"/>
      <sheetName val="DJ FLLT"/>
      <sheetName val="DJ (FB)"/>
      <sheetName val="DJ (FB) YR2"/>
      <sheetName val="DJ (FB) YR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 Dollars"/>
      <sheetName val="Constant $ with O&amp;M Cost"/>
      <sheetName val="Constant Btu PAC Version"/>
      <sheetName val="Constant Btu"/>
      <sheetName val="APS Counter Proposal 2"/>
      <sheetName val="Sheet2"/>
      <sheetName val="Sheet3"/>
      <sheetName val="Analysis"/>
      <sheetName val="Analysi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s Required CF Sensitivity"/>
      <sheetName val="Price Proposal 50 50"/>
      <sheetName val="50 50 Range"/>
      <sheetName val="Price Proposal 40 30 30"/>
      <sheetName val="40 30 30 Range "/>
      <sheetName val="Indices - Summary"/>
      <sheetName val="PPI Industrial Commodities"/>
      <sheetName val="GDPIPD"/>
      <sheetName val="Other Indices -Detail"/>
      <sheetName val="P&amp;M Price Proposal $19.50 Hill"/>
      <sheetName val="P&amp;M Price Proposal $19.43 EVA"/>
      <sheetName val="P&amp;M Price Proposal $18.41"/>
      <sheetName val="P&amp;M Price Proposal June 4"/>
      <sheetName val="P&amp;M Equiv June 4 corrected"/>
      <sheetName val="P&amp;M Equiv Jun4 Tax corrected"/>
      <sheetName val="Power Curve 2 26"/>
      <sheetName val="McKinley Market"/>
      <sheetName val="Colowyo LS"/>
      <sheetName val="Use 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63">
          <cell r="B63">
            <v>2000</v>
          </cell>
        </row>
        <row r="64">
          <cell r="B64">
            <v>1000000</v>
          </cell>
        </row>
        <row r="66">
          <cell r="B66">
            <v>9400</v>
          </cell>
        </row>
        <row r="67">
          <cell r="B67">
            <v>11300</v>
          </cell>
        </row>
        <row r="69">
          <cell r="B69">
            <v>9800</v>
          </cell>
        </row>
        <row r="70">
          <cell r="B70">
            <v>5.6000000000000001E-2</v>
          </cell>
        </row>
        <row r="71">
          <cell r="B71">
            <v>3000000</v>
          </cell>
        </row>
        <row r="72">
          <cell r="B72">
            <v>4.21</v>
          </cell>
        </row>
      </sheetData>
      <sheetData sheetId="14"/>
      <sheetData sheetId="15" refreshError="1">
        <row r="11">
          <cell r="C11">
            <v>23.25</v>
          </cell>
          <cell r="D11">
            <v>23.975000000000001</v>
          </cell>
          <cell r="E11">
            <v>21.95</v>
          </cell>
          <cell r="F11">
            <v>25.675000000000001</v>
          </cell>
          <cell r="G11">
            <v>25.6</v>
          </cell>
          <cell r="H11">
            <v>19.574999999999999</v>
          </cell>
          <cell r="I11">
            <v>16.399999999999999</v>
          </cell>
          <cell r="J11">
            <v>19.574999999999999</v>
          </cell>
          <cell r="K11">
            <v>18.375</v>
          </cell>
          <cell r="L11">
            <v>18.5</v>
          </cell>
        </row>
        <row r="12">
          <cell r="C12">
            <v>24</v>
          </cell>
          <cell r="D12">
            <v>24.75</v>
          </cell>
          <cell r="E12">
            <v>20.75</v>
          </cell>
          <cell r="F12">
            <v>25.5</v>
          </cell>
          <cell r="G12">
            <v>25.25</v>
          </cell>
          <cell r="H12">
            <v>17.25</v>
          </cell>
          <cell r="I12">
            <v>16.25</v>
          </cell>
          <cell r="J12">
            <v>16.5</v>
          </cell>
          <cell r="K12">
            <v>16.875</v>
          </cell>
          <cell r="L12">
            <v>17.5</v>
          </cell>
        </row>
        <row r="13">
          <cell r="C13">
            <v>23</v>
          </cell>
          <cell r="D13">
            <v>25.25</v>
          </cell>
          <cell r="E13">
            <v>18.75</v>
          </cell>
          <cell r="F13">
            <v>25.7</v>
          </cell>
          <cell r="G13">
            <v>25.25</v>
          </cell>
          <cell r="H13">
            <v>14.5</v>
          </cell>
          <cell r="I13">
            <v>15.25</v>
          </cell>
          <cell r="J13">
            <v>14</v>
          </cell>
          <cell r="K13">
            <v>18</v>
          </cell>
          <cell r="L13">
            <v>17.5</v>
          </cell>
        </row>
        <row r="14">
          <cell r="C14">
            <v>23.25</v>
          </cell>
          <cell r="D14">
            <v>30.75</v>
          </cell>
          <cell r="E14">
            <v>20.25</v>
          </cell>
          <cell r="F14">
            <v>30.75</v>
          </cell>
          <cell r="G14">
            <v>27.2</v>
          </cell>
          <cell r="H14">
            <v>15</v>
          </cell>
          <cell r="I14">
            <v>17.75</v>
          </cell>
          <cell r="J14">
            <v>14.875</v>
          </cell>
          <cell r="K14">
            <v>18.25</v>
          </cell>
          <cell r="L14">
            <v>17.5</v>
          </cell>
        </row>
        <row r="15">
          <cell r="C15">
            <v>33</v>
          </cell>
          <cell r="D15">
            <v>40.875</v>
          </cell>
          <cell r="E15">
            <v>27.125</v>
          </cell>
          <cell r="F15">
            <v>41.25</v>
          </cell>
          <cell r="G15">
            <v>39.125</v>
          </cell>
          <cell r="H15">
            <v>24</v>
          </cell>
          <cell r="I15">
            <v>21.7</v>
          </cell>
          <cell r="J15">
            <v>20</v>
          </cell>
          <cell r="K15">
            <v>23.75</v>
          </cell>
          <cell r="L15">
            <v>18.25</v>
          </cell>
        </row>
        <row r="16">
          <cell r="C16">
            <v>43</v>
          </cell>
          <cell r="D16">
            <v>46.25</v>
          </cell>
          <cell r="E16">
            <v>36.5</v>
          </cell>
          <cell r="F16">
            <v>46.25</v>
          </cell>
          <cell r="G16">
            <v>44.625</v>
          </cell>
          <cell r="H16">
            <v>28.5</v>
          </cell>
          <cell r="I16">
            <v>26.2</v>
          </cell>
          <cell r="J16">
            <v>26</v>
          </cell>
          <cell r="K16">
            <v>28.5</v>
          </cell>
          <cell r="L16">
            <v>29</v>
          </cell>
        </row>
        <row r="17">
          <cell r="C17">
            <v>35</v>
          </cell>
          <cell r="D17">
            <v>35.299999999999997</v>
          </cell>
          <cell r="E17">
            <v>32.625</v>
          </cell>
          <cell r="F17">
            <v>36</v>
          </cell>
          <cell r="G17">
            <v>35</v>
          </cell>
          <cell r="H17">
            <v>24.5</v>
          </cell>
          <cell r="I17">
            <v>22.7</v>
          </cell>
          <cell r="J17">
            <v>23.75</v>
          </cell>
          <cell r="K17">
            <v>23</v>
          </cell>
          <cell r="L17">
            <v>25.25</v>
          </cell>
        </row>
        <row r="18">
          <cell r="C18">
            <v>33.25</v>
          </cell>
          <cell r="D18">
            <v>29.75</v>
          </cell>
          <cell r="E18">
            <v>29.125</v>
          </cell>
          <cell r="F18">
            <v>32.25</v>
          </cell>
          <cell r="G18">
            <v>30.7</v>
          </cell>
          <cell r="H18">
            <v>26.25</v>
          </cell>
          <cell r="I18">
            <v>18.75</v>
          </cell>
          <cell r="J18">
            <v>25.25</v>
          </cell>
          <cell r="K18">
            <v>21</v>
          </cell>
          <cell r="L18">
            <v>23.7</v>
          </cell>
        </row>
        <row r="19">
          <cell r="C19">
            <v>32.5</v>
          </cell>
          <cell r="D19">
            <v>29.3</v>
          </cell>
          <cell r="E19">
            <v>30.25</v>
          </cell>
          <cell r="F19">
            <v>32.5</v>
          </cell>
          <cell r="G19">
            <v>29.6</v>
          </cell>
          <cell r="H19">
            <v>24.35</v>
          </cell>
          <cell r="I19">
            <v>19</v>
          </cell>
          <cell r="J19">
            <v>23.35</v>
          </cell>
          <cell r="K19">
            <v>21.2</v>
          </cell>
          <cell r="L19">
            <v>24.6</v>
          </cell>
        </row>
        <row r="20">
          <cell r="C20">
            <v>35</v>
          </cell>
          <cell r="D20">
            <v>31.3</v>
          </cell>
          <cell r="E20">
            <v>33.5</v>
          </cell>
          <cell r="F20">
            <v>32.35</v>
          </cell>
          <cell r="G20">
            <v>30.5</v>
          </cell>
          <cell r="H20">
            <v>26.75</v>
          </cell>
          <cell r="I20">
            <v>19.25</v>
          </cell>
          <cell r="J20">
            <v>25.75</v>
          </cell>
          <cell r="K20">
            <v>21.5</v>
          </cell>
          <cell r="L20">
            <v>25</v>
          </cell>
        </row>
        <row r="21">
          <cell r="C21">
            <v>33.5</v>
          </cell>
          <cell r="D21">
            <v>33</v>
          </cell>
          <cell r="E21">
            <v>32</v>
          </cell>
          <cell r="F21">
            <v>34.25</v>
          </cell>
          <cell r="G21">
            <v>34.4</v>
          </cell>
          <cell r="H21">
            <v>26.25</v>
          </cell>
          <cell r="I21">
            <v>21.25</v>
          </cell>
          <cell r="J21">
            <v>25.25</v>
          </cell>
          <cell r="K21">
            <v>22.75</v>
          </cell>
          <cell r="L21">
            <v>24.6</v>
          </cell>
        </row>
        <row r="22">
          <cell r="C22">
            <v>32</v>
          </cell>
          <cell r="D22">
            <v>31.75</v>
          </cell>
          <cell r="E22">
            <v>30.5</v>
          </cell>
          <cell r="F22">
            <v>33.25</v>
          </cell>
          <cell r="G22">
            <v>32.9</v>
          </cell>
          <cell r="H22">
            <v>24.167000000000002</v>
          </cell>
          <cell r="I22">
            <v>20.167000000000002</v>
          </cell>
          <cell r="J22">
            <v>23.375</v>
          </cell>
          <cell r="K22">
            <v>21.875</v>
          </cell>
          <cell r="L22">
            <v>22.283000000000001</v>
          </cell>
        </row>
        <row r="23">
          <cell r="C23">
            <v>31.68</v>
          </cell>
          <cell r="D23">
            <v>30.276</v>
          </cell>
          <cell r="E23">
            <v>29.707999999999998</v>
          </cell>
          <cell r="F23">
            <v>32.456000000000003</v>
          </cell>
          <cell r="G23">
            <v>32.399000000000001</v>
          </cell>
          <cell r="H23">
            <v>24.167000000000002</v>
          </cell>
          <cell r="I23">
            <v>20.167000000000002</v>
          </cell>
          <cell r="J23">
            <v>21.077000000000002</v>
          </cell>
          <cell r="K23">
            <v>21.875</v>
          </cell>
          <cell r="L23">
            <v>22.283000000000001</v>
          </cell>
        </row>
        <row r="24">
          <cell r="C24">
            <v>27.518000000000001</v>
          </cell>
          <cell r="D24">
            <v>29.716000000000001</v>
          </cell>
          <cell r="E24">
            <v>25.800999999999998</v>
          </cell>
          <cell r="F24">
            <v>31.007999999999999</v>
          </cell>
          <cell r="G24">
            <v>32.451000000000001</v>
          </cell>
          <cell r="H24">
            <v>18</v>
          </cell>
          <cell r="I24">
            <v>18.25</v>
          </cell>
          <cell r="J24">
            <v>17.75</v>
          </cell>
          <cell r="K24">
            <v>23.25</v>
          </cell>
          <cell r="L24">
            <v>15.75</v>
          </cell>
        </row>
        <row r="25">
          <cell r="C25">
            <v>25.594000000000001</v>
          </cell>
          <cell r="D25">
            <v>30.428999999999998</v>
          </cell>
          <cell r="E25">
            <v>23.302</v>
          </cell>
          <cell r="F25">
            <v>31.751999999999999</v>
          </cell>
          <cell r="G25">
            <v>30.181000000000001</v>
          </cell>
          <cell r="H25">
            <v>18</v>
          </cell>
          <cell r="I25">
            <v>18.25</v>
          </cell>
          <cell r="J25">
            <v>17.75</v>
          </cell>
          <cell r="K25">
            <v>23.25</v>
          </cell>
          <cell r="L25">
            <v>15.75</v>
          </cell>
        </row>
        <row r="26">
          <cell r="C26">
            <v>26.388000000000002</v>
          </cell>
          <cell r="D26">
            <v>34.729999999999997</v>
          </cell>
          <cell r="E26">
            <v>22.896999999999998</v>
          </cell>
          <cell r="F26">
            <v>36.24</v>
          </cell>
          <cell r="G26">
            <v>31.117999999999999</v>
          </cell>
          <cell r="H26">
            <v>18</v>
          </cell>
          <cell r="I26">
            <v>18.25</v>
          </cell>
          <cell r="J26">
            <v>17.75</v>
          </cell>
          <cell r="K26">
            <v>23.25</v>
          </cell>
          <cell r="L26">
            <v>15.75</v>
          </cell>
        </row>
        <row r="27">
          <cell r="C27">
            <v>41.142000000000003</v>
          </cell>
          <cell r="D27">
            <v>45.097999999999999</v>
          </cell>
          <cell r="E27">
            <v>35.991</v>
          </cell>
          <cell r="F27">
            <v>45.573</v>
          </cell>
          <cell r="G27">
            <v>42.651000000000003</v>
          </cell>
          <cell r="H27">
            <v>27.5</v>
          </cell>
          <cell r="I27">
            <v>25</v>
          </cell>
          <cell r="J27">
            <v>27</v>
          </cell>
          <cell r="K27">
            <v>27.5</v>
          </cell>
          <cell r="L27">
            <v>28.5</v>
          </cell>
        </row>
        <row r="28">
          <cell r="C28">
            <v>48.118000000000002</v>
          </cell>
          <cell r="D28">
            <v>52.55</v>
          </cell>
          <cell r="E28">
            <v>42.807000000000002</v>
          </cell>
          <cell r="F28">
            <v>53.103000000000002</v>
          </cell>
          <cell r="G28">
            <v>49.881999999999998</v>
          </cell>
          <cell r="H28">
            <v>27.5</v>
          </cell>
          <cell r="I28">
            <v>25</v>
          </cell>
          <cell r="J28">
            <v>27</v>
          </cell>
          <cell r="K28">
            <v>27.5</v>
          </cell>
          <cell r="L28">
            <v>28.5</v>
          </cell>
        </row>
        <row r="29">
          <cell r="C29">
            <v>45.74</v>
          </cell>
          <cell r="D29">
            <v>44.851999999999997</v>
          </cell>
          <cell r="E29">
            <v>41.201999999999998</v>
          </cell>
          <cell r="F29">
            <v>45.323999999999998</v>
          </cell>
          <cell r="G29">
            <v>47.417000000000002</v>
          </cell>
          <cell r="H29">
            <v>27.5</v>
          </cell>
          <cell r="I29">
            <v>25</v>
          </cell>
          <cell r="J29">
            <v>27</v>
          </cell>
          <cell r="K29">
            <v>27.5</v>
          </cell>
          <cell r="L29">
            <v>28.5</v>
          </cell>
        </row>
        <row r="30">
          <cell r="C30">
            <v>36.127000000000002</v>
          </cell>
          <cell r="D30">
            <v>36.750999999999998</v>
          </cell>
          <cell r="E30">
            <v>34.067</v>
          </cell>
          <cell r="F30">
            <v>42.875999999999998</v>
          </cell>
          <cell r="G30">
            <v>39.688000000000002</v>
          </cell>
          <cell r="H30">
            <v>24.5</v>
          </cell>
          <cell r="I30">
            <v>22.25</v>
          </cell>
          <cell r="J30">
            <v>23.75</v>
          </cell>
          <cell r="K30">
            <v>25</v>
          </cell>
          <cell r="L30">
            <v>24.5</v>
          </cell>
        </row>
        <row r="31">
          <cell r="C31">
            <v>32.915999999999997</v>
          </cell>
          <cell r="D31">
            <v>28.92</v>
          </cell>
          <cell r="E31">
            <v>31.402000000000001</v>
          </cell>
          <cell r="F31">
            <v>33.74</v>
          </cell>
          <cell r="G31">
            <v>36.159999999999997</v>
          </cell>
          <cell r="H31">
            <v>24.5</v>
          </cell>
          <cell r="I31">
            <v>22.25</v>
          </cell>
          <cell r="J31">
            <v>23.75</v>
          </cell>
          <cell r="K31">
            <v>25</v>
          </cell>
          <cell r="L31">
            <v>24.5</v>
          </cell>
        </row>
        <row r="32">
          <cell r="C32">
            <v>34.457000000000001</v>
          </cell>
          <cell r="D32">
            <v>28.829000000000001</v>
          </cell>
          <cell r="E32">
            <v>33.530999999999999</v>
          </cell>
          <cell r="F32">
            <v>33.633000000000003</v>
          </cell>
          <cell r="G32">
            <v>37.851999999999997</v>
          </cell>
          <cell r="H32">
            <v>24.5</v>
          </cell>
          <cell r="I32">
            <v>22.25</v>
          </cell>
          <cell r="J32">
            <v>23.75</v>
          </cell>
          <cell r="K32">
            <v>25</v>
          </cell>
          <cell r="L32">
            <v>24.5</v>
          </cell>
        </row>
        <row r="33">
          <cell r="C33">
            <v>32.317999999999998</v>
          </cell>
          <cell r="D33">
            <v>31.369</v>
          </cell>
          <cell r="E33">
            <v>31.321999999999999</v>
          </cell>
          <cell r="F33">
            <v>33.682000000000002</v>
          </cell>
          <cell r="G33">
            <v>33.207000000000001</v>
          </cell>
          <cell r="H33">
            <v>22.75</v>
          </cell>
          <cell r="I33">
            <v>23.25</v>
          </cell>
          <cell r="J33">
            <v>22.75</v>
          </cell>
          <cell r="K33">
            <v>24.5</v>
          </cell>
          <cell r="L33">
            <v>22</v>
          </cell>
        </row>
        <row r="34">
          <cell r="C34">
            <v>32.317999999999998</v>
          </cell>
          <cell r="D34">
            <v>31.369</v>
          </cell>
          <cell r="E34">
            <v>31.321999999999999</v>
          </cell>
          <cell r="F34">
            <v>33.682000000000002</v>
          </cell>
          <cell r="G34">
            <v>33.207000000000001</v>
          </cell>
          <cell r="H34">
            <v>22.75</v>
          </cell>
          <cell r="I34">
            <v>23.25</v>
          </cell>
          <cell r="J34">
            <v>22.75</v>
          </cell>
          <cell r="K34">
            <v>24.5</v>
          </cell>
          <cell r="L34">
            <v>22</v>
          </cell>
        </row>
        <row r="35">
          <cell r="C35">
            <v>32.317999999999998</v>
          </cell>
          <cell r="D35">
            <v>31.369</v>
          </cell>
          <cell r="E35">
            <v>31.321999999999999</v>
          </cell>
          <cell r="F35">
            <v>33.682000000000002</v>
          </cell>
          <cell r="G35">
            <v>33.207000000000001</v>
          </cell>
          <cell r="H35">
            <v>22.75</v>
          </cell>
          <cell r="I35">
            <v>23.25</v>
          </cell>
          <cell r="J35">
            <v>21.212</v>
          </cell>
          <cell r="K35">
            <v>24.5</v>
          </cell>
          <cell r="L35">
            <v>22</v>
          </cell>
        </row>
        <row r="36">
          <cell r="C36">
            <v>25.757999999999999</v>
          </cell>
          <cell r="D36">
            <v>29.565000000000001</v>
          </cell>
          <cell r="E36">
            <v>23.108000000000001</v>
          </cell>
          <cell r="F36">
            <v>30.486000000000001</v>
          </cell>
          <cell r="G36">
            <v>29.99</v>
          </cell>
          <cell r="H36">
            <v>18.25</v>
          </cell>
          <cell r="I36">
            <v>18.75</v>
          </cell>
          <cell r="J36">
            <v>18.75</v>
          </cell>
          <cell r="K36">
            <v>23</v>
          </cell>
          <cell r="L36">
            <v>18</v>
          </cell>
        </row>
        <row r="37">
          <cell r="C37">
            <v>25.757999999999999</v>
          </cell>
          <cell r="D37">
            <v>29.565000000000001</v>
          </cell>
          <cell r="E37">
            <v>23.108000000000001</v>
          </cell>
          <cell r="F37">
            <v>30.486000000000001</v>
          </cell>
          <cell r="G37">
            <v>29.99</v>
          </cell>
          <cell r="H37">
            <v>18.25</v>
          </cell>
          <cell r="I37">
            <v>18.75</v>
          </cell>
          <cell r="J37">
            <v>18.75</v>
          </cell>
          <cell r="K37">
            <v>23</v>
          </cell>
          <cell r="L37">
            <v>18</v>
          </cell>
        </row>
        <row r="38">
          <cell r="C38">
            <v>25.757999999999999</v>
          </cell>
          <cell r="D38">
            <v>29.565000000000001</v>
          </cell>
          <cell r="E38">
            <v>23.108000000000001</v>
          </cell>
          <cell r="F38">
            <v>30.486000000000001</v>
          </cell>
          <cell r="G38">
            <v>29.99</v>
          </cell>
          <cell r="H38">
            <v>18.25</v>
          </cell>
          <cell r="I38">
            <v>18.75</v>
          </cell>
          <cell r="J38">
            <v>18.75</v>
          </cell>
          <cell r="K38">
            <v>23</v>
          </cell>
          <cell r="L38">
            <v>18</v>
          </cell>
        </row>
        <row r="39">
          <cell r="C39">
            <v>46.01</v>
          </cell>
          <cell r="D39">
            <v>50.386000000000003</v>
          </cell>
          <cell r="E39">
            <v>42.042000000000002</v>
          </cell>
          <cell r="F39">
            <v>52.518000000000001</v>
          </cell>
          <cell r="G39">
            <v>50.110999999999997</v>
          </cell>
          <cell r="H39">
            <v>28.75</v>
          </cell>
          <cell r="I39">
            <v>26.5</v>
          </cell>
          <cell r="J39">
            <v>28</v>
          </cell>
          <cell r="K39">
            <v>28</v>
          </cell>
          <cell r="L39">
            <v>28.5</v>
          </cell>
        </row>
        <row r="40">
          <cell r="C40">
            <v>46.01</v>
          </cell>
          <cell r="D40">
            <v>50.386000000000003</v>
          </cell>
          <cell r="E40">
            <v>42.042000000000002</v>
          </cell>
          <cell r="F40">
            <v>52.518000000000001</v>
          </cell>
          <cell r="G40">
            <v>50.110999999999997</v>
          </cell>
          <cell r="H40">
            <v>28.75</v>
          </cell>
          <cell r="I40">
            <v>26.5</v>
          </cell>
          <cell r="J40">
            <v>28</v>
          </cell>
          <cell r="K40">
            <v>28</v>
          </cell>
          <cell r="L40">
            <v>28.5</v>
          </cell>
        </row>
        <row r="41">
          <cell r="C41">
            <v>46.01</v>
          </cell>
          <cell r="D41">
            <v>50.386000000000003</v>
          </cell>
          <cell r="E41">
            <v>42.042000000000002</v>
          </cell>
          <cell r="F41">
            <v>52.518000000000001</v>
          </cell>
          <cell r="G41">
            <v>50.110999999999997</v>
          </cell>
          <cell r="H41">
            <v>28.75</v>
          </cell>
          <cell r="I41">
            <v>26.5</v>
          </cell>
          <cell r="J41">
            <v>28</v>
          </cell>
          <cell r="K41">
            <v>28</v>
          </cell>
          <cell r="L41">
            <v>28.5</v>
          </cell>
        </row>
        <row r="42">
          <cell r="C42">
            <v>36.414000000000001</v>
          </cell>
          <cell r="D42">
            <v>35.555</v>
          </cell>
          <cell r="E42">
            <v>34.777999999999999</v>
          </cell>
          <cell r="F42">
            <v>38.838999999999999</v>
          </cell>
          <cell r="G42">
            <v>38.692</v>
          </cell>
          <cell r="H42">
            <v>26.25</v>
          </cell>
          <cell r="I42">
            <v>23</v>
          </cell>
          <cell r="J42">
            <v>25.25</v>
          </cell>
          <cell r="K42">
            <v>25</v>
          </cell>
          <cell r="L42">
            <v>25.25</v>
          </cell>
        </row>
        <row r="43">
          <cell r="C43">
            <v>36.414000000000001</v>
          </cell>
          <cell r="D43">
            <v>35.555</v>
          </cell>
          <cell r="E43">
            <v>34.777999999999999</v>
          </cell>
          <cell r="F43">
            <v>38.838999999999999</v>
          </cell>
          <cell r="G43">
            <v>38.692</v>
          </cell>
          <cell r="H43">
            <v>26.25</v>
          </cell>
          <cell r="I43">
            <v>23</v>
          </cell>
          <cell r="J43">
            <v>25.25</v>
          </cell>
          <cell r="K43">
            <v>25</v>
          </cell>
          <cell r="L43">
            <v>25.25</v>
          </cell>
        </row>
        <row r="44">
          <cell r="C44">
            <v>36.414000000000001</v>
          </cell>
          <cell r="D44">
            <v>35.555</v>
          </cell>
          <cell r="E44">
            <v>34.777999999999999</v>
          </cell>
          <cell r="F44">
            <v>38.838999999999999</v>
          </cell>
          <cell r="G44">
            <v>38.692</v>
          </cell>
          <cell r="H44">
            <v>26.25</v>
          </cell>
          <cell r="I44">
            <v>23</v>
          </cell>
          <cell r="J44">
            <v>25.25</v>
          </cell>
          <cell r="K44">
            <v>25</v>
          </cell>
          <cell r="L44">
            <v>25.25</v>
          </cell>
        </row>
        <row r="45">
          <cell r="C45">
            <v>31.391999999999999</v>
          </cell>
          <cell r="D45">
            <v>31.155000000000001</v>
          </cell>
          <cell r="E45">
            <v>31.797000000000001</v>
          </cell>
          <cell r="F45">
            <v>33.134999999999998</v>
          </cell>
          <cell r="G45">
            <v>34.292999999999999</v>
          </cell>
          <cell r="H45">
            <v>23.224</v>
          </cell>
          <cell r="I45">
            <v>23.783999999999999</v>
          </cell>
          <cell r="J45">
            <v>23.29</v>
          </cell>
          <cell r="K45">
            <v>25.109000000000002</v>
          </cell>
          <cell r="L45">
            <v>22.527999999999999</v>
          </cell>
        </row>
        <row r="46">
          <cell r="C46">
            <v>31.391999999999999</v>
          </cell>
          <cell r="D46">
            <v>31.155000000000001</v>
          </cell>
          <cell r="E46">
            <v>31.797000000000001</v>
          </cell>
          <cell r="F46">
            <v>33.134999999999998</v>
          </cell>
          <cell r="G46">
            <v>34.292999999999999</v>
          </cell>
          <cell r="H46">
            <v>23.224</v>
          </cell>
          <cell r="I46">
            <v>23.783999999999999</v>
          </cell>
          <cell r="J46">
            <v>23.29</v>
          </cell>
          <cell r="K46">
            <v>25.109000000000002</v>
          </cell>
          <cell r="L46">
            <v>22.527999999999999</v>
          </cell>
        </row>
      </sheetData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/>
      <sheetData sheetId="5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6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7"/>
      <sheetData sheetId="8"/>
      <sheetData sheetId="9"/>
      <sheetData sheetId="10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2"/>
  <sheetViews>
    <sheetView tabSelected="1" workbookViewId="0">
      <selection activeCell="J29" sqref="J29"/>
    </sheetView>
  </sheetViews>
  <sheetFormatPr defaultRowHeight="15" x14ac:dyDescent="0.25"/>
  <cols>
    <col min="1" max="1" width="40.28515625" bestFit="1" customWidth="1"/>
    <col min="2" max="2" width="22.42578125" customWidth="1"/>
    <col min="5" max="5" width="40.28515625" bestFit="1" customWidth="1"/>
    <col min="6" max="6" width="16" bestFit="1" customWidth="1"/>
    <col min="8" max="8" width="15" bestFit="1" customWidth="1"/>
    <col min="10" max="10" width="15" bestFit="1" customWidth="1"/>
  </cols>
  <sheetData>
    <row r="1" spans="1:10" ht="15.75" x14ac:dyDescent="0.25">
      <c r="A1" s="1" t="s">
        <v>0</v>
      </c>
    </row>
    <row r="2" spans="1:10" x14ac:dyDescent="0.25">
      <c r="A2" t="s">
        <v>1</v>
      </c>
    </row>
    <row r="4" spans="1:10" x14ac:dyDescent="0.25">
      <c r="A4" s="2" t="s">
        <v>2</v>
      </c>
      <c r="E4" t="s">
        <v>3</v>
      </c>
      <c r="H4" t="s">
        <v>4</v>
      </c>
      <c r="I4" t="s">
        <v>35</v>
      </c>
      <c r="J4" t="s">
        <v>36</v>
      </c>
    </row>
    <row r="6" spans="1:10" x14ac:dyDescent="0.25">
      <c r="A6" s="3" t="s">
        <v>5</v>
      </c>
      <c r="B6" s="4">
        <v>41487</v>
      </c>
      <c r="E6" s="3" t="s">
        <v>5</v>
      </c>
      <c r="F6" s="4">
        <v>41487</v>
      </c>
    </row>
    <row r="7" spans="1:10" x14ac:dyDescent="0.25">
      <c r="A7" s="5" t="s">
        <v>6</v>
      </c>
      <c r="B7" s="6">
        <v>182906</v>
      </c>
      <c r="E7" s="5" t="s">
        <v>6</v>
      </c>
      <c r="F7" s="6">
        <v>182906</v>
      </c>
    </row>
    <row r="8" spans="1:10" x14ac:dyDescent="0.25">
      <c r="A8" s="5" t="s">
        <v>7</v>
      </c>
      <c r="B8" s="6">
        <v>0</v>
      </c>
      <c r="E8" s="5" t="s">
        <v>7</v>
      </c>
      <c r="F8" s="6">
        <v>0</v>
      </c>
    </row>
    <row r="9" spans="1:10" x14ac:dyDescent="0.25">
      <c r="A9" s="5" t="s">
        <v>8</v>
      </c>
      <c r="B9" s="6">
        <v>239850</v>
      </c>
      <c r="E9" s="5" t="s">
        <v>8</v>
      </c>
      <c r="F9" s="6">
        <v>239850</v>
      </c>
    </row>
    <row r="10" spans="1:10" x14ac:dyDescent="0.25">
      <c r="A10" s="5" t="s">
        <v>9</v>
      </c>
      <c r="B10" s="6">
        <v>0</v>
      </c>
      <c r="E10" s="5" t="s">
        <v>9</v>
      </c>
      <c r="F10" s="6">
        <v>0</v>
      </c>
    </row>
    <row r="11" spans="1:10" x14ac:dyDescent="0.25">
      <c r="A11" s="5" t="s">
        <v>10</v>
      </c>
      <c r="B11" s="6">
        <v>0</v>
      </c>
      <c r="E11" s="5" t="s">
        <v>10</v>
      </c>
      <c r="F11" s="6">
        <v>0</v>
      </c>
    </row>
    <row r="12" spans="1:10" x14ac:dyDescent="0.25">
      <c r="A12" s="5" t="s">
        <v>11</v>
      </c>
      <c r="B12" s="6">
        <v>0</v>
      </c>
      <c r="E12" s="5" t="s">
        <v>11</v>
      </c>
      <c r="F12" s="6">
        <v>0</v>
      </c>
    </row>
    <row r="13" spans="1:10" x14ac:dyDescent="0.25">
      <c r="A13" s="5" t="s">
        <v>12</v>
      </c>
      <c r="B13" s="6">
        <v>0</v>
      </c>
      <c r="E13" s="5" t="s">
        <v>12</v>
      </c>
      <c r="F13" s="6">
        <v>0</v>
      </c>
    </row>
    <row r="14" spans="1:10" x14ac:dyDescent="0.25">
      <c r="A14" s="5" t="s">
        <v>13</v>
      </c>
      <c r="B14" s="6">
        <v>116577</v>
      </c>
      <c r="E14" s="5" t="s">
        <v>13</v>
      </c>
      <c r="F14" s="6">
        <v>116577</v>
      </c>
    </row>
    <row r="15" spans="1:10" x14ac:dyDescent="0.25">
      <c r="A15" s="5" t="s">
        <v>14</v>
      </c>
      <c r="B15" s="6">
        <v>116577</v>
      </c>
      <c r="E15" s="5" t="s">
        <v>14</v>
      </c>
      <c r="F15" s="6">
        <v>116577</v>
      </c>
    </row>
    <row r="16" spans="1:10" x14ac:dyDescent="0.25">
      <c r="A16" s="5" t="s">
        <v>15</v>
      </c>
      <c r="B16" s="6">
        <v>0</v>
      </c>
      <c r="E16" s="5" t="s">
        <v>15</v>
      </c>
      <c r="F16" s="6">
        <v>0</v>
      </c>
    </row>
    <row r="17" spans="1:10" x14ac:dyDescent="0.25">
      <c r="A17" s="5" t="s">
        <v>16</v>
      </c>
      <c r="B17" s="7">
        <v>5600</v>
      </c>
      <c r="E17" s="5" t="s">
        <v>16</v>
      </c>
      <c r="F17" s="7">
        <v>5600</v>
      </c>
    </row>
    <row r="18" spans="1:10" x14ac:dyDescent="0.25">
      <c r="A18" s="8" t="s">
        <v>17</v>
      </c>
      <c r="B18" s="6">
        <f>SUM(B7:B17)-B15</f>
        <v>544933</v>
      </c>
      <c r="E18" s="8" t="s">
        <v>17</v>
      </c>
      <c r="F18" s="6">
        <f>SUM(F7:F17)-F15</f>
        <v>544933</v>
      </c>
    </row>
    <row r="19" spans="1:10" x14ac:dyDescent="0.25">
      <c r="A19" s="5"/>
      <c r="B19" s="6"/>
      <c r="E19" s="5"/>
      <c r="F19" s="6"/>
    </row>
    <row r="20" spans="1:10" x14ac:dyDescent="0.25">
      <c r="A20" s="5" t="s">
        <v>18</v>
      </c>
      <c r="B20" s="6">
        <f>+B7+B11+B14</f>
        <v>299483</v>
      </c>
      <c r="E20" s="5" t="s">
        <v>18</v>
      </c>
      <c r="F20" s="6">
        <f>+F7+F11+F14</f>
        <v>299483</v>
      </c>
    </row>
    <row r="21" spans="1:10" x14ac:dyDescent="0.25">
      <c r="A21" s="5" t="s">
        <v>19</v>
      </c>
      <c r="B21" s="6">
        <f>+B8+B12+B16</f>
        <v>0</v>
      </c>
      <c r="E21" s="5" t="s">
        <v>19</v>
      </c>
      <c r="F21" s="6">
        <f>+F8+F12+F16</f>
        <v>0</v>
      </c>
    </row>
    <row r="22" spans="1:10" x14ac:dyDescent="0.25">
      <c r="A22" s="5" t="s">
        <v>20</v>
      </c>
      <c r="B22" s="7">
        <f>+B9+B10+B13+B17</f>
        <v>245450</v>
      </c>
      <c r="E22" s="5" t="s">
        <v>20</v>
      </c>
      <c r="F22" s="7">
        <f>+F9+F10+F13+F17</f>
        <v>245450</v>
      </c>
    </row>
    <row r="23" spans="1:10" x14ac:dyDescent="0.25">
      <c r="A23" s="8" t="s">
        <v>17</v>
      </c>
      <c r="B23" s="6">
        <f>SUM(B20:B22)</f>
        <v>544933</v>
      </c>
      <c r="E23" s="8" t="s">
        <v>17</v>
      </c>
      <c r="F23" s="6">
        <f>SUM(F20:F22)</f>
        <v>544933</v>
      </c>
    </row>
    <row r="24" spans="1:10" x14ac:dyDescent="0.25">
      <c r="A24" s="5"/>
      <c r="B24" s="9"/>
      <c r="E24" s="5"/>
      <c r="F24" s="9"/>
    </row>
    <row r="25" spans="1:10" x14ac:dyDescent="0.25">
      <c r="A25" s="5"/>
      <c r="B25" s="5"/>
      <c r="E25" s="5"/>
      <c r="F25" s="5"/>
    </row>
    <row r="26" spans="1:10" x14ac:dyDescent="0.25">
      <c r="A26" s="10" t="s">
        <v>21</v>
      </c>
      <c r="B26" s="11"/>
      <c r="E26" s="10" t="s">
        <v>21</v>
      </c>
      <c r="F26" s="11"/>
    </row>
    <row r="27" spans="1:10" x14ac:dyDescent="0.25">
      <c r="A27" s="5" t="s">
        <v>22</v>
      </c>
      <c r="B27" s="12">
        <f>ROUND(B32*B40*B42,2)</f>
        <v>2380574.1800000002</v>
      </c>
      <c r="E27" s="5" t="s">
        <v>22</v>
      </c>
      <c r="F27" s="12">
        <f>ROUND(F32*F40*F42,2)</f>
        <v>658671.27</v>
      </c>
    </row>
    <row r="28" spans="1:10" ht="15.75" thickBot="1" x14ac:dyDescent="0.3">
      <c r="A28" s="13" t="s">
        <v>23</v>
      </c>
      <c r="B28" s="12">
        <f>B36*B43*B45</f>
        <v>732805.51172399998</v>
      </c>
      <c r="E28" s="13" t="s">
        <v>23</v>
      </c>
      <c r="F28" s="12">
        <f>F36*F43*F45</f>
        <v>552790.36768567178</v>
      </c>
    </row>
    <row r="29" spans="1:10" ht="15.75" thickBot="1" x14ac:dyDescent="0.3">
      <c r="A29" s="8" t="s">
        <v>24</v>
      </c>
      <c r="B29" s="14">
        <f>+B28+B27</f>
        <v>3113379.691724</v>
      </c>
      <c r="E29" s="8" t="s">
        <v>24</v>
      </c>
      <c r="F29" s="14">
        <f>+F28+F27</f>
        <v>1211461.6376856719</v>
      </c>
      <c r="H29" s="15">
        <f>F29-B29</f>
        <v>-1901918.0540383281</v>
      </c>
      <c r="I29" s="23">
        <v>0.66666666666666663</v>
      </c>
      <c r="J29" s="22">
        <f>H29*I29</f>
        <v>-1267945.3693588853</v>
      </c>
    </row>
    <row r="30" spans="1:10" x14ac:dyDescent="0.25">
      <c r="A30" s="5"/>
      <c r="B30" s="12"/>
      <c r="E30" s="5"/>
      <c r="F30" s="12"/>
    </row>
    <row r="31" spans="1:10" x14ac:dyDescent="0.25">
      <c r="A31" s="10" t="s">
        <v>25</v>
      </c>
      <c r="B31" s="11"/>
      <c r="E31" s="10" t="s">
        <v>25</v>
      </c>
      <c r="F31" s="11"/>
    </row>
    <row r="32" spans="1:10" x14ac:dyDescent="0.25">
      <c r="A32" s="5" t="s">
        <v>26</v>
      </c>
      <c r="B32" s="9">
        <f>B7</f>
        <v>182906</v>
      </c>
      <c r="E32" s="5" t="s">
        <v>26</v>
      </c>
      <c r="F32" s="9">
        <f>F7</f>
        <v>182906</v>
      </c>
    </row>
    <row r="33" spans="1:6" x14ac:dyDescent="0.25">
      <c r="A33" s="5" t="s">
        <v>27</v>
      </c>
      <c r="B33" s="9"/>
      <c r="E33" s="5" t="s">
        <v>27</v>
      </c>
      <c r="F33" s="9"/>
    </row>
    <row r="34" spans="1:6" x14ac:dyDescent="0.25">
      <c r="A34" s="5" t="s">
        <v>28</v>
      </c>
      <c r="B34" s="9">
        <f>+B8</f>
        <v>0</v>
      </c>
      <c r="E34" s="5" t="s">
        <v>28</v>
      </c>
      <c r="F34" s="9">
        <f>+F8</f>
        <v>0</v>
      </c>
    </row>
    <row r="35" spans="1:6" x14ac:dyDescent="0.25">
      <c r="A35" s="5" t="s">
        <v>29</v>
      </c>
      <c r="B35" s="9"/>
      <c r="E35" s="5" t="s">
        <v>29</v>
      </c>
      <c r="F35" s="9"/>
    </row>
    <row r="36" spans="1:6" x14ac:dyDescent="0.25">
      <c r="A36" s="5" t="s">
        <v>30</v>
      </c>
      <c r="B36" s="9">
        <f>+(B9+B10)-B37</f>
        <v>239850</v>
      </c>
      <c r="E36" s="5" t="s">
        <v>30</v>
      </c>
      <c r="F36" s="9">
        <f>+(F9+F10)-F37</f>
        <v>239850</v>
      </c>
    </row>
    <row r="37" spans="1:6" x14ac:dyDescent="0.25">
      <c r="A37" s="5" t="s">
        <v>31</v>
      </c>
      <c r="B37" s="16"/>
      <c r="E37" s="5" t="s">
        <v>31</v>
      </c>
      <c r="F37" s="16"/>
    </row>
    <row r="38" spans="1:6" x14ac:dyDescent="0.25">
      <c r="A38" s="8" t="s">
        <v>24</v>
      </c>
      <c r="B38" s="9">
        <f>SUM(B32:B37)</f>
        <v>422756</v>
      </c>
      <c r="E38" s="8" t="s">
        <v>24</v>
      </c>
      <c r="F38" s="9">
        <f>SUM(F32:F37)</f>
        <v>422756</v>
      </c>
    </row>
    <row r="39" spans="1:6" x14ac:dyDescent="0.25">
      <c r="A39" s="10" t="s">
        <v>32</v>
      </c>
      <c r="B39" s="11"/>
      <c r="E39" s="10" t="s">
        <v>32</v>
      </c>
      <c r="F39" s="11"/>
    </row>
    <row r="40" spans="1:6" x14ac:dyDescent="0.25">
      <c r="A40" s="5" t="s">
        <v>26</v>
      </c>
      <c r="B40" s="17">
        <v>104.1223</v>
      </c>
      <c r="E40" s="5" t="s">
        <v>26</v>
      </c>
      <c r="F40" s="17">
        <f>('AFR 13_PS RPT_Aug'!E821+'AFR 13_PS RPT_Aug'!E829)/'AFR 13_PS RPT_Aug'!D821</f>
        <v>28.809170715325816</v>
      </c>
    </row>
    <row r="41" spans="1:6" x14ac:dyDescent="0.25">
      <c r="A41" s="5" t="s">
        <v>27</v>
      </c>
      <c r="B41" s="18">
        <f>+B40</f>
        <v>104.1223</v>
      </c>
      <c r="E41" s="5" t="s">
        <v>27</v>
      </c>
      <c r="F41" s="18">
        <f>+F40</f>
        <v>28.809170715325816</v>
      </c>
    </row>
    <row r="42" spans="1:6" x14ac:dyDescent="0.25">
      <c r="A42" s="5" t="s">
        <v>33</v>
      </c>
      <c r="B42" s="19">
        <v>0.125</v>
      </c>
      <c r="E42" s="5" t="s">
        <v>33</v>
      </c>
      <c r="F42" s="19">
        <v>0.125</v>
      </c>
    </row>
    <row r="43" spans="1:6" x14ac:dyDescent="0.25">
      <c r="A43" s="5" t="s">
        <v>30</v>
      </c>
      <c r="B43" s="20">
        <v>38.190823000000002</v>
      </c>
      <c r="E43" s="5" t="s">
        <v>30</v>
      </c>
      <c r="F43" s="20">
        <f>F40</f>
        <v>28.809170715325816</v>
      </c>
    </row>
    <row r="44" spans="1:6" x14ac:dyDescent="0.25">
      <c r="A44" s="5" t="s">
        <v>31</v>
      </c>
      <c r="B44" s="20">
        <f>+B43</f>
        <v>38.190823000000002</v>
      </c>
      <c r="E44" s="5" t="s">
        <v>31</v>
      </c>
      <c r="F44" s="20">
        <f>+F43</f>
        <v>28.809170715325816</v>
      </c>
    </row>
    <row r="45" spans="1:6" x14ac:dyDescent="0.25">
      <c r="A45" s="5" t="s">
        <v>34</v>
      </c>
      <c r="B45" s="19">
        <v>0.08</v>
      </c>
      <c r="E45" s="5" t="s">
        <v>34</v>
      </c>
      <c r="F45" s="19">
        <v>0.08</v>
      </c>
    </row>
    <row r="46" spans="1:6" x14ac:dyDescent="0.25">
      <c r="A46" s="21"/>
      <c r="B46" s="21"/>
      <c r="E46" s="21"/>
      <c r="F46" s="21"/>
    </row>
    <row r="47" spans="1:6" x14ac:dyDescent="0.25">
      <c r="A47" s="21"/>
      <c r="B47" s="21"/>
    </row>
    <row r="48" spans="1:6" x14ac:dyDescent="0.25">
      <c r="A48" s="21"/>
      <c r="B48" s="21"/>
    </row>
    <row r="49" spans="1:2" x14ac:dyDescent="0.25">
      <c r="A49" s="21"/>
      <c r="B49" s="21"/>
    </row>
    <row r="50" spans="1:2" x14ac:dyDescent="0.25">
      <c r="A50" s="21"/>
      <c r="B50" s="21"/>
    </row>
    <row r="51" spans="1:2" x14ac:dyDescent="0.25">
      <c r="A51" s="21"/>
      <c r="B51" s="21"/>
    </row>
    <row r="52" spans="1:2" x14ac:dyDescent="0.25">
      <c r="A52" s="21"/>
      <c r="B52" s="21"/>
    </row>
    <row r="53" spans="1:2" x14ac:dyDescent="0.25">
      <c r="A53" s="21"/>
      <c r="B53" s="21"/>
    </row>
    <row r="54" spans="1:2" x14ac:dyDescent="0.25">
      <c r="A54" s="21"/>
      <c r="B54" s="21"/>
    </row>
    <row r="55" spans="1:2" x14ac:dyDescent="0.25">
      <c r="A55" s="21"/>
      <c r="B55" s="21"/>
    </row>
    <row r="56" spans="1:2" x14ac:dyDescent="0.25">
      <c r="A56" s="21"/>
      <c r="B56" s="21"/>
    </row>
    <row r="57" spans="1:2" x14ac:dyDescent="0.25">
      <c r="A57" s="21"/>
      <c r="B57" s="21"/>
    </row>
    <row r="58" spans="1:2" x14ac:dyDescent="0.25">
      <c r="A58" s="21"/>
      <c r="B58" s="21"/>
    </row>
    <row r="59" spans="1:2" x14ac:dyDescent="0.25">
      <c r="A59" s="21"/>
      <c r="B59" s="21"/>
    </row>
    <row r="60" spans="1:2" x14ac:dyDescent="0.25">
      <c r="A60" s="21"/>
      <c r="B60" s="21"/>
    </row>
    <row r="61" spans="1:2" x14ac:dyDescent="0.25">
      <c r="A61" s="21"/>
      <c r="B61" s="21"/>
    </row>
    <row r="62" spans="1:2" x14ac:dyDescent="0.25">
      <c r="A62" s="21"/>
      <c r="B62" s="21"/>
    </row>
    <row r="63" spans="1:2" x14ac:dyDescent="0.25">
      <c r="A63" s="21"/>
      <c r="B63" s="21"/>
    </row>
    <row r="64" spans="1:2" x14ac:dyDescent="0.25">
      <c r="A64" s="21"/>
      <c r="B64" s="21"/>
    </row>
    <row r="65" spans="1:2" x14ac:dyDescent="0.25">
      <c r="A65" s="21"/>
      <c r="B65" s="21"/>
    </row>
    <row r="66" spans="1:2" x14ac:dyDescent="0.25">
      <c r="A66" s="21"/>
      <c r="B66" s="21"/>
    </row>
    <row r="67" spans="1:2" x14ac:dyDescent="0.25">
      <c r="A67" s="21"/>
      <c r="B67" s="21"/>
    </row>
    <row r="68" spans="1:2" x14ac:dyDescent="0.25">
      <c r="A68" s="21"/>
      <c r="B68" s="21"/>
    </row>
    <row r="69" spans="1:2" x14ac:dyDescent="0.25">
      <c r="A69" s="21"/>
      <c r="B69" s="21"/>
    </row>
    <row r="70" spans="1:2" x14ac:dyDescent="0.25">
      <c r="A70" s="21"/>
      <c r="B70" s="21"/>
    </row>
    <row r="71" spans="1:2" x14ac:dyDescent="0.25">
      <c r="A71" s="21"/>
      <c r="B71" s="21"/>
    </row>
    <row r="72" spans="1:2" x14ac:dyDescent="0.25">
      <c r="A72" s="21"/>
      <c r="B72" s="21"/>
    </row>
  </sheetData>
  <pageMargins left="0.7" right="0.7" top="0.75" bottom="0.75" header="0.3" footer="0.3"/>
  <pageSetup scale="65" orientation="landscape" r:id="rId1"/>
  <headerFooter>
    <oddHeader>&amp;LUT 14-035-31
DPU 26.1&amp;R&amp;"-,Bold"DPU Exhibit 1.7
14-035-31</oddHeader>
    <oddFooter>&amp;L&amp;F&amp;CPage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2"/>
  <sheetViews>
    <sheetView topLeftCell="A814" zoomScale="80" zoomScaleNormal="80" workbookViewId="0">
      <selection activeCell="C835" sqref="C835"/>
    </sheetView>
  </sheetViews>
  <sheetFormatPr defaultColWidth="11.42578125" defaultRowHeight="12.75" x14ac:dyDescent="0.2"/>
  <cols>
    <col min="1" max="1" width="16.85546875" style="28" bestFit="1" customWidth="1"/>
    <col min="2" max="2" width="16" style="28" bestFit="1" customWidth="1"/>
    <col min="3" max="3" width="53.28515625" style="28" customWidth="1"/>
    <col min="4" max="6" width="21" style="28" customWidth="1"/>
    <col min="7" max="7" width="18.5703125" style="28" customWidth="1"/>
    <col min="8" max="8" width="20.140625" style="28" customWidth="1"/>
    <col min="9" max="9" width="18.5703125" style="28" customWidth="1"/>
    <col min="10" max="13" width="11.42578125" style="28"/>
    <col min="14" max="14" width="24.5703125" style="28" bestFit="1" customWidth="1"/>
    <col min="15" max="15" width="16.85546875" style="28" bestFit="1" customWidth="1"/>
    <col min="16" max="16384" width="11.42578125" style="28"/>
  </cols>
  <sheetData>
    <row r="1" spans="2:14" ht="15" x14ac:dyDescent="0.2">
      <c r="B1" s="24" t="s">
        <v>37</v>
      </c>
      <c r="C1" s="25"/>
      <c r="D1" s="25"/>
      <c r="E1" s="25"/>
      <c r="F1" s="25"/>
      <c r="G1" s="26">
        <f ca="1">NOW()</f>
        <v>41850.444241319441</v>
      </c>
      <c r="H1" s="26"/>
      <c r="I1" s="27"/>
      <c r="J1" s="25"/>
      <c r="K1" s="25"/>
      <c r="L1" s="25"/>
      <c r="M1" s="25"/>
      <c r="N1" s="25"/>
    </row>
    <row r="2" spans="2:14" ht="15.75" x14ac:dyDescent="0.25">
      <c r="B2" s="24" t="s">
        <v>38</v>
      </c>
      <c r="C2" s="241" t="s">
        <v>39</v>
      </c>
      <c r="D2" s="241"/>
      <c r="E2" s="241"/>
      <c r="F2" s="241"/>
      <c r="G2" s="241"/>
      <c r="H2" s="29"/>
      <c r="I2" s="27"/>
      <c r="J2" s="25"/>
      <c r="K2" s="25"/>
      <c r="L2" s="25"/>
      <c r="M2" s="25"/>
      <c r="N2" s="25"/>
    </row>
    <row r="3" spans="2:14" ht="15.75" x14ac:dyDescent="0.25">
      <c r="B3" s="24"/>
      <c r="C3" s="241" t="s">
        <v>40</v>
      </c>
      <c r="D3" s="241"/>
      <c r="E3" s="241"/>
      <c r="F3" s="241"/>
      <c r="G3" s="241"/>
      <c r="H3" s="29"/>
      <c r="I3" s="25"/>
      <c r="J3" s="30"/>
      <c r="K3" s="30"/>
      <c r="L3" s="30"/>
      <c r="M3" s="30"/>
      <c r="N3" s="30"/>
    </row>
    <row r="4" spans="2:14" ht="15.75" x14ac:dyDescent="0.25">
      <c r="B4" s="24"/>
      <c r="C4" s="242" t="s">
        <v>41</v>
      </c>
      <c r="D4" s="242"/>
      <c r="E4" s="242"/>
      <c r="F4" s="242"/>
      <c r="G4" s="242"/>
      <c r="H4" s="31"/>
      <c r="I4" s="25"/>
      <c r="J4" s="25"/>
      <c r="K4" s="25"/>
      <c r="L4" s="25"/>
      <c r="M4" s="32"/>
      <c r="N4" s="32"/>
    </row>
    <row r="5" spans="2:14" ht="15" x14ac:dyDescent="0.2"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32"/>
      <c r="N5" s="32"/>
    </row>
    <row r="6" spans="2:14" ht="15" x14ac:dyDescent="0.2">
      <c r="B6" s="24"/>
      <c r="C6" s="25" t="s">
        <v>42</v>
      </c>
      <c r="D6" s="25"/>
      <c r="E6" s="25"/>
      <c r="F6" s="25"/>
      <c r="G6" s="25"/>
      <c r="H6" s="25"/>
      <c r="I6" s="25"/>
      <c r="J6" s="25"/>
      <c r="K6" s="33"/>
      <c r="L6" s="25"/>
      <c r="M6" s="25"/>
      <c r="N6" s="25"/>
    </row>
    <row r="7" spans="2:14" ht="15" x14ac:dyDescent="0.2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32"/>
      <c r="N7" s="32"/>
    </row>
    <row r="8" spans="2:14" ht="15" x14ac:dyDescent="0.2">
      <c r="B8" s="24"/>
      <c r="C8" s="25"/>
      <c r="D8" s="25"/>
      <c r="E8" s="25"/>
      <c r="F8" s="27" t="s">
        <v>43</v>
      </c>
      <c r="G8" s="27" t="s">
        <v>44</v>
      </c>
      <c r="J8" s="25"/>
      <c r="K8" s="25"/>
      <c r="L8" s="25"/>
      <c r="M8" s="32"/>
      <c r="N8" s="32"/>
    </row>
    <row r="9" spans="2:14" ht="15" x14ac:dyDescent="0.2">
      <c r="B9" s="24"/>
      <c r="C9" s="34" t="s">
        <v>45</v>
      </c>
      <c r="D9" s="35" t="s">
        <v>46</v>
      </c>
      <c r="E9" s="35" t="s">
        <v>47</v>
      </c>
      <c r="F9" s="35" t="s">
        <v>48</v>
      </c>
      <c r="G9" s="35" t="s">
        <v>48</v>
      </c>
      <c r="J9" s="25"/>
      <c r="K9" s="25"/>
      <c r="L9" s="25"/>
      <c r="M9" s="25"/>
      <c r="N9" s="25"/>
    </row>
    <row r="10" spans="2:14" ht="15" x14ac:dyDescent="0.2">
      <c r="B10" s="24"/>
      <c r="C10" s="25" t="s">
        <v>49</v>
      </c>
      <c r="D10" s="36">
        <f>$D$168</f>
        <v>18058.561999999998</v>
      </c>
      <c r="E10" s="37">
        <f t="shared" ref="E10:E35" si="0">IF(D10=0,0,F10/D10)</f>
        <v>45.808270891115257</v>
      </c>
      <c r="F10" s="32">
        <f>$E$168</f>
        <v>827231.5</v>
      </c>
      <c r="G10" s="25"/>
      <c r="J10" s="25"/>
      <c r="K10" s="25"/>
      <c r="L10" s="27"/>
      <c r="M10" s="27"/>
      <c r="N10" s="27"/>
    </row>
    <row r="11" spans="2:14" ht="15" x14ac:dyDescent="0.2">
      <c r="B11" s="24"/>
      <c r="C11" s="25" t="s">
        <v>50</v>
      </c>
      <c r="D11" s="36">
        <f>$D$174</f>
        <v>30459.075000000001</v>
      </c>
      <c r="E11" s="37">
        <f t="shared" si="0"/>
        <v>45.777654771197092</v>
      </c>
      <c r="F11" s="32">
        <f>$E$174</f>
        <v>1394345.02</v>
      </c>
      <c r="G11" s="25"/>
      <c r="J11" s="25"/>
      <c r="K11" s="25"/>
      <c r="L11" s="38"/>
      <c r="M11" s="38"/>
      <c r="N11" s="38"/>
    </row>
    <row r="12" spans="2:14" ht="15" x14ac:dyDescent="0.2">
      <c r="B12" s="24"/>
      <c r="C12" s="25" t="s">
        <v>51</v>
      </c>
      <c r="D12" s="39">
        <f>$D$239</f>
        <v>134937.75200000001</v>
      </c>
      <c r="E12" s="37">
        <f t="shared" si="0"/>
        <v>39.123071132828706</v>
      </c>
      <c r="F12" s="40">
        <f>$E$239</f>
        <v>5279179.2699999996</v>
      </c>
      <c r="G12" s="25"/>
      <c r="J12" s="25"/>
      <c r="K12" s="25"/>
      <c r="L12" s="36"/>
      <c r="M12" s="36"/>
      <c r="N12" s="36"/>
    </row>
    <row r="13" spans="2:14" ht="15" x14ac:dyDescent="0.2">
      <c r="B13" s="24"/>
      <c r="C13" s="25" t="s">
        <v>52</v>
      </c>
      <c r="D13" s="41">
        <f>$D$303</f>
        <v>33695.334999999999</v>
      </c>
      <c r="E13" s="37">
        <f t="shared" si="0"/>
        <v>25.050338867383275</v>
      </c>
      <c r="F13" s="42">
        <f>$E$303</f>
        <v>844079.55999999994</v>
      </c>
      <c r="G13" s="25"/>
      <c r="J13" s="25"/>
      <c r="K13" s="25"/>
      <c r="L13" s="36"/>
      <c r="M13" s="36"/>
      <c r="N13" s="36"/>
    </row>
    <row r="14" spans="2:14" ht="15" x14ac:dyDescent="0.2">
      <c r="B14" s="24"/>
      <c r="C14" s="25" t="s">
        <v>53</v>
      </c>
      <c r="D14" s="41">
        <f>$D$310</f>
        <v>-49.875000000000114</v>
      </c>
      <c r="E14" s="37">
        <f t="shared" si="0"/>
        <v>-269.57192982456081</v>
      </c>
      <c r="F14" s="42">
        <f>$E$310</f>
        <v>13444.900000000001</v>
      </c>
      <c r="G14" s="25"/>
      <c r="J14" s="25"/>
      <c r="K14" s="25"/>
      <c r="L14" s="36"/>
      <c r="M14" s="36"/>
      <c r="N14" s="36"/>
    </row>
    <row r="15" spans="2:14" ht="15" x14ac:dyDescent="0.2">
      <c r="B15" s="24"/>
      <c r="C15" s="25" t="s">
        <v>54</v>
      </c>
      <c r="D15" s="41">
        <f>$D$387</f>
        <v>28117.794000000002</v>
      </c>
      <c r="E15" s="37">
        <f t="shared" si="0"/>
        <v>35.76412822428388</v>
      </c>
      <c r="F15" s="42">
        <f>$E$387</f>
        <v>1005608.3899999999</v>
      </c>
      <c r="G15" s="43"/>
      <c r="J15" s="25"/>
      <c r="K15" s="25"/>
      <c r="L15" s="36"/>
      <c r="M15" s="36"/>
      <c r="N15" s="36"/>
    </row>
    <row r="16" spans="2:14" ht="15" x14ac:dyDescent="0.2">
      <c r="B16" s="24"/>
      <c r="C16" s="25" t="s">
        <v>55</v>
      </c>
      <c r="D16" s="41">
        <f>$D$393</f>
        <v>20756.035999999996</v>
      </c>
      <c r="E16" s="37">
        <f t="shared" si="0"/>
        <v>35.630410835672095</v>
      </c>
      <c r="F16" s="42">
        <f>$E$393</f>
        <v>739546.09</v>
      </c>
      <c r="G16" s="43"/>
      <c r="J16" s="25"/>
      <c r="K16" s="25"/>
      <c r="L16" s="36"/>
      <c r="M16" s="36"/>
      <c r="N16" s="36"/>
    </row>
    <row r="17" spans="2:14" ht="15" x14ac:dyDescent="0.2">
      <c r="B17" s="24"/>
      <c r="C17" s="25" t="s">
        <v>56</v>
      </c>
      <c r="D17" s="36">
        <f>$D$457</f>
        <v>51254.743999999999</v>
      </c>
      <c r="E17" s="37">
        <f t="shared" si="0"/>
        <v>14.440115045740937</v>
      </c>
      <c r="F17" s="32">
        <f>$E$457</f>
        <v>740124.4</v>
      </c>
      <c r="G17" s="43"/>
      <c r="J17" s="25"/>
      <c r="K17" s="25"/>
      <c r="L17" s="25"/>
      <c r="M17" s="25"/>
      <c r="N17" s="25"/>
    </row>
    <row r="18" spans="2:14" ht="15" x14ac:dyDescent="0.2">
      <c r="B18" s="24"/>
      <c r="C18" s="25" t="s">
        <v>57</v>
      </c>
      <c r="D18" s="36">
        <f>$D$463</f>
        <v>45393.785000000098</v>
      </c>
      <c r="E18" s="37">
        <f t="shared" si="0"/>
        <v>14.462744404327564</v>
      </c>
      <c r="F18" s="32">
        <f>$E$463</f>
        <v>656518.71</v>
      </c>
      <c r="G18" s="43"/>
      <c r="J18" s="25"/>
      <c r="K18" s="25"/>
      <c r="L18" s="36"/>
      <c r="M18" s="36"/>
      <c r="N18" s="36"/>
    </row>
    <row r="19" spans="2:14" ht="15" x14ac:dyDescent="0.2">
      <c r="B19" s="24"/>
      <c r="C19" s="25" t="s">
        <v>58</v>
      </c>
      <c r="D19" s="36">
        <f>$D$469</f>
        <v>90014.755000000005</v>
      </c>
      <c r="E19" s="37">
        <f t="shared" si="0"/>
        <v>14.48770148849486</v>
      </c>
      <c r="F19" s="32">
        <f>$E$469</f>
        <v>1304106.9000000001</v>
      </c>
      <c r="G19" s="25"/>
      <c r="J19" s="25"/>
      <c r="K19" s="25"/>
      <c r="L19" s="36"/>
      <c r="M19" s="36"/>
      <c r="N19" s="36"/>
    </row>
    <row r="20" spans="2:14" ht="15" x14ac:dyDescent="0.2">
      <c r="B20" s="24"/>
      <c r="C20" s="25" t="s">
        <v>59</v>
      </c>
      <c r="D20" s="36">
        <f>$D$475</f>
        <v>136674.18599999999</v>
      </c>
      <c r="E20" s="37">
        <f t="shared" si="0"/>
        <v>14.453549041074954</v>
      </c>
      <c r="F20" s="32">
        <f>$E$475</f>
        <v>1975427.0499999998</v>
      </c>
      <c r="G20" s="25"/>
      <c r="J20" s="25"/>
      <c r="K20" s="25"/>
      <c r="L20" s="27"/>
      <c r="M20" s="27"/>
      <c r="N20" s="27"/>
    </row>
    <row r="21" spans="2:14" ht="15" x14ac:dyDescent="0.2">
      <c r="B21" s="24"/>
      <c r="C21" s="25" t="s">
        <v>60</v>
      </c>
      <c r="D21" s="41">
        <f>$D$572</f>
        <v>15849.253999999999</v>
      </c>
      <c r="E21" s="37">
        <f t="shared" si="0"/>
        <v>49.877198005660084</v>
      </c>
      <c r="F21" s="42">
        <f>$E$572</f>
        <v>790516.38</v>
      </c>
      <c r="G21" s="25"/>
      <c r="J21" s="25"/>
      <c r="K21" s="25"/>
      <c r="L21" s="38"/>
      <c r="M21" s="38"/>
      <c r="N21" s="38"/>
    </row>
    <row r="22" spans="2:14" ht="15" x14ac:dyDescent="0.2">
      <c r="B22" s="24"/>
      <c r="C22" s="25" t="s">
        <v>61</v>
      </c>
      <c r="D22" s="41">
        <f>$D$578</f>
        <v>11105.493</v>
      </c>
      <c r="E22" s="37">
        <f t="shared" si="0"/>
        <v>49.884853378413716</v>
      </c>
      <c r="F22" s="42">
        <f>$E$578</f>
        <v>553995.8899999999</v>
      </c>
      <c r="G22" s="25"/>
      <c r="J22" s="25"/>
      <c r="K22" s="25"/>
      <c r="L22" s="36"/>
      <c r="M22" s="36"/>
      <c r="N22" s="36"/>
    </row>
    <row r="23" spans="2:14" ht="15" x14ac:dyDescent="0.2">
      <c r="B23" s="24"/>
      <c r="C23" s="25" t="s">
        <v>62</v>
      </c>
      <c r="D23" s="36">
        <f>$D$649</f>
        <v>126428.69699999999</v>
      </c>
      <c r="E23" s="37">
        <f t="shared" si="0"/>
        <v>42.153347273681078</v>
      </c>
      <c r="F23" s="32">
        <f>$E$649</f>
        <v>5329392.7700000005</v>
      </c>
      <c r="G23" s="25"/>
      <c r="J23" s="25"/>
      <c r="K23" s="25"/>
      <c r="L23" s="36"/>
      <c r="M23" s="36"/>
      <c r="N23" s="36"/>
    </row>
    <row r="24" spans="2:14" ht="15" x14ac:dyDescent="0.2">
      <c r="B24" s="24"/>
      <c r="C24" s="25" t="s">
        <v>63</v>
      </c>
      <c r="D24" s="36">
        <f>$D$655</f>
        <v>128119.944</v>
      </c>
      <c r="E24" s="37">
        <f t="shared" si="0"/>
        <v>42.175255633892561</v>
      </c>
      <c r="F24" s="32">
        <f>$E$655</f>
        <v>5403491.3899999997</v>
      </c>
      <c r="G24" s="25"/>
      <c r="J24" s="25"/>
      <c r="K24" s="25"/>
      <c r="L24" s="36"/>
      <c r="M24" s="36"/>
      <c r="N24" s="36"/>
    </row>
    <row r="25" spans="2:14" ht="15" x14ac:dyDescent="0.2">
      <c r="B25" s="24"/>
      <c r="C25" s="25" t="s">
        <v>64</v>
      </c>
      <c r="D25" s="36">
        <f>$D$661</f>
        <v>121609.61500000001</v>
      </c>
      <c r="E25" s="37">
        <f>IF(D25=0,0,F25/D25)</f>
        <v>42.182965466998638</v>
      </c>
      <c r="F25" s="32">
        <f>$E$661</f>
        <v>5129854.1899999995</v>
      </c>
      <c r="G25" s="25"/>
      <c r="J25" s="25"/>
      <c r="K25" s="25"/>
      <c r="L25" s="36"/>
      <c r="M25" s="36"/>
      <c r="N25" s="36"/>
    </row>
    <row r="26" spans="2:14" ht="15" x14ac:dyDescent="0.2">
      <c r="B26" s="24"/>
      <c r="C26" s="25" t="s">
        <v>65</v>
      </c>
      <c r="D26" s="36">
        <f>$D$791</f>
        <v>121150.023</v>
      </c>
      <c r="E26" s="37">
        <f t="shared" si="0"/>
        <v>36.592800977016736</v>
      </c>
      <c r="F26" s="32">
        <f>$E$791</f>
        <v>4433218.68</v>
      </c>
      <c r="G26" s="25"/>
      <c r="J26" s="25"/>
      <c r="K26" s="25"/>
      <c r="L26" s="36"/>
      <c r="M26" s="36"/>
      <c r="N26" s="36"/>
    </row>
    <row r="27" spans="2:14" ht="15" x14ac:dyDescent="0.2">
      <c r="B27" s="24"/>
      <c r="C27" s="25" t="s">
        <v>66</v>
      </c>
      <c r="D27" s="36">
        <f>$D$797</f>
        <v>118199.26000000001</v>
      </c>
      <c r="E27" s="37">
        <f t="shared" si="0"/>
        <v>36.463101376438402</v>
      </c>
      <c r="F27" s="32">
        <f>$E$797</f>
        <v>4309911.6000000006</v>
      </c>
      <c r="G27" s="25"/>
      <c r="J27" s="25"/>
      <c r="K27" s="25"/>
      <c r="L27" s="25"/>
      <c r="M27" s="25"/>
      <c r="N27" s="25"/>
    </row>
    <row r="28" spans="2:14" ht="15" x14ac:dyDescent="0.2">
      <c r="B28" s="24"/>
      <c r="C28" s="25" t="s">
        <v>67</v>
      </c>
      <c r="D28" s="36">
        <f>$D$858</f>
        <v>116532.84199999999</v>
      </c>
      <c r="E28" s="37">
        <f t="shared" si="0"/>
        <v>34.295431754766611</v>
      </c>
      <c r="F28" s="32">
        <f>$E$858</f>
        <v>3996544.13</v>
      </c>
      <c r="G28" s="25"/>
      <c r="J28" s="25"/>
      <c r="K28" s="25"/>
      <c r="L28" s="44"/>
      <c r="M28" s="45"/>
      <c r="N28" s="45"/>
    </row>
    <row r="29" spans="2:14" ht="15" x14ac:dyDescent="0.2">
      <c r="B29" s="24"/>
      <c r="C29" s="25" t="s">
        <v>68</v>
      </c>
      <c r="D29" s="36">
        <f>$D$864</f>
        <v>135154.361</v>
      </c>
      <c r="E29" s="37">
        <f t="shared" si="0"/>
        <v>34.362235488649894</v>
      </c>
      <c r="F29" s="32">
        <f>$E$864</f>
        <v>4644205.9799999995</v>
      </c>
      <c r="G29" s="25"/>
      <c r="J29" s="25"/>
      <c r="K29" s="25"/>
      <c r="L29" s="44"/>
      <c r="M29" s="45"/>
      <c r="N29" s="45"/>
    </row>
    <row r="30" spans="2:14" ht="15" x14ac:dyDescent="0.2">
      <c r="B30" s="24"/>
      <c r="C30" s="25" t="s">
        <v>69</v>
      </c>
      <c r="D30" s="36">
        <f>$D$870</f>
        <v>130489.435</v>
      </c>
      <c r="E30" s="37">
        <f t="shared" si="0"/>
        <v>34.339837397564025</v>
      </c>
      <c r="F30" s="32">
        <f>$E$870</f>
        <v>4480985.9799999995</v>
      </c>
      <c r="G30" s="25"/>
      <c r="J30" s="25"/>
      <c r="K30" s="25"/>
      <c r="L30" s="46"/>
      <c r="M30" s="46"/>
      <c r="N30" s="46"/>
    </row>
    <row r="31" spans="2:14" ht="15" x14ac:dyDescent="0.2">
      <c r="B31" s="24"/>
      <c r="C31" s="25" t="s">
        <v>70</v>
      </c>
      <c r="D31" s="36">
        <f>$D$876</f>
        <v>129883.23100000001</v>
      </c>
      <c r="E31" s="37">
        <f t="shared" si="0"/>
        <v>34.324700622823279</v>
      </c>
      <c r="F31" s="32">
        <f>$E$876</f>
        <v>4458203.0200000005</v>
      </c>
      <c r="G31" s="25"/>
      <c r="J31" s="25"/>
      <c r="K31" s="25"/>
      <c r="L31" s="47"/>
      <c r="M31" s="47"/>
      <c r="N31" s="47"/>
    </row>
    <row r="32" spans="2:14" ht="15" x14ac:dyDescent="0.2">
      <c r="B32" s="24"/>
      <c r="C32" s="25" t="s">
        <v>71</v>
      </c>
      <c r="D32" s="36">
        <f>$D$929</f>
        <v>58019.974000000002</v>
      </c>
      <c r="E32" s="37">
        <f t="shared" si="0"/>
        <v>38.288585754967762</v>
      </c>
      <c r="F32" s="32">
        <f>$E$929</f>
        <v>2221502.75</v>
      </c>
      <c r="G32" s="25"/>
      <c r="J32" s="25"/>
      <c r="K32" s="25"/>
      <c r="L32" s="36"/>
      <c r="M32" s="36"/>
      <c r="N32" s="36"/>
    </row>
    <row r="33" spans="2:14" ht="15" x14ac:dyDescent="0.2">
      <c r="B33" s="24"/>
      <c r="C33" s="25" t="s">
        <v>72</v>
      </c>
      <c r="D33" s="36">
        <f>$D$935</f>
        <v>80734.247000000003</v>
      </c>
      <c r="E33" s="37">
        <f t="shared" si="0"/>
        <v>38.251451456529956</v>
      </c>
      <c r="F33" s="32">
        <f>$E$935</f>
        <v>3088202.1299999994</v>
      </c>
      <c r="G33" s="25"/>
      <c r="J33" s="25"/>
      <c r="K33" s="25"/>
      <c r="L33" s="36"/>
      <c r="M33" s="36"/>
      <c r="N33" s="36"/>
    </row>
    <row r="34" spans="2:14" ht="15" x14ac:dyDescent="0.2">
      <c r="B34" s="24"/>
      <c r="C34" s="25" t="s">
        <v>73</v>
      </c>
      <c r="D34" s="36">
        <f>$D$941</f>
        <v>119965.399</v>
      </c>
      <c r="E34" s="37">
        <f t="shared" si="0"/>
        <v>38.315881315078187</v>
      </c>
      <c r="F34" s="32">
        <f>$E$941</f>
        <v>4596579.9899999993</v>
      </c>
      <c r="G34" s="25"/>
      <c r="J34" s="25"/>
      <c r="K34" s="25"/>
      <c r="L34" s="36"/>
      <c r="M34" s="36"/>
      <c r="N34" s="36"/>
    </row>
    <row r="35" spans="2:14" ht="15" x14ac:dyDescent="0.2">
      <c r="B35" s="24"/>
      <c r="C35" s="25" t="s">
        <v>74</v>
      </c>
      <c r="D35" s="48">
        <f>$D$993</f>
        <v>145275.79399999999</v>
      </c>
      <c r="E35" s="49">
        <f t="shared" si="0"/>
        <v>12.639687242046667</v>
      </c>
      <c r="F35" s="50">
        <f>$E$993</f>
        <v>1836240.5999999999</v>
      </c>
      <c r="G35" s="25"/>
      <c r="J35" s="25"/>
      <c r="K35" s="25"/>
      <c r="L35" s="36"/>
      <c r="M35" s="36"/>
      <c r="N35" s="36"/>
    </row>
    <row r="36" spans="2:14" ht="15" x14ac:dyDescent="0.2">
      <c r="B36" s="24"/>
      <c r="C36" s="25"/>
      <c r="D36" s="51"/>
      <c r="E36" s="49"/>
      <c r="F36" s="52"/>
      <c r="G36" s="25"/>
      <c r="J36" s="25"/>
      <c r="K36" s="25"/>
      <c r="L36" s="36"/>
      <c r="M36" s="36"/>
      <c r="N36" s="36"/>
    </row>
    <row r="37" spans="2:14" ht="15" x14ac:dyDescent="0.2">
      <c r="B37" s="24"/>
      <c r="C37" s="25" t="s">
        <v>75</v>
      </c>
      <c r="D37" s="48">
        <f>SUM(D10:D35)</f>
        <v>2147829.7179999999</v>
      </c>
      <c r="E37" s="49"/>
      <c r="F37" s="50">
        <f>SUM(F10:F35)</f>
        <v>70052457.269999996</v>
      </c>
      <c r="G37" s="25"/>
      <c r="J37" s="25"/>
      <c r="K37" s="25"/>
      <c r="L37" s="36"/>
      <c r="M37" s="36"/>
      <c r="N37" s="36"/>
    </row>
    <row r="38" spans="2:14" ht="15" x14ac:dyDescent="0.2">
      <c r="B38" s="24"/>
      <c r="C38" s="25" t="s">
        <v>76</v>
      </c>
      <c r="D38" s="53">
        <f>-E93-E103-E105</f>
        <v>-66077.739000000001</v>
      </c>
      <c r="E38" s="25"/>
      <c r="F38" s="54">
        <f>-F93-F103-F105</f>
        <v>-2787876.64</v>
      </c>
      <c r="G38" s="25"/>
      <c r="J38" s="25"/>
      <c r="K38" s="25"/>
      <c r="L38" s="36"/>
      <c r="M38" s="36"/>
      <c r="N38" s="36"/>
    </row>
    <row r="39" spans="2:14" ht="15.75" thickBot="1" x14ac:dyDescent="0.25">
      <c r="B39" s="24" t="s">
        <v>77</v>
      </c>
      <c r="C39" s="25" t="s">
        <v>78</v>
      </c>
      <c r="D39" s="55">
        <f>SUM(D37:D38)</f>
        <v>2081751.9789999998</v>
      </c>
      <c r="E39" s="25"/>
      <c r="F39" s="56">
        <f>SUM(F37:F38)</f>
        <v>67264580.629999995</v>
      </c>
      <c r="G39" s="56">
        <f>+F39</f>
        <v>67264580.629999995</v>
      </c>
      <c r="J39" s="25"/>
      <c r="K39" s="25"/>
      <c r="L39" s="25"/>
      <c r="M39" s="25"/>
      <c r="N39" s="25"/>
    </row>
    <row r="40" spans="2:14" ht="15.75" thickTop="1" x14ac:dyDescent="0.2">
      <c r="B40" s="24"/>
      <c r="C40" s="24"/>
      <c r="D40" s="24"/>
      <c r="E40" s="24"/>
      <c r="F40" s="24"/>
      <c r="G40" s="24"/>
      <c r="J40" s="25"/>
      <c r="K40" s="25"/>
      <c r="L40" s="25"/>
      <c r="M40" s="25"/>
      <c r="N40" s="25"/>
    </row>
    <row r="41" spans="2:14" ht="15" x14ac:dyDescent="0.2">
      <c r="B41" s="25" t="s">
        <v>79</v>
      </c>
      <c r="C41" s="25" t="s">
        <v>80</v>
      </c>
      <c r="D41" s="24"/>
      <c r="E41" s="24"/>
      <c r="F41" s="57">
        <v>167558.79999999999</v>
      </c>
      <c r="G41" s="32">
        <f>+F41</f>
        <v>167558.79999999999</v>
      </c>
      <c r="J41" s="25"/>
      <c r="K41" s="25"/>
      <c r="L41" s="25"/>
      <c r="M41" s="25"/>
      <c r="N41" s="25"/>
    </row>
    <row r="42" spans="2:14" ht="15" x14ac:dyDescent="0.2">
      <c r="B42" s="25" t="s">
        <v>81</v>
      </c>
      <c r="C42" s="25" t="s">
        <v>82</v>
      </c>
      <c r="D42" s="24"/>
      <c r="E42" s="24"/>
      <c r="F42" s="57"/>
      <c r="G42" s="57">
        <v>112452.78</v>
      </c>
      <c r="J42" s="25"/>
      <c r="K42" s="25"/>
      <c r="L42" s="25"/>
      <c r="M42" s="25"/>
      <c r="N42" s="25"/>
    </row>
    <row r="43" spans="2:14" ht="15" x14ac:dyDescent="0.2">
      <c r="B43" s="25" t="s">
        <v>83</v>
      </c>
      <c r="C43" s="25" t="s">
        <v>84</v>
      </c>
      <c r="D43" s="24"/>
      <c r="E43" s="24"/>
      <c r="F43" s="57"/>
      <c r="G43" s="57">
        <v>25305</v>
      </c>
      <c r="J43" s="25"/>
      <c r="K43" s="25"/>
      <c r="L43" s="25"/>
      <c r="M43" s="25"/>
      <c r="N43" s="25"/>
    </row>
    <row r="44" spans="2:14" ht="15" x14ac:dyDescent="0.2">
      <c r="B44" s="25" t="s">
        <v>83</v>
      </c>
      <c r="C44" s="25" t="s">
        <v>85</v>
      </c>
      <c r="D44" s="24"/>
      <c r="E44" s="24"/>
      <c r="F44" s="57"/>
      <c r="G44" s="57">
        <v>-28093.33</v>
      </c>
      <c r="J44" s="25"/>
      <c r="K44" s="25"/>
      <c r="L44" s="25"/>
      <c r="M44" s="25"/>
      <c r="N44" s="25"/>
    </row>
    <row r="45" spans="2:14" ht="15" x14ac:dyDescent="0.2">
      <c r="B45" s="25" t="s">
        <v>86</v>
      </c>
      <c r="C45" s="24" t="s">
        <v>87</v>
      </c>
      <c r="D45" s="24"/>
      <c r="E45" s="24"/>
      <c r="F45" s="57">
        <v>5088647.51</v>
      </c>
      <c r="G45" s="57"/>
      <c r="J45" s="25"/>
      <c r="K45" s="25"/>
      <c r="L45" s="27"/>
      <c r="M45" s="27"/>
    </row>
    <row r="46" spans="2:14" ht="15" x14ac:dyDescent="0.2">
      <c r="B46" s="24" t="s">
        <v>88</v>
      </c>
      <c r="C46" s="24" t="s">
        <v>89</v>
      </c>
      <c r="D46" s="24"/>
      <c r="E46" s="24"/>
      <c r="F46" s="57">
        <v>144863.26</v>
      </c>
      <c r="G46" s="57"/>
      <c r="J46" s="25"/>
      <c r="K46" s="25"/>
      <c r="L46" s="38"/>
      <c r="M46" s="38"/>
    </row>
    <row r="47" spans="2:14" ht="15" x14ac:dyDescent="0.2">
      <c r="B47" s="24"/>
      <c r="C47" s="24"/>
      <c r="D47" s="24"/>
      <c r="E47" s="24"/>
      <c r="F47" s="57"/>
      <c r="G47" s="57"/>
      <c r="J47" s="25"/>
      <c r="K47" s="25"/>
      <c r="L47" s="38"/>
      <c r="M47" s="38"/>
    </row>
    <row r="48" spans="2:14" ht="15.75" thickBot="1" x14ac:dyDescent="0.25">
      <c r="B48" s="24"/>
      <c r="C48" s="24" t="s">
        <v>90</v>
      </c>
      <c r="D48" s="24"/>
      <c r="E48" s="24"/>
      <c r="F48" s="58">
        <f>SUM(F39:F46)</f>
        <v>72665650.200000003</v>
      </c>
      <c r="G48" s="58">
        <f>SUM(G39:G46)</f>
        <v>67541803.879999995</v>
      </c>
      <c r="J48" s="25"/>
      <c r="K48" s="25"/>
      <c r="L48" s="44"/>
      <c r="M48" s="44"/>
    </row>
    <row r="49" spans="2:14" ht="15.75" thickTop="1" x14ac:dyDescent="0.2">
      <c r="B49" s="24"/>
      <c r="C49" s="24"/>
      <c r="D49" s="24"/>
      <c r="E49" s="24"/>
      <c r="F49" s="59"/>
      <c r="G49" s="25"/>
      <c r="J49" s="25"/>
      <c r="K49" s="25"/>
      <c r="L49" s="44"/>
      <c r="M49" s="44"/>
    </row>
    <row r="50" spans="2:14" ht="15" x14ac:dyDescent="0.2">
      <c r="B50" s="24"/>
      <c r="C50" s="60" t="s">
        <v>91</v>
      </c>
      <c r="D50" s="61"/>
      <c r="E50" s="25"/>
      <c r="F50" s="56"/>
      <c r="G50" s="25"/>
      <c r="J50" s="25"/>
      <c r="K50" s="25"/>
      <c r="L50" s="44"/>
      <c r="M50" s="44"/>
    </row>
    <row r="51" spans="2:14" ht="15" x14ac:dyDescent="0.2">
      <c r="B51" s="24"/>
      <c r="C51" s="25" t="s">
        <v>92</v>
      </c>
      <c r="D51" s="61">
        <v>45487</v>
      </c>
      <c r="E51" s="37">
        <f t="shared" ref="E51:E63" si="1">IF(D51&lt;=0,0,F51/D51)</f>
        <v>4.9248715017477522</v>
      </c>
      <c r="F51" s="57">
        <v>224017.63</v>
      </c>
      <c r="G51" s="25"/>
      <c r="J51" s="25"/>
      <c r="K51" s="25"/>
      <c r="L51" s="44"/>
      <c r="M51" s="44"/>
    </row>
    <row r="52" spans="2:14" ht="15" x14ac:dyDescent="0.2">
      <c r="B52" s="24"/>
      <c r="C52" s="25" t="s">
        <v>93</v>
      </c>
      <c r="D52" s="61">
        <v>83593</v>
      </c>
      <c r="E52" s="37">
        <f t="shared" si="1"/>
        <v>4.8213376718146259</v>
      </c>
      <c r="F52" s="57">
        <v>403030.08</v>
      </c>
      <c r="G52" s="24"/>
      <c r="J52" s="25"/>
      <c r="K52" s="25"/>
      <c r="L52" s="25"/>
      <c r="M52" s="25"/>
    </row>
    <row r="53" spans="2:14" ht="15" x14ac:dyDescent="0.2">
      <c r="B53" s="24"/>
      <c r="C53" s="25" t="s">
        <v>94</v>
      </c>
      <c r="D53" s="61">
        <v>312747</v>
      </c>
      <c r="E53" s="37">
        <f t="shared" si="1"/>
        <v>4.7320240002302185</v>
      </c>
      <c r="F53" s="57">
        <v>1479926.31</v>
      </c>
      <c r="G53" s="24"/>
      <c r="J53" s="25"/>
      <c r="K53" s="25"/>
      <c r="L53" s="44"/>
      <c r="M53" s="45"/>
    </row>
    <row r="54" spans="2:14" ht="15" x14ac:dyDescent="0.2">
      <c r="B54" s="24"/>
      <c r="C54" s="33" t="s">
        <v>95</v>
      </c>
      <c r="D54" s="61">
        <v>57767</v>
      </c>
      <c r="E54" s="37">
        <f t="shared" si="1"/>
        <v>4.7850051067218313</v>
      </c>
      <c r="F54" s="57">
        <v>276415.39</v>
      </c>
      <c r="G54" s="24"/>
      <c r="J54" s="25"/>
      <c r="K54" s="25"/>
      <c r="L54" s="44"/>
      <c r="M54" s="45"/>
    </row>
    <row r="55" spans="2:14" ht="15" x14ac:dyDescent="0.2">
      <c r="B55" s="24"/>
      <c r="C55" s="33" t="s">
        <v>96</v>
      </c>
      <c r="D55" s="61">
        <v>62491</v>
      </c>
      <c r="E55" s="37">
        <f t="shared" si="1"/>
        <v>4.778145652974028</v>
      </c>
      <c r="F55" s="57">
        <v>298591.09999999998</v>
      </c>
      <c r="G55" s="25"/>
      <c r="J55" s="25"/>
      <c r="K55" s="25"/>
      <c r="L55" s="44"/>
      <c r="M55" s="45"/>
      <c r="N55" s="45"/>
    </row>
    <row r="56" spans="2:14" ht="15" x14ac:dyDescent="0.2">
      <c r="B56" s="24"/>
      <c r="C56" s="33" t="s">
        <v>97</v>
      </c>
      <c r="D56" s="61">
        <v>58712</v>
      </c>
      <c r="E56" s="37">
        <f t="shared" si="1"/>
        <v>4.7843452786483169</v>
      </c>
      <c r="F56" s="57">
        <v>280898.48</v>
      </c>
      <c r="G56" s="57"/>
      <c r="J56" s="25"/>
      <c r="K56" s="25"/>
      <c r="L56" s="27"/>
      <c r="M56" s="25"/>
      <c r="N56" s="25"/>
    </row>
    <row r="57" spans="2:14" ht="15" x14ac:dyDescent="0.2">
      <c r="B57" s="24"/>
      <c r="C57" s="33" t="s">
        <v>98</v>
      </c>
      <c r="D57" s="61">
        <f>841757-4360</f>
        <v>837397</v>
      </c>
      <c r="E57" s="37">
        <f t="shared" si="1"/>
        <v>6.6385387934277285</v>
      </c>
      <c r="F57" s="57">
        <v>5559092.4699999997</v>
      </c>
      <c r="G57" s="25"/>
      <c r="J57" s="25"/>
      <c r="K57" s="25"/>
      <c r="L57" s="38"/>
      <c r="M57" s="25"/>
      <c r="N57" s="25"/>
    </row>
    <row r="58" spans="2:14" ht="15" x14ac:dyDescent="0.2">
      <c r="B58" s="24"/>
      <c r="C58" s="25" t="s">
        <v>71</v>
      </c>
      <c r="D58" s="61">
        <v>819</v>
      </c>
      <c r="E58" s="37">
        <f t="shared" si="1"/>
        <v>8.2578876678876671</v>
      </c>
      <c r="F58" s="57">
        <v>6763.21</v>
      </c>
      <c r="G58" s="25"/>
      <c r="J58" s="25"/>
      <c r="K58" s="25"/>
      <c r="L58" s="44"/>
      <c r="M58" s="25"/>
      <c r="N58" s="25"/>
    </row>
    <row r="59" spans="2:14" ht="15" x14ac:dyDescent="0.2">
      <c r="B59" s="24"/>
      <c r="C59" s="25" t="s">
        <v>72</v>
      </c>
      <c r="D59" s="61">
        <v>2488</v>
      </c>
      <c r="E59" s="37">
        <f t="shared" si="1"/>
        <v>6.1482918006430873</v>
      </c>
      <c r="F59" s="57">
        <v>15296.95</v>
      </c>
      <c r="G59" s="25"/>
      <c r="J59" s="25"/>
      <c r="K59" s="25"/>
      <c r="L59" s="44"/>
      <c r="M59" s="25"/>
      <c r="N59" s="25"/>
    </row>
    <row r="60" spans="2:14" ht="15" x14ac:dyDescent="0.2">
      <c r="B60" s="24"/>
      <c r="C60" s="25" t="s">
        <v>73</v>
      </c>
      <c r="D60" s="61">
        <v>415</v>
      </c>
      <c r="E60" s="37">
        <f t="shared" si="1"/>
        <v>16.840650602409639</v>
      </c>
      <c r="F60" s="57">
        <v>6988.87</v>
      </c>
      <c r="G60" s="57"/>
      <c r="J60" s="25"/>
      <c r="K60" s="25"/>
      <c r="L60" s="44"/>
      <c r="M60" s="25"/>
      <c r="N60" s="25"/>
    </row>
    <row r="61" spans="2:14" ht="15" x14ac:dyDescent="0.2">
      <c r="B61" s="24" t="s">
        <v>99</v>
      </c>
      <c r="C61" s="33" t="s">
        <v>100</v>
      </c>
      <c r="D61" s="61">
        <v>1484884</v>
      </c>
      <c r="E61" s="37">
        <f t="shared" si="1"/>
        <v>4.7769580115349077</v>
      </c>
      <c r="F61" s="57">
        <v>7093228.5199999996</v>
      </c>
      <c r="G61" s="25"/>
      <c r="J61" s="25"/>
      <c r="K61" s="25"/>
      <c r="L61" s="25"/>
      <c r="M61" s="25"/>
      <c r="N61" s="25"/>
    </row>
    <row r="62" spans="2:14" ht="15" x14ac:dyDescent="0.2">
      <c r="B62" s="62" t="s">
        <v>101</v>
      </c>
      <c r="C62" s="63" t="s">
        <v>102</v>
      </c>
      <c r="D62" s="61">
        <v>1949331</v>
      </c>
      <c r="E62" s="37">
        <f t="shared" si="1"/>
        <v>4.7548174065871835</v>
      </c>
      <c r="F62" s="57">
        <f>9264251.22+4461.75</f>
        <v>9268712.9700000007</v>
      </c>
      <c r="G62" s="57"/>
      <c r="J62" s="25"/>
      <c r="K62" s="25"/>
      <c r="L62" s="25"/>
      <c r="M62" s="25"/>
      <c r="N62" s="25"/>
    </row>
    <row r="63" spans="2:14" ht="15" x14ac:dyDescent="0.2">
      <c r="B63" s="62" t="s">
        <v>103</v>
      </c>
      <c r="C63" s="63" t="s">
        <v>104</v>
      </c>
      <c r="D63" s="61">
        <v>1878868</v>
      </c>
      <c r="E63" s="37">
        <f t="shared" si="1"/>
        <v>4.608872768070988</v>
      </c>
      <c r="F63" s="57">
        <v>8659463.5600000005</v>
      </c>
      <c r="G63" s="25"/>
      <c r="J63" s="25"/>
      <c r="K63" s="25"/>
      <c r="L63" s="25"/>
      <c r="M63" s="25"/>
      <c r="N63" s="25"/>
    </row>
    <row r="64" spans="2:14" ht="15" x14ac:dyDescent="0.2">
      <c r="B64" s="62" t="s">
        <v>105</v>
      </c>
      <c r="C64" s="24"/>
      <c r="D64" s="24"/>
      <c r="E64" s="24"/>
      <c r="F64" s="64"/>
      <c r="G64" s="57"/>
      <c r="J64" s="38"/>
      <c r="K64" s="38"/>
      <c r="L64" s="65"/>
      <c r="M64" s="65"/>
      <c r="N64" s="65"/>
    </row>
    <row r="65" spans="2:15" ht="15.75" thickBot="1" x14ac:dyDescent="0.25">
      <c r="B65" s="24" t="s">
        <v>106</v>
      </c>
      <c r="C65" s="25" t="s">
        <v>107</v>
      </c>
      <c r="D65" s="66">
        <f>SUM(D51:D64)</f>
        <v>6774999</v>
      </c>
      <c r="E65" s="49"/>
      <c r="F65" s="50">
        <f>SUM(F51:F64)</f>
        <v>33572425.539999999</v>
      </c>
      <c r="G65" s="56">
        <f>+F65</f>
        <v>33572425.539999999</v>
      </c>
      <c r="J65" s="38"/>
      <c r="K65" s="38"/>
      <c r="L65" s="65"/>
      <c r="M65" s="65"/>
      <c r="N65" s="65"/>
    </row>
    <row r="66" spans="2:15" ht="15.75" thickTop="1" x14ac:dyDescent="0.2">
      <c r="B66" s="24"/>
      <c r="C66" s="24"/>
      <c r="D66" s="24"/>
      <c r="E66" s="24"/>
      <c r="F66" s="24"/>
      <c r="G66" s="24"/>
      <c r="J66" s="25"/>
      <c r="K66" s="25"/>
      <c r="L66" s="25"/>
      <c r="M66" s="25"/>
      <c r="N66" s="25"/>
      <c r="O66" s="25"/>
    </row>
    <row r="67" spans="2:15" ht="15" x14ac:dyDescent="0.2">
      <c r="B67" s="24" t="s">
        <v>108</v>
      </c>
      <c r="C67" s="24" t="s">
        <v>109</v>
      </c>
      <c r="D67" s="24"/>
      <c r="E67" s="24"/>
      <c r="F67" s="57"/>
      <c r="G67" s="57">
        <v>-71609.08</v>
      </c>
      <c r="J67" s="25"/>
      <c r="K67" s="25"/>
      <c r="L67" s="25"/>
      <c r="M67" s="25"/>
      <c r="N67" s="25"/>
      <c r="O67" s="25"/>
    </row>
    <row r="68" spans="2:15" ht="15" x14ac:dyDescent="0.2">
      <c r="B68" s="24" t="s">
        <v>110</v>
      </c>
      <c r="C68" s="24" t="s">
        <v>111</v>
      </c>
      <c r="D68" s="24"/>
      <c r="E68" s="24"/>
      <c r="F68" s="57"/>
      <c r="G68" s="57">
        <v>-277189.51</v>
      </c>
      <c r="J68" s="25"/>
      <c r="K68" s="25"/>
      <c r="L68" s="25"/>
      <c r="M68" s="25"/>
      <c r="N68" s="25"/>
      <c r="O68" s="25"/>
    </row>
    <row r="69" spans="2:15" ht="15" x14ac:dyDescent="0.2">
      <c r="B69" s="24"/>
      <c r="C69" s="24"/>
      <c r="D69" s="24"/>
      <c r="E69" s="24"/>
      <c r="F69" s="57"/>
      <c r="G69" s="57"/>
      <c r="J69" s="25"/>
      <c r="K69" s="25"/>
      <c r="L69" s="25"/>
      <c r="M69" s="25"/>
      <c r="N69" s="25"/>
      <c r="O69" s="25"/>
    </row>
    <row r="70" spans="2:15" ht="15.75" thickBot="1" x14ac:dyDescent="0.25">
      <c r="B70" s="24"/>
      <c r="C70" s="24" t="s">
        <v>112</v>
      </c>
      <c r="D70" s="24"/>
      <c r="E70" s="24"/>
      <c r="F70" s="67">
        <f>SUM(F65:F68)</f>
        <v>33572425.539999999</v>
      </c>
      <c r="G70" s="67">
        <f>SUM(G65:G68)</f>
        <v>33223626.949999999</v>
      </c>
      <c r="J70" s="25"/>
      <c r="K70" s="25"/>
      <c r="L70" s="25"/>
      <c r="M70" s="25"/>
      <c r="N70" s="25"/>
      <c r="O70" s="27"/>
    </row>
    <row r="71" spans="2:15" ht="15.75" thickTop="1" x14ac:dyDescent="0.2">
      <c r="B71" s="24"/>
      <c r="C71" s="25"/>
      <c r="D71" s="25"/>
      <c r="E71" s="25"/>
      <c r="F71" s="56"/>
      <c r="G71" s="57"/>
      <c r="J71" s="25"/>
      <c r="K71" s="25"/>
      <c r="L71" s="25"/>
      <c r="M71" s="25"/>
      <c r="N71" s="25"/>
      <c r="O71" s="27"/>
    </row>
    <row r="72" spans="2:15" ht="15" x14ac:dyDescent="0.2">
      <c r="B72" s="24" t="s">
        <v>113</v>
      </c>
      <c r="C72" s="25" t="s">
        <v>114</v>
      </c>
      <c r="D72" s="25"/>
      <c r="E72" s="25"/>
      <c r="F72" s="64">
        <v>283265.67</v>
      </c>
      <c r="G72" s="68">
        <f>+F72</f>
        <v>283265.67</v>
      </c>
      <c r="J72" s="25"/>
      <c r="K72" s="25"/>
      <c r="L72" s="25"/>
      <c r="M72" s="25"/>
      <c r="N72" s="25"/>
      <c r="O72" s="25"/>
    </row>
    <row r="73" spans="2:15" ht="15" x14ac:dyDescent="0.2">
      <c r="B73" s="24"/>
      <c r="C73" s="25"/>
      <c r="D73" s="25"/>
      <c r="E73" s="25"/>
      <c r="F73" s="56"/>
      <c r="G73" s="57"/>
      <c r="J73" s="25"/>
      <c r="K73" s="25"/>
      <c r="L73" s="25"/>
      <c r="M73" s="25"/>
      <c r="N73" s="25"/>
      <c r="O73" s="25"/>
    </row>
    <row r="74" spans="2:15" ht="15.75" thickBot="1" x14ac:dyDescent="0.25">
      <c r="B74" s="24"/>
      <c r="C74" s="63" t="s">
        <v>115</v>
      </c>
      <c r="D74" s="25"/>
      <c r="E74" s="25"/>
      <c r="F74" s="69">
        <f>+F48+F70+F72</f>
        <v>106521341.41000001</v>
      </c>
      <c r="G74" s="69">
        <f>+G48+G70+G72</f>
        <v>101048696.5</v>
      </c>
      <c r="J74" s="25"/>
      <c r="K74" s="27"/>
      <c r="L74" s="27"/>
      <c r="M74" s="25"/>
      <c r="N74" s="25"/>
      <c r="O74" s="25"/>
    </row>
    <row r="75" spans="2:15" ht="15.75" thickTop="1" x14ac:dyDescent="0.2">
      <c r="B75" s="24"/>
      <c r="C75" s="24"/>
      <c r="D75" s="24"/>
      <c r="E75" s="24"/>
      <c r="F75" s="24"/>
      <c r="G75" s="24"/>
      <c r="H75" s="59"/>
      <c r="I75" s="25"/>
      <c r="J75" s="38"/>
      <c r="K75" s="38"/>
      <c r="L75" s="38"/>
      <c r="M75" s="38"/>
      <c r="N75" s="38"/>
      <c r="O75" s="25"/>
    </row>
    <row r="76" spans="2:15" ht="15" x14ac:dyDescent="0.2">
      <c r="B76" s="70"/>
      <c r="C76" s="24"/>
      <c r="D76" s="24"/>
      <c r="E76" s="24"/>
      <c r="F76" s="24"/>
      <c r="G76" s="24"/>
      <c r="H76" s="70"/>
      <c r="I76" s="25"/>
      <c r="J76" s="25"/>
      <c r="K76" s="25"/>
      <c r="L76" s="25"/>
      <c r="M76" s="25"/>
      <c r="N76" s="25"/>
      <c r="O76" s="25"/>
    </row>
    <row r="77" spans="2:15" ht="15" x14ac:dyDescent="0.2">
      <c r="B77" s="24" t="s">
        <v>116</v>
      </c>
      <c r="C77" s="38"/>
      <c r="D77" s="38"/>
      <c r="E77" s="38"/>
      <c r="F77" s="38"/>
      <c r="G77" s="38"/>
      <c r="H77" s="24" t="s">
        <v>117</v>
      </c>
      <c r="I77" s="25"/>
      <c r="J77" s="25"/>
      <c r="K77" s="25"/>
      <c r="L77" s="44"/>
      <c r="M77" s="37"/>
      <c r="N77" s="37"/>
      <c r="O77" s="25"/>
    </row>
    <row r="78" spans="2:15" ht="15.75" x14ac:dyDescent="0.25">
      <c r="B78" s="24"/>
      <c r="C78" s="241" t="s">
        <v>39</v>
      </c>
      <c r="D78" s="241"/>
      <c r="E78" s="241"/>
      <c r="F78" s="241"/>
      <c r="G78" s="241"/>
      <c r="H78" s="29"/>
      <c r="I78" s="25"/>
      <c r="J78" s="25"/>
      <c r="K78" s="25"/>
      <c r="L78" s="25"/>
      <c r="M78" s="37"/>
      <c r="N78" s="37"/>
      <c r="O78" s="25"/>
    </row>
    <row r="79" spans="2:15" ht="15.75" x14ac:dyDescent="0.25">
      <c r="B79" s="24"/>
      <c r="C79" s="241" t="s">
        <v>40</v>
      </c>
      <c r="D79" s="241"/>
      <c r="E79" s="241"/>
      <c r="F79" s="241"/>
      <c r="G79" s="241"/>
      <c r="H79" s="29"/>
      <c r="I79" s="25"/>
      <c r="J79" s="25"/>
      <c r="K79" s="25"/>
      <c r="L79" s="44"/>
      <c r="M79" s="37"/>
      <c r="N79" s="37"/>
      <c r="O79" s="25"/>
    </row>
    <row r="80" spans="2:15" ht="15.75" x14ac:dyDescent="0.25">
      <c r="B80" s="24"/>
      <c r="C80" s="241" t="str">
        <f>C4</f>
        <v>AUGUST 2013</v>
      </c>
      <c r="D80" s="241"/>
      <c r="E80" s="241"/>
      <c r="F80" s="241"/>
      <c r="G80" s="241"/>
      <c r="H80" s="29"/>
      <c r="I80" s="25"/>
      <c r="J80" s="25"/>
      <c r="K80" s="25"/>
      <c r="L80" s="44"/>
      <c r="M80" s="37"/>
      <c r="N80" s="37"/>
      <c r="O80" s="25"/>
    </row>
    <row r="81" spans="2:15" ht="15" x14ac:dyDescent="0.2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44"/>
      <c r="M81" s="37"/>
      <c r="N81" s="37"/>
      <c r="O81" s="25"/>
    </row>
    <row r="82" spans="2:15" ht="15" x14ac:dyDescent="0.2">
      <c r="B82" s="24"/>
      <c r="C82" s="25" t="s">
        <v>118</v>
      </c>
      <c r="D82" s="25"/>
      <c r="E82" s="25"/>
      <c r="F82" s="25"/>
      <c r="G82" s="25"/>
      <c r="H82" s="25"/>
      <c r="I82" s="25"/>
      <c r="J82" s="25"/>
      <c r="K82" s="25"/>
      <c r="L82" s="44"/>
      <c r="M82" s="37"/>
      <c r="N82" s="37"/>
      <c r="O82" s="25"/>
    </row>
    <row r="83" spans="2:15" ht="15" x14ac:dyDescent="0.2"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37"/>
      <c r="N83" s="37"/>
      <c r="O83" s="25"/>
    </row>
    <row r="84" spans="2:15" ht="15" x14ac:dyDescent="0.2"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44"/>
      <c r="M84" s="37"/>
      <c r="N84" s="37"/>
      <c r="O84" s="25"/>
    </row>
    <row r="85" spans="2:15" ht="15" x14ac:dyDescent="0.2">
      <c r="B85" s="24"/>
      <c r="C85" s="33" t="s">
        <v>119</v>
      </c>
      <c r="D85" s="25"/>
      <c r="E85" s="25"/>
      <c r="F85" s="25"/>
      <c r="G85" s="25"/>
      <c r="H85" s="25"/>
      <c r="I85" s="25"/>
      <c r="J85" s="25"/>
      <c r="K85" s="25"/>
      <c r="L85" s="44"/>
      <c r="M85" s="37"/>
      <c r="N85" s="37"/>
      <c r="O85" s="25"/>
    </row>
    <row r="86" spans="2:15" ht="15" x14ac:dyDescent="0.2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37"/>
      <c r="N86" s="37"/>
      <c r="O86" s="25"/>
    </row>
    <row r="87" spans="2:15" ht="15" x14ac:dyDescent="0.2">
      <c r="B87" s="24"/>
      <c r="C87" s="25"/>
      <c r="D87" s="25"/>
      <c r="E87" s="25"/>
      <c r="F87" s="25"/>
      <c r="G87" s="25"/>
      <c r="H87" s="25"/>
      <c r="I87" s="25"/>
      <c r="J87" s="25"/>
      <c r="K87" s="25"/>
      <c r="L87" s="44"/>
      <c r="M87" s="37"/>
      <c r="N87" s="37"/>
      <c r="O87" s="25"/>
    </row>
    <row r="88" spans="2:15" ht="15" x14ac:dyDescent="0.2"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37"/>
      <c r="N88" s="37"/>
      <c r="O88" s="25"/>
    </row>
    <row r="89" spans="2:15" ht="15" x14ac:dyDescent="0.2">
      <c r="B89" s="24"/>
      <c r="C89" s="71" t="s">
        <v>120</v>
      </c>
      <c r="D89" s="25"/>
      <c r="E89" s="72" t="s">
        <v>121</v>
      </c>
      <c r="F89" s="72" t="s">
        <v>48</v>
      </c>
      <c r="H89" s="25"/>
      <c r="I89" s="25"/>
      <c r="J89" s="25"/>
      <c r="K89" s="25"/>
      <c r="L89" s="44"/>
      <c r="M89" s="37"/>
      <c r="N89" s="37"/>
      <c r="O89" s="25"/>
    </row>
    <row r="90" spans="2:15" ht="15" x14ac:dyDescent="0.2">
      <c r="B90" s="24"/>
      <c r="C90" s="38"/>
      <c r="D90" s="25"/>
      <c r="E90" s="38"/>
      <c r="F90" s="38"/>
      <c r="H90" s="25"/>
      <c r="I90" s="25"/>
      <c r="J90" s="25"/>
      <c r="K90" s="25"/>
      <c r="L90" s="25"/>
      <c r="M90" s="37"/>
      <c r="N90" s="37"/>
      <c r="O90" s="25"/>
    </row>
    <row r="91" spans="2:15" ht="15" x14ac:dyDescent="0.2">
      <c r="B91" s="24"/>
      <c r="C91" s="33" t="s">
        <v>122</v>
      </c>
      <c r="D91" s="63" t="s">
        <v>123</v>
      </c>
      <c r="E91" s="36">
        <f>D685</f>
        <v>116258.29299999999</v>
      </c>
      <c r="F91" s="32">
        <f>E685</f>
        <v>4900208.57</v>
      </c>
      <c r="H91" s="25"/>
      <c r="I91" s="25"/>
      <c r="J91" s="25"/>
      <c r="K91" s="25"/>
      <c r="L91" s="44"/>
      <c r="M91" s="37"/>
      <c r="N91" s="37"/>
      <c r="O91" s="25"/>
    </row>
    <row r="92" spans="2:15" ht="15" x14ac:dyDescent="0.2">
      <c r="B92" s="24"/>
      <c r="C92" s="25"/>
      <c r="D92" s="25"/>
      <c r="E92" s="36"/>
      <c r="F92" s="32"/>
      <c r="H92" s="25"/>
      <c r="I92" s="25" t="s">
        <v>124</v>
      </c>
      <c r="J92" s="25"/>
      <c r="K92" s="25"/>
      <c r="L92" s="44"/>
      <c r="M92" s="37"/>
      <c r="N92" s="37"/>
      <c r="O92" s="25"/>
    </row>
    <row r="93" spans="2:15" ht="15" x14ac:dyDescent="0.2">
      <c r="B93" s="24"/>
      <c r="C93" s="25"/>
      <c r="D93" s="63" t="s">
        <v>125</v>
      </c>
      <c r="E93" s="36">
        <f>D693</f>
        <v>10170.404</v>
      </c>
      <c r="F93" s="32">
        <f>E693</f>
        <v>429184.2</v>
      </c>
      <c r="H93" s="25"/>
      <c r="I93" s="25" t="s">
        <v>126</v>
      </c>
      <c r="J93" s="25"/>
      <c r="K93" s="25"/>
      <c r="L93" s="25"/>
      <c r="M93" s="37"/>
      <c r="N93" s="37"/>
      <c r="O93" s="25"/>
    </row>
    <row r="94" spans="2:15" ht="15" x14ac:dyDescent="0.2">
      <c r="B94" s="24"/>
      <c r="C94" s="25"/>
      <c r="D94" s="25"/>
      <c r="E94" s="73"/>
      <c r="F94" s="74"/>
      <c r="H94" s="25"/>
      <c r="I94" s="75">
        <f>+E95-D23</f>
        <v>0</v>
      </c>
      <c r="J94" s="25" t="s">
        <v>127</v>
      </c>
      <c r="K94" s="25"/>
      <c r="L94" s="44"/>
      <c r="M94" s="37"/>
      <c r="N94" s="37"/>
      <c r="O94" s="25"/>
    </row>
    <row r="95" spans="2:15" ht="15.75" thickBot="1" x14ac:dyDescent="0.25">
      <c r="B95" s="24"/>
      <c r="C95" s="25"/>
      <c r="D95" s="25" t="s">
        <v>128</v>
      </c>
      <c r="E95" s="76">
        <f>E93+E91</f>
        <v>126428.69699999999</v>
      </c>
      <c r="F95" s="77">
        <f>F93+F91</f>
        <v>5329392.7700000005</v>
      </c>
      <c r="H95" s="25"/>
      <c r="I95" s="56">
        <f>+F95-F23</f>
        <v>0</v>
      </c>
      <c r="J95" s="25" t="s">
        <v>129</v>
      </c>
      <c r="K95" s="25"/>
      <c r="L95" s="44"/>
      <c r="M95" s="37"/>
      <c r="N95" s="37"/>
      <c r="O95" s="25"/>
    </row>
    <row r="96" spans="2:15" ht="15.75" thickTop="1" x14ac:dyDescent="0.2">
      <c r="B96" s="24"/>
      <c r="C96" s="25"/>
      <c r="D96" s="25"/>
      <c r="E96" s="36"/>
      <c r="F96" s="25"/>
      <c r="H96" s="25"/>
      <c r="I96" s="25"/>
      <c r="J96" s="25"/>
      <c r="K96" s="25"/>
      <c r="L96" s="44"/>
      <c r="M96" s="37"/>
      <c r="N96" s="37"/>
      <c r="O96" s="25"/>
    </row>
    <row r="97" spans="2:15" ht="15" x14ac:dyDescent="0.2">
      <c r="B97" s="24"/>
      <c r="C97" s="25"/>
      <c r="D97" s="25"/>
      <c r="E97" s="25"/>
      <c r="F97" s="25"/>
      <c r="H97" s="25"/>
      <c r="I97" s="25"/>
      <c r="J97" s="25"/>
      <c r="K97" s="25"/>
      <c r="L97" s="44"/>
      <c r="M97" s="25"/>
      <c r="N97" s="25"/>
      <c r="O97" s="25"/>
    </row>
    <row r="98" spans="2:15" ht="15" x14ac:dyDescent="0.2">
      <c r="B98" s="24"/>
      <c r="C98" s="25"/>
      <c r="D98" s="25"/>
      <c r="E98" s="25"/>
      <c r="F98" s="25"/>
      <c r="H98" s="25"/>
      <c r="I98" s="25"/>
      <c r="J98" s="25"/>
      <c r="K98" s="25"/>
      <c r="L98" s="44"/>
      <c r="M98" s="25"/>
      <c r="N98" s="25"/>
      <c r="O98" s="25"/>
    </row>
    <row r="99" spans="2:15" ht="15" x14ac:dyDescent="0.2">
      <c r="B99" s="24"/>
      <c r="C99" s="25"/>
      <c r="D99" s="25"/>
      <c r="E99" s="25"/>
      <c r="F99" s="25"/>
      <c r="H99" s="25"/>
      <c r="I99" s="25"/>
      <c r="J99" s="25"/>
      <c r="K99" s="25"/>
      <c r="L99" s="25"/>
      <c r="M99" s="25"/>
      <c r="N99" s="25"/>
      <c r="O99" s="25"/>
    </row>
    <row r="100" spans="2:15" ht="15" x14ac:dyDescent="0.2">
      <c r="B100" s="24"/>
      <c r="C100" s="25"/>
      <c r="D100" s="25"/>
      <c r="E100" s="25"/>
      <c r="F100" s="25"/>
      <c r="H100" s="25"/>
      <c r="I100" s="25"/>
      <c r="J100" s="25"/>
      <c r="K100" s="25"/>
      <c r="L100" s="25"/>
      <c r="M100" s="25"/>
      <c r="N100" s="25"/>
      <c r="O100" s="25"/>
    </row>
    <row r="101" spans="2:15" ht="15" x14ac:dyDescent="0.2">
      <c r="B101" s="24"/>
      <c r="C101" s="33" t="s">
        <v>130</v>
      </c>
      <c r="D101" s="63" t="s">
        <v>123</v>
      </c>
      <c r="E101" s="36">
        <f>D704</f>
        <v>72212.608999999997</v>
      </c>
      <c r="F101" s="32">
        <f>E704</f>
        <v>3044798.95</v>
      </c>
      <c r="H101" s="25"/>
      <c r="I101" s="25"/>
      <c r="J101" s="25"/>
      <c r="K101" s="25"/>
      <c r="L101" s="44"/>
      <c r="M101" s="37"/>
      <c r="N101" s="37"/>
      <c r="O101" s="25"/>
    </row>
    <row r="102" spans="2:15" ht="15" x14ac:dyDescent="0.2">
      <c r="B102" s="24"/>
      <c r="C102" s="25"/>
      <c r="D102" s="25"/>
      <c r="E102" s="36"/>
      <c r="F102" s="32"/>
      <c r="H102" s="25"/>
      <c r="I102" s="25"/>
      <c r="J102" s="33"/>
      <c r="K102" s="25"/>
      <c r="L102" s="44"/>
      <c r="M102" s="37"/>
      <c r="N102" s="37"/>
      <c r="O102" s="25"/>
    </row>
    <row r="103" spans="2:15" ht="15" x14ac:dyDescent="0.2">
      <c r="B103" s="24"/>
      <c r="C103" s="25"/>
      <c r="D103" s="63" t="s">
        <v>131</v>
      </c>
      <c r="E103" s="36">
        <f>D712</f>
        <v>35438.580999999998</v>
      </c>
      <c r="F103" s="32">
        <f>E712</f>
        <v>1495333.02</v>
      </c>
      <c r="H103" s="56"/>
      <c r="I103" s="25"/>
      <c r="J103" s="25"/>
      <c r="K103" s="25"/>
      <c r="L103" s="44"/>
      <c r="M103" s="37"/>
      <c r="N103" s="37"/>
      <c r="O103" s="25"/>
    </row>
    <row r="104" spans="2:15" ht="15" x14ac:dyDescent="0.2">
      <c r="B104" s="24"/>
      <c r="C104" s="25"/>
      <c r="D104" s="25"/>
      <c r="E104" s="36"/>
      <c r="F104" s="25"/>
      <c r="H104" s="25"/>
      <c r="I104" s="25" t="s">
        <v>132</v>
      </c>
      <c r="J104" s="25"/>
      <c r="K104" s="25"/>
      <c r="L104" s="44"/>
      <c r="M104" s="37"/>
      <c r="N104" s="37"/>
      <c r="O104" s="25"/>
    </row>
    <row r="105" spans="2:15" ht="15" x14ac:dyDescent="0.2">
      <c r="B105" s="24"/>
      <c r="C105" s="25"/>
      <c r="D105" s="63" t="s">
        <v>133</v>
      </c>
      <c r="E105" s="36">
        <f>D720</f>
        <v>20468.753999999997</v>
      </c>
      <c r="F105" s="32">
        <f>E720</f>
        <v>863359.42</v>
      </c>
      <c r="H105" s="25"/>
      <c r="I105" s="25" t="s">
        <v>126</v>
      </c>
      <c r="J105" s="25"/>
      <c r="K105" s="25"/>
      <c r="L105" s="25"/>
      <c r="M105" s="25"/>
      <c r="N105" s="25"/>
      <c r="O105" s="25"/>
    </row>
    <row r="106" spans="2:15" ht="15" x14ac:dyDescent="0.2">
      <c r="B106" s="24"/>
      <c r="C106" s="25"/>
      <c r="D106" s="25"/>
      <c r="E106" s="73"/>
      <c r="F106" s="74"/>
      <c r="H106" s="25"/>
      <c r="I106" s="75">
        <f>+E107-D24</f>
        <v>0</v>
      </c>
      <c r="J106" s="25" t="s">
        <v>127</v>
      </c>
      <c r="K106" s="25"/>
      <c r="L106" s="25"/>
      <c r="M106" s="25"/>
      <c r="N106" s="25"/>
      <c r="O106" s="25"/>
    </row>
    <row r="107" spans="2:15" ht="15.75" thickBot="1" x14ac:dyDescent="0.25">
      <c r="B107" s="24"/>
      <c r="C107" s="25"/>
      <c r="D107" s="25" t="s">
        <v>134</v>
      </c>
      <c r="E107" s="76">
        <f>+E105+E103+E101</f>
        <v>128119.94399999999</v>
      </c>
      <c r="F107" s="77">
        <f>+F105+F103+F101</f>
        <v>5403491.3900000006</v>
      </c>
      <c r="H107" s="25"/>
      <c r="I107" s="56">
        <f>+F107-F24</f>
        <v>0</v>
      </c>
      <c r="J107" s="25" t="s">
        <v>129</v>
      </c>
      <c r="K107" s="25"/>
      <c r="L107" s="25"/>
      <c r="M107" s="25"/>
      <c r="N107" s="25"/>
      <c r="O107" s="25"/>
    </row>
    <row r="108" spans="2:15" ht="15.75" thickTop="1" x14ac:dyDescent="0.2">
      <c r="B108" s="2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2:15" ht="15" x14ac:dyDescent="0.2">
      <c r="B109" s="24"/>
      <c r="C109" s="25"/>
      <c r="D109" s="78"/>
      <c r="E109" s="78"/>
      <c r="F109" s="79"/>
      <c r="G109" s="80"/>
      <c r="H109" s="25"/>
      <c r="I109" s="25"/>
      <c r="J109" s="25"/>
      <c r="K109" s="25"/>
      <c r="L109" s="25"/>
      <c r="M109" s="25"/>
      <c r="N109" s="25"/>
      <c r="O109" s="25"/>
    </row>
    <row r="110" spans="2:15" ht="15" x14ac:dyDescent="0.2">
      <c r="B110" s="24"/>
      <c r="C110" s="25"/>
      <c r="D110" s="38"/>
      <c r="E110" s="25"/>
      <c r="F110" s="81"/>
      <c r="G110" s="65"/>
      <c r="H110" s="25"/>
      <c r="I110" s="25"/>
      <c r="J110" s="25"/>
      <c r="K110" s="25"/>
      <c r="L110" s="25"/>
      <c r="M110" s="25"/>
      <c r="N110" s="25"/>
      <c r="O110" s="25"/>
    </row>
    <row r="111" spans="2:15" ht="15" x14ac:dyDescent="0.2">
      <c r="B111" s="70"/>
      <c r="C111" s="78"/>
      <c r="D111" s="78"/>
      <c r="E111" s="78"/>
      <c r="F111" s="82"/>
      <c r="G111" s="50"/>
      <c r="H111" s="70"/>
      <c r="I111" s="25"/>
      <c r="J111" s="25"/>
      <c r="K111" s="25"/>
      <c r="L111" s="25"/>
      <c r="M111" s="25"/>
      <c r="N111" s="25"/>
      <c r="O111" s="25"/>
    </row>
    <row r="112" spans="2:15" ht="15" x14ac:dyDescent="0.2">
      <c r="B112" s="24" t="s">
        <v>135</v>
      </c>
      <c r="C112" s="25"/>
      <c r="D112" s="25"/>
      <c r="E112" s="27"/>
      <c r="F112" s="44"/>
      <c r="G112" s="32"/>
      <c r="H112" s="24" t="s">
        <v>117</v>
      </c>
      <c r="I112" s="25"/>
      <c r="J112" s="25"/>
      <c r="K112" s="25"/>
      <c r="L112" s="25"/>
      <c r="M112" s="25"/>
      <c r="N112" s="25"/>
      <c r="O112" s="25"/>
    </row>
    <row r="113" spans="2:15" ht="15.75" x14ac:dyDescent="0.25">
      <c r="B113" s="27"/>
      <c r="C113" s="241" t="s">
        <v>136</v>
      </c>
      <c r="D113" s="241"/>
      <c r="E113" s="241"/>
      <c r="F113" s="241"/>
      <c r="G113" s="32"/>
      <c r="H113" s="25"/>
      <c r="I113" s="25"/>
      <c r="J113" s="25"/>
      <c r="K113" s="25"/>
      <c r="L113" s="25"/>
      <c r="M113" s="25"/>
      <c r="N113" s="25"/>
      <c r="O113" s="25"/>
    </row>
    <row r="114" spans="2:15" ht="15" x14ac:dyDescent="0.2">
      <c r="B114" s="27"/>
      <c r="C114" s="33"/>
      <c r="D114" s="25"/>
      <c r="E114" s="25"/>
      <c r="F114" s="25"/>
      <c r="G114" s="32"/>
      <c r="H114" s="25"/>
      <c r="I114" s="25"/>
      <c r="J114" s="25"/>
      <c r="K114" s="25"/>
      <c r="L114" s="25"/>
      <c r="M114" s="25"/>
      <c r="N114" s="25"/>
      <c r="O114" s="25"/>
    </row>
    <row r="115" spans="2:15" ht="15" x14ac:dyDescent="0.2">
      <c r="B115" s="25"/>
      <c r="C115" s="25"/>
      <c r="D115" s="83"/>
      <c r="E115" s="84"/>
      <c r="F115" s="85"/>
      <c r="G115" s="32"/>
      <c r="H115" s="25"/>
      <c r="I115" s="25"/>
      <c r="J115" s="25"/>
      <c r="K115" s="25"/>
      <c r="L115" s="25"/>
      <c r="M115" s="25"/>
      <c r="N115" s="25"/>
      <c r="O115" s="25"/>
    </row>
    <row r="116" spans="2:15" ht="15" x14ac:dyDescent="0.2">
      <c r="B116" s="25"/>
      <c r="C116" s="86" t="s">
        <v>137</v>
      </c>
      <c r="D116" s="25"/>
      <c r="E116" s="84" t="s">
        <v>138</v>
      </c>
      <c r="F116" s="85" t="str">
        <f>+C4</f>
        <v>AUGUST 2013</v>
      </c>
      <c r="G116" s="32"/>
      <c r="H116" s="25"/>
      <c r="I116" s="25"/>
      <c r="J116" s="25"/>
      <c r="K116" s="25"/>
      <c r="L116" s="25"/>
      <c r="M116" s="25"/>
      <c r="N116" s="25"/>
      <c r="O116" s="25"/>
    </row>
    <row r="117" spans="2:15" ht="15" x14ac:dyDescent="0.2">
      <c r="B117" s="32"/>
      <c r="C117" s="25" t="s">
        <v>139</v>
      </c>
      <c r="D117" s="25"/>
      <c r="E117" s="25"/>
      <c r="F117" s="25"/>
      <c r="G117" s="25"/>
      <c r="H117" s="25"/>
      <c r="I117" s="25"/>
      <c r="J117" s="25"/>
      <c r="K117" s="25"/>
      <c r="L117" s="44"/>
      <c r="M117" s="37"/>
      <c r="N117" s="37"/>
      <c r="O117" s="25"/>
    </row>
    <row r="118" spans="2:15" ht="15" x14ac:dyDescent="0.2">
      <c r="B118" s="32"/>
      <c r="C118" s="25"/>
      <c r="D118" s="72" t="s">
        <v>140</v>
      </c>
      <c r="E118" s="72" t="s">
        <v>141</v>
      </c>
      <c r="F118" s="72" t="s">
        <v>142</v>
      </c>
      <c r="G118" s="25"/>
      <c r="H118" s="25"/>
      <c r="I118" s="25"/>
      <c r="J118" s="25"/>
      <c r="K118" s="25"/>
      <c r="L118" s="44"/>
      <c r="M118" s="37"/>
      <c r="N118" s="37"/>
      <c r="O118" s="25"/>
    </row>
    <row r="119" spans="2:15" ht="15" x14ac:dyDescent="0.2">
      <c r="B119" s="32"/>
      <c r="C119" s="25"/>
      <c r="D119" s="38"/>
      <c r="E119" s="38"/>
      <c r="F119" s="38"/>
      <c r="G119" s="32"/>
      <c r="H119" s="25"/>
      <c r="I119" s="25"/>
      <c r="J119" s="25"/>
      <c r="K119" s="25"/>
      <c r="L119" s="44"/>
      <c r="M119" s="37"/>
      <c r="N119" s="37"/>
      <c r="O119" s="25"/>
    </row>
    <row r="120" spans="2:15" ht="15" x14ac:dyDescent="0.2">
      <c r="B120" s="32"/>
      <c r="C120" s="33" t="s">
        <v>143</v>
      </c>
      <c r="D120" s="87">
        <v>63673.759999999973</v>
      </c>
      <c r="E120" s="88">
        <v>2862809.52</v>
      </c>
      <c r="F120" s="89">
        <v>44.960590000000003</v>
      </c>
      <c r="G120" s="32"/>
      <c r="H120" s="25"/>
      <c r="I120" s="25"/>
      <c r="J120" s="25"/>
      <c r="K120" s="25"/>
      <c r="L120" s="44"/>
      <c r="M120" s="37"/>
      <c r="N120" s="37"/>
      <c r="O120" s="25"/>
    </row>
    <row r="121" spans="2:15" ht="15" x14ac:dyDescent="0.2">
      <c r="B121" s="32"/>
      <c r="C121" s="90"/>
      <c r="D121" s="87"/>
      <c r="E121" s="57"/>
      <c r="F121" s="91"/>
      <c r="G121" s="32"/>
      <c r="H121" s="25"/>
      <c r="I121" s="25"/>
      <c r="J121" s="25"/>
      <c r="K121" s="25"/>
      <c r="L121" s="44"/>
      <c r="M121" s="37"/>
      <c r="N121" s="37"/>
      <c r="O121" s="25"/>
    </row>
    <row r="122" spans="2:15" ht="15.75" x14ac:dyDescent="0.25">
      <c r="B122" s="25"/>
      <c r="C122" s="92" t="s">
        <v>144</v>
      </c>
      <c r="D122" s="87"/>
      <c r="E122" s="93"/>
      <c r="F122" s="91"/>
      <c r="G122" s="32"/>
      <c r="H122" s="25"/>
      <c r="I122" s="25"/>
      <c r="J122" s="25"/>
      <c r="K122" s="25"/>
      <c r="L122" s="44"/>
      <c r="M122" s="37"/>
      <c r="N122" s="37"/>
      <c r="O122" s="25"/>
    </row>
    <row r="123" spans="2:15" ht="15" x14ac:dyDescent="0.2">
      <c r="B123" s="94">
        <v>10020</v>
      </c>
      <c r="C123" s="95" t="s">
        <v>145</v>
      </c>
      <c r="D123" s="87">
        <v>3482.38</v>
      </c>
      <c r="E123" s="57">
        <f>163215.25+2751.08</f>
        <v>165966.32999999999</v>
      </c>
      <c r="F123" s="33" t="s">
        <v>146</v>
      </c>
      <c r="G123" s="32"/>
      <c r="H123" s="25"/>
      <c r="I123" s="25"/>
      <c r="J123" s="25"/>
      <c r="K123" s="25"/>
      <c r="L123" s="44"/>
      <c r="M123" s="37"/>
      <c r="N123" s="37"/>
      <c r="O123" s="25"/>
    </row>
    <row r="124" spans="2:15" ht="15" x14ac:dyDescent="0.2">
      <c r="B124" s="96">
        <v>60107</v>
      </c>
      <c r="C124" s="25"/>
      <c r="D124" s="97"/>
      <c r="E124" s="57">
        <v>13762.37</v>
      </c>
      <c r="F124" s="33" t="s">
        <v>147</v>
      </c>
      <c r="G124" s="32"/>
      <c r="H124" s="25"/>
      <c r="I124" s="25"/>
      <c r="J124" s="25"/>
      <c r="K124" s="25"/>
      <c r="L124" s="25"/>
      <c r="M124" s="25"/>
      <c r="N124" s="25"/>
      <c r="O124" s="25"/>
    </row>
    <row r="125" spans="2:15" ht="15" x14ac:dyDescent="0.2">
      <c r="B125" s="94">
        <v>10070</v>
      </c>
      <c r="C125" s="63" t="s">
        <v>148</v>
      </c>
      <c r="D125" s="87">
        <v>20500</v>
      </c>
      <c r="E125" s="57">
        <v>865305</v>
      </c>
      <c r="F125" s="33" t="s">
        <v>146</v>
      </c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2:15" ht="15" x14ac:dyDescent="0.2">
      <c r="B126" s="94">
        <v>60107</v>
      </c>
      <c r="C126" s="25"/>
      <c r="D126" s="93"/>
      <c r="E126" s="57">
        <v>78802</v>
      </c>
      <c r="F126" s="33" t="s">
        <v>147</v>
      </c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2:15" ht="15" x14ac:dyDescent="0.2">
      <c r="B127" s="94">
        <v>10056</v>
      </c>
      <c r="C127" s="98" t="s">
        <v>149</v>
      </c>
      <c r="D127" s="87">
        <v>18000</v>
      </c>
      <c r="E127" s="57">
        <v>724500</v>
      </c>
      <c r="F127" s="33" t="s">
        <v>146</v>
      </c>
      <c r="G127" s="25"/>
      <c r="H127" s="25"/>
      <c r="I127" s="25"/>
      <c r="J127" s="25"/>
      <c r="K127" s="25"/>
      <c r="L127" s="25"/>
      <c r="M127" s="25"/>
    </row>
    <row r="128" spans="2:15" ht="15" x14ac:dyDescent="0.2">
      <c r="B128" s="94">
        <v>10080</v>
      </c>
      <c r="C128" s="63"/>
      <c r="D128" s="97"/>
      <c r="E128" s="57">
        <v>82512</v>
      </c>
      <c r="F128" s="33" t="s">
        <v>147</v>
      </c>
      <c r="G128" s="25"/>
      <c r="H128" s="25"/>
      <c r="I128" s="25"/>
      <c r="J128" s="25"/>
      <c r="K128" s="25"/>
      <c r="L128" s="25"/>
      <c r="M128" s="25"/>
    </row>
    <row r="129" spans="2:13" ht="15" x14ac:dyDescent="0.2">
      <c r="B129" s="94"/>
      <c r="C129" s="98" t="s">
        <v>150</v>
      </c>
      <c r="D129" s="87">
        <v>6000</v>
      </c>
      <c r="E129" s="57">
        <v>197426.1</v>
      </c>
      <c r="F129" s="33" t="s">
        <v>146</v>
      </c>
      <c r="G129" s="25"/>
      <c r="H129" s="25"/>
      <c r="I129" s="25"/>
      <c r="J129" s="25"/>
      <c r="K129" s="25"/>
      <c r="L129" s="25"/>
      <c r="M129" s="25"/>
    </row>
    <row r="130" spans="2:13" ht="15" x14ac:dyDescent="0.2">
      <c r="B130" s="94"/>
      <c r="C130" s="63"/>
      <c r="D130" s="97"/>
      <c r="E130" s="57">
        <v>22968</v>
      </c>
      <c r="F130" s="33" t="s">
        <v>147</v>
      </c>
      <c r="G130" s="25"/>
      <c r="H130" s="25"/>
      <c r="I130" s="25"/>
      <c r="J130" s="25"/>
      <c r="K130" s="25"/>
      <c r="L130" s="25"/>
      <c r="M130" s="25"/>
    </row>
    <row r="131" spans="2:13" ht="15" x14ac:dyDescent="0.2">
      <c r="B131" s="94"/>
      <c r="C131" s="98" t="s">
        <v>151</v>
      </c>
      <c r="D131" s="87"/>
      <c r="E131" s="57">
        <v>16554</v>
      </c>
      <c r="F131" s="33" t="s">
        <v>147</v>
      </c>
      <c r="G131" s="25"/>
      <c r="H131" s="25"/>
      <c r="I131" s="25"/>
      <c r="J131" s="25"/>
      <c r="K131" s="25"/>
      <c r="L131" s="25"/>
      <c r="M131" s="25"/>
    </row>
    <row r="132" spans="2:13" ht="15" x14ac:dyDescent="0.2">
      <c r="B132" s="94"/>
      <c r="C132" s="33"/>
      <c r="D132" s="87"/>
      <c r="E132" s="57"/>
      <c r="F132" s="33"/>
      <c r="G132" s="25"/>
      <c r="H132" s="25"/>
      <c r="I132" s="25"/>
      <c r="J132" s="25"/>
      <c r="K132" s="25"/>
      <c r="L132" s="25"/>
      <c r="M132" s="25"/>
    </row>
    <row r="133" spans="2:13" ht="15" x14ac:dyDescent="0.2">
      <c r="B133" s="94"/>
      <c r="C133" s="33"/>
      <c r="D133" s="87"/>
      <c r="E133" s="57"/>
      <c r="F133" s="33"/>
      <c r="G133" s="25"/>
      <c r="H133" s="25"/>
      <c r="I133" s="25"/>
      <c r="J133" s="25"/>
      <c r="K133" s="25"/>
      <c r="L133" s="25"/>
      <c r="M133" s="25"/>
    </row>
    <row r="134" spans="2:13" ht="15" x14ac:dyDescent="0.2">
      <c r="B134" s="94"/>
      <c r="C134" s="98"/>
      <c r="D134" s="87"/>
      <c r="E134" s="57"/>
      <c r="F134" s="33"/>
      <c r="G134" s="25"/>
      <c r="H134" s="25"/>
      <c r="I134" s="25"/>
      <c r="J134" s="25"/>
      <c r="K134" s="25"/>
      <c r="L134" s="25"/>
      <c r="M134" s="25"/>
    </row>
    <row r="135" spans="2:13" ht="15" x14ac:dyDescent="0.2">
      <c r="B135" s="94"/>
      <c r="C135" s="63"/>
      <c r="D135" s="97"/>
      <c r="E135" s="57"/>
      <c r="F135" s="33"/>
      <c r="G135" s="25"/>
      <c r="H135" s="25"/>
      <c r="I135" s="25"/>
      <c r="J135" s="25"/>
      <c r="K135" s="32"/>
      <c r="L135" s="25"/>
      <c r="M135" s="25"/>
    </row>
    <row r="136" spans="2:13" ht="15" x14ac:dyDescent="0.2">
      <c r="B136" s="94">
        <v>10080</v>
      </c>
      <c r="C136" s="63" t="s">
        <v>152</v>
      </c>
      <c r="D136" s="99"/>
      <c r="E136" s="64">
        <v>-1209.71</v>
      </c>
      <c r="F136" s="33" t="s">
        <v>147</v>
      </c>
      <c r="G136" s="25"/>
      <c r="H136" s="25"/>
      <c r="I136" s="25"/>
      <c r="J136" s="25"/>
      <c r="K136" s="32"/>
      <c r="L136" s="100"/>
      <c r="M136" s="25"/>
    </row>
    <row r="137" spans="2:13" ht="15" x14ac:dyDescent="0.2">
      <c r="B137" s="96"/>
      <c r="C137" s="63" t="s">
        <v>153</v>
      </c>
      <c r="D137" s="36">
        <f>SUM(D123:D136)</f>
        <v>47982.380000000005</v>
      </c>
      <c r="E137" s="32">
        <f>SUM(E123:E136)</f>
        <v>2166586.09</v>
      </c>
      <c r="F137" s="101"/>
      <c r="G137" s="32"/>
      <c r="H137" s="32"/>
      <c r="I137" s="25"/>
      <c r="J137" s="25"/>
      <c r="K137" s="32"/>
      <c r="L137" s="25"/>
      <c r="M137" s="32"/>
    </row>
    <row r="138" spans="2:13" ht="15" x14ac:dyDescent="0.2">
      <c r="B138" s="96"/>
      <c r="C138" s="63"/>
      <c r="D138" s="36"/>
      <c r="E138" s="32"/>
      <c r="F138" s="101"/>
      <c r="G138" s="32"/>
      <c r="H138" s="32"/>
      <c r="I138" s="25"/>
      <c r="J138" s="25"/>
      <c r="K138" s="32"/>
      <c r="L138" s="25"/>
      <c r="M138" s="32"/>
    </row>
    <row r="139" spans="2:13" ht="15.75" x14ac:dyDescent="0.25">
      <c r="B139" s="96"/>
      <c r="C139" s="102" t="s">
        <v>154</v>
      </c>
      <c r="D139" s="25"/>
      <c r="E139" s="56"/>
      <c r="F139" s="25"/>
      <c r="G139" s="32"/>
      <c r="H139" s="32"/>
      <c r="I139" s="25"/>
      <c r="J139" s="25"/>
      <c r="K139" s="25"/>
      <c r="L139" s="32"/>
      <c r="M139" s="25"/>
    </row>
    <row r="140" spans="2:13" ht="15" x14ac:dyDescent="0.2">
      <c r="B140" s="94">
        <v>10020</v>
      </c>
      <c r="C140" s="95" t="s">
        <v>145</v>
      </c>
      <c r="D140" s="87">
        <f>-10150+10078.97</f>
        <v>-71.030000000000655</v>
      </c>
      <c r="E140" s="57">
        <f>-313727.38+311531.92</f>
        <v>-2195.460000000021</v>
      </c>
      <c r="F140" s="33" t="s">
        <v>155</v>
      </c>
      <c r="G140" s="32"/>
      <c r="H140" s="32"/>
      <c r="I140" s="25"/>
      <c r="J140" s="25"/>
      <c r="K140" s="25"/>
      <c r="L140" s="32"/>
      <c r="M140" s="25"/>
    </row>
    <row r="141" spans="2:13" ht="15" x14ac:dyDescent="0.2">
      <c r="B141" s="96">
        <v>60107</v>
      </c>
      <c r="C141" s="25"/>
      <c r="D141" s="93"/>
      <c r="E141" s="57">
        <f>-40336.1+5706.06+34347.77</f>
        <v>-282.27000000000407</v>
      </c>
      <c r="F141" s="33" t="s">
        <v>156</v>
      </c>
      <c r="G141" s="25"/>
      <c r="H141" s="25"/>
      <c r="I141" s="25"/>
      <c r="J141" s="25"/>
      <c r="K141" s="25"/>
      <c r="L141" s="100"/>
      <c r="M141" s="25"/>
    </row>
    <row r="142" spans="2:13" ht="15" x14ac:dyDescent="0.2">
      <c r="B142" s="94">
        <v>10070</v>
      </c>
      <c r="C142" s="63" t="s">
        <v>148</v>
      </c>
      <c r="D142" s="87">
        <f>-19591.04+19613.83</f>
        <v>22.790000000000873</v>
      </c>
      <c r="E142" s="57">
        <f>-829118.02+860999.79</f>
        <v>31881.770000000019</v>
      </c>
      <c r="F142" s="103" t="s">
        <v>155</v>
      </c>
      <c r="G142" s="32"/>
      <c r="H142" s="32"/>
      <c r="I142" s="25"/>
      <c r="J142" s="25"/>
      <c r="K142" s="25"/>
      <c r="L142" s="25"/>
      <c r="M142" s="32"/>
    </row>
    <row r="143" spans="2:13" ht="15" x14ac:dyDescent="0.2">
      <c r="B143" s="94">
        <v>60107</v>
      </c>
      <c r="C143" s="25"/>
      <c r="D143" s="93"/>
      <c r="E143" s="57">
        <f>-74970.62+75058.92</f>
        <v>88.30000000000291</v>
      </c>
      <c r="F143" s="33" t="s">
        <v>156</v>
      </c>
      <c r="G143" s="32"/>
      <c r="H143" s="32"/>
      <c r="I143" s="25"/>
      <c r="J143" s="25"/>
      <c r="K143" s="25"/>
      <c r="L143" s="25"/>
      <c r="M143" s="32"/>
    </row>
    <row r="144" spans="2:13" ht="15" x14ac:dyDescent="0.2">
      <c r="B144" s="94">
        <v>10056</v>
      </c>
      <c r="C144" s="98" t="s">
        <v>149</v>
      </c>
      <c r="D144" s="87">
        <f>-20000+19837.92</f>
        <v>-162.08000000000175</v>
      </c>
      <c r="E144" s="57">
        <f>-805000+810994</f>
        <v>5994</v>
      </c>
      <c r="F144" s="103" t="s">
        <v>155</v>
      </c>
      <c r="G144" s="32"/>
      <c r="H144" s="32"/>
      <c r="I144" s="25"/>
      <c r="J144" s="25"/>
      <c r="K144" s="25"/>
      <c r="L144" s="25"/>
      <c r="M144" s="25"/>
    </row>
    <row r="145" spans="2:13" ht="15" x14ac:dyDescent="0.2">
      <c r="B145" s="94">
        <v>10080</v>
      </c>
      <c r="C145" s="63"/>
      <c r="D145" s="24"/>
      <c r="E145" s="57">
        <f>-92180+91432.99</f>
        <v>-747.00999999999476</v>
      </c>
      <c r="F145" s="33" t="s">
        <v>156</v>
      </c>
      <c r="G145" s="32"/>
      <c r="H145" s="32"/>
      <c r="I145" s="25"/>
      <c r="J145" s="25"/>
      <c r="K145" s="25"/>
      <c r="L145" s="25"/>
      <c r="M145" s="25"/>
    </row>
    <row r="146" spans="2:13" ht="15" x14ac:dyDescent="0.2">
      <c r="B146" s="94"/>
      <c r="C146" s="98" t="s">
        <v>150</v>
      </c>
      <c r="D146" s="87">
        <v>0</v>
      </c>
      <c r="E146" s="57">
        <v>0</v>
      </c>
      <c r="F146" s="103" t="s">
        <v>155</v>
      </c>
      <c r="G146" s="32"/>
      <c r="H146" s="32"/>
      <c r="I146" s="25"/>
      <c r="J146" s="25"/>
      <c r="K146" s="44"/>
      <c r="L146" s="25"/>
      <c r="M146" s="25"/>
    </row>
    <row r="147" spans="2:13" ht="15" x14ac:dyDescent="0.2">
      <c r="B147" s="94"/>
      <c r="C147" s="63"/>
      <c r="D147" s="97"/>
      <c r="E147" s="57">
        <v>0</v>
      </c>
      <c r="F147" s="33" t="s">
        <v>156</v>
      </c>
      <c r="G147" s="32"/>
      <c r="H147" s="32"/>
      <c r="I147" s="25"/>
      <c r="J147" s="25"/>
      <c r="K147" s="25"/>
      <c r="L147" s="25"/>
      <c r="M147" s="36"/>
    </row>
    <row r="148" spans="2:13" ht="15" x14ac:dyDescent="0.2">
      <c r="B148" s="94"/>
      <c r="C148" s="98" t="s">
        <v>151</v>
      </c>
      <c r="D148" s="87"/>
      <c r="E148" s="57">
        <v>0</v>
      </c>
      <c r="F148" s="33" t="s">
        <v>156</v>
      </c>
      <c r="G148" s="32"/>
      <c r="H148" s="32"/>
      <c r="I148" s="25"/>
      <c r="J148" s="25"/>
      <c r="K148" s="32"/>
      <c r="L148" s="25"/>
      <c r="M148" s="25"/>
    </row>
    <row r="149" spans="2:13" ht="15" x14ac:dyDescent="0.2">
      <c r="B149" s="94"/>
      <c r="C149" s="98"/>
      <c r="D149" s="87"/>
      <c r="E149" s="57"/>
      <c r="F149" s="103"/>
      <c r="G149" s="32"/>
      <c r="H149" s="32"/>
      <c r="I149" s="25"/>
      <c r="J149" s="25"/>
      <c r="K149" s="25"/>
      <c r="L149" s="25"/>
      <c r="M149" s="25"/>
    </row>
    <row r="150" spans="2:13" ht="15" x14ac:dyDescent="0.2">
      <c r="B150" s="94"/>
      <c r="C150" s="98"/>
      <c r="D150" s="24"/>
      <c r="E150" s="57"/>
      <c r="F150" s="33"/>
      <c r="G150" s="32"/>
      <c r="H150" s="32"/>
      <c r="I150" s="25"/>
      <c r="J150" s="25"/>
      <c r="K150" s="25"/>
      <c r="L150" s="25"/>
      <c r="M150" s="25"/>
    </row>
    <row r="151" spans="2:13" ht="15" x14ac:dyDescent="0.2">
      <c r="B151" s="94"/>
      <c r="C151" s="33"/>
      <c r="D151" s="87"/>
      <c r="E151" s="57"/>
      <c r="F151" s="103"/>
      <c r="G151" s="32"/>
      <c r="H151" s="32"/>
      <c r="I151" s="25"/>
      <c r="J151" s="25"/>
      <c r="K151" s="25"/>
      <c r="L151" s="25"/>
      <c r="M151" s="25"/>
    </row>
    <row r="152" spans="2:13" ht="15" x14ac:dyDescent="0.2">
      <c r="B152" s="94"/>
      <c r="C152" s="98"/>
      <c r="D152" s="87"/>
      <c r="E152" s="57"/>
      <c r="F152" s="103"/>
      <c r="G152" s="32"/>
      <c r="H152" s="32"/>
      <c r="I152" s="25"/>
      <c r="J152" s="25"/>
      <c r="K152" s="25"/>
      <c r="L152" s="25"/>
      <c r="M152" s="25"/>
    </row>
    <row r="153" spans="2:13" ht="15" x14ac:dyDescent="0.2">
      <c r="B153" s="94"/>
      <c r="C153" s="63"/>
      <c r="D153" s="24"/>
      <c r="E153" s="57"/>
      <c r="F153" s="33"/>
      <c r="G153" s="32"/>
      <c r="H153" s="32"/>
      <c r="I153" s="25"/>
      <c r="J153" s="25"/>
      <c r="K153" s="25"/>
      <c r="L153" s="25"/>
      <c r="M153" s="25"/>
    </row>
    <row r="154" spans="2:13" ht="15" x14ac:dyDescent="0.2">
      <c r="B154" s="94">
        <v>10080</v>
      </c>
      <c r="C154" s="63" t="s">
        <v>152</v>
      </c>
      <c r="D154" s="99"/>
      <c r="E154" s="64">
        <f>624.78-624.78</f>
        <v>0</v>
      </c>
      <c r="F154" s="33" t="s">
        <v>156</v>
      </c>
      <c r="G154" s="32"/>
      <c r="H154" s="32"/>
      <c r="I154" s="25"/>
      <c r="J154" s="25"/>
      <c r="K154" s="25"/>
      <c r="L154" s="25"/>
      <c r="M154" s="25"/>
    </row>
    <row r="155" spans="2:13" ht="15" x14ac:dyDescent="0.2">
      <c r="B155" s="25"/>
      <c r="C155" s="25" t="s">
        <v>153</v>
      </c>
      <c r="D155" s="104">
        <f>SUM(D140:D154)</f>
        <v>-210.32000000000153</v>
      </c>
      <c r="E155" s="105">
        <f>SUM(E140:E154)</f>
        <v>34739.33</v>
      </c>
      <c r="F155" s="56"/>
      <c r="G155" s="32"/>
      <c r="H155" s="25"/>
      <c r="I155" s="25"/>
      <c r="J155" s="25"/>
      <c r="K155" s="25"/>
      <c r="L155" s="25"/>
      <c r="M155" s="25"/>
    </row>
    <row r="156" spans="2:13" ht="15" x14ac:dyDescent="0.2">
      <c r="B156" s="25"/>
      <c r="C156" s="25"/>
      <c r="D156" s="106"/>
      <c r="E156" s="107"/>
      <c r="F156" s="56"/>
      <c r="G156" s="32"/>
      <c r="H156" s="25"/>
      <c r="I156" s="25"/>
      <c r="J156" s="25"/>
      <c r="K156" s="25"/>
      <c r="L156" s="25"/>
      <c r="M156" s="25"/>
    </row>
    <row r="157" spans="2:13" ht="15" x14ac:dyDescent="0.2">
      <c r="B157" s="25"/>
      <c r="C157" s="108" t="s">
        <v>157</v>
      </c>
      <c r="D157" s="109">
        <f>+D137+D155</f>
        <v>47772.060000000005</v>
      </c>
      <c r="E157" s="110">
        <f>+E137+E155</f>
        <v>2201325.42</v>
      </c>
      <c r="F157" s="89">
        <f>ROUND(E157/D157,5)</f>
        <v>46.079770000000003</v>
      </c>
      <c r="G157" s="32"/>
      <c r="H157" s="32"/>
      <c r="I157" s="25"/>
      <c r="J157" s="25"/>
      <c r="K157" s="25"/>
      <c r="L157" s="25"/>
      <c r="M157" s="25"/>
    </row>
    <row r="158" spans="2:13" ht="15" x14ac:dyDescent="0.2">
      <c r="B158" s="25"/>
      <c r="C158" s="108"/>
      <c r="D158" s="111"/>
      <c r="E158" s="112"/>
      <c r="F158" s="89"/>
      <c r="G158" s="32"/>
      <c r="H158" s="32"/>
      <c r="I158" s="25"/>
      <c r="J158" s="25"/>
      <c r="K158" s="25"/>
      <c r="L158" s="25"/>
      <c r="M158" s="25"/>
    </row>
    <row r="159" spans="2:13" ht="15" x14ac:dyDescent="0.2">
      <c r="B159" s="25"/>
      <c r="C159" s="113" t="s">
        <v>158</v>
      </c>
      <c r="D159" s="109">
        <f>D120+D157</f>
        <v>111445.81999999998</v>
      </c>
      <c r="E159" s="110">
        <f>E120+E157</f>
        <v>5064134.9399999995</v>
      </c>
      <c r="F159" s="114">
        <f>ROUND(E159/D159,5)</f>
        <v>45.440330000000003</v>
      </c>
      <c r="G159" s="32"/>
      <c r="H159" s="32"/>
      <c r="I159" s="25"/>
      <c r="J159" s="25"/>
      <c r="K159" s="25"/>
      <c r="L159" s="44"/>
      <c r="M159" s="25"/>
    </row>
    <row r="160" spans="2:13" ht="15" x14ac:dyDescent="0.2">
      <c r="B160" s="25"/>
      <c r="C160" s="113"/>
      <c r="D160" s="39"/>
      <c r="E160" s="40"/>
      <c r="F160" s="115"/>
      <c r="G160" s="32"/>
      <c r="H160" s="32"/>
      <c r="I160" s="25"/>
      <c r="J160" s="25"/>
      <c r="K160" s="25"/>
      <c r="L160" s="44"/>
      <c r="M160" s="25"/>
    </row>
    <row r="161" spans="1:13" ht="15" x14ac:dyDescent="0.2">
      <c r="B161" s="25"/>
      <c r="C161" s="98" t="s">
        <v>159</v>
      </c>
      <c r="D161" s="39"/>
      <c r="E161" s="32">
        <f>+H170</f>
        <v>-1189.82</v>
      </c>
      <c r="F161" s="24"/>
      <c r="G161" s="32"/>
      <c r="H161" s="90" t="s">
        <v>160</v>
      </c>
      <c r="I161" s="25"/>
      <c r="J161" s="25"/>
      <c r="K161" s="25"/>
      <c r="L161" s="44"/>
      <c r="M161" s="25"/>
    </row>
    <row r="162" spans="1:13" ht="15" x14ac:dyDescent="0.2">
      <c r="B162" s="25"/>
      <c r="C162" s="98"/>
      <c r="D162" s="39"/>
      <c r="E162" s="32"/>
      <c r="F162" s="24"/>
      <c r="G162" s="32"/>
      <c r="H162" s="90" t="s">
        <v>161</v>
      </c>
      <c r="I162" s="25"/>
      <c r="J162" s="25"/>
      <c r="K162" s="25"/>
      <c r="L162" s="44"/>
      <c r="M162" s="25"/>
    </row>
    <row r="163" spans="1:13" ht="15.75" x14ac:dyDescent="0.25">
      <c r="B163" s="25"/>
      <c r="C163" s="92" t="s">
        <v>162</v>
      </c>
      <c r="D163" s="39"/>
      <c r="E163" s="90"/>
      <c r="F163" s="116"/>
      <c r="G163" s="32"/>
      <c r="H163" s="117">
        <v>-1189.82</v>
      </c>
      <c r="I163" s="25" t="s">
        <v>163</v>
      </c>
      <c r="J163" s="25"/>
      <c r="K163" s="25"/>
      <c r="L163" s="44"/>
      <c r="M163" s="25"/>
    </row>
    <row r="164" spans="1:13" ht="15" x14ac:dyDescent="0.2">
      <c r="A164" s="118" t="s">
        <v>164</v>
      </c>
      <c r="B164" s="25"/>
      <c r="C164" s="119" t="s">
        <v>165</v>
      </c>
      <c r="D164" s="120">
        <v>0</v>
      </c>
      <c r="E164" s="121">
        <v>-484.88</v>
      </c>
      <c r="F164" s="89"/>
      <c r="G164" s="32"/>
      <c r="H164" s="117">
        <v>0</v>
      </c>
      <c r="I164" s="25"/>
      <c r="J164" s="25"/>
      <c r="K164" s="25"/>
      <c r="L164" s="44"/>
      <c r="M164" s="25"/>
    </row>
    <row r="165" spans="1:13" ht="15" x14ac:dyDescent="0.2">
      <c r="A165" s="118" t="s">
        <v>166</v>
      </c>
      <c r="B165" s="25"/>
      <c r="C165" s="122" t="s">
        <v>167</v>
      </c>
      <c r="D165" s="120">
        <f>-19520.303+19673.103</f>
        <v>152.79999999999927</v>
      </c>
      <c r="E165" s="121">
        <f>-878520.02+892592.67</f>
        <v>14072.650000000023</v>
      </c>
      <c r="F165" s="89"/>
      <c r="G165" s="32"/>
      <c r="H165" s="117">
        <v>0</v>
      </c>
      <c r="I165" s="25"/>
      <c r="J165" s="25"/>
      <c r="K165" s="25"/>
      <c r="L165" s="44"/>
      <c r="M165" s="25"/>
    </row>
    <row r="166" spans="1:13" ht="15" x14ac:dyDescent="0.2">
      <c r="A166" s="118" t="s">
        <v>168</v>
      </c>
      <c r="B166" s="25"/>
      <c r="C166" s="122" t="s">
        <v>169</v>
      </c>
      <c r="D166" s="87">
        <v>0</v>
      </c>
      <c r="E166" s="57">
        <v>0</v>
      </c>
      <c r="F166" s="89"/>
      <c r="G166" s="32"/>
      <c r="H166" s="117">
        <v>0</v>
      </c>
      <c r="I166" s="25"/>
      <c r="J166" s="25"/>
      <c r="K166" s="25"/>
      <c r="L166" s="44"/>
      <c r="M166" s="25"/>
    </row>
    <row r="167" spans="1:13" ht="15" x14ac:dyDescent="0.2">
      <c r="A167" s="44"/>
      <c r="B167" s="25"/>
      <c r="C167" s="119" t="s">
        <v>170</v>
      </c>
      <c r="D167" s="87">
        <v>17905.761999999999</v>
      </c>
      <c r="E167" s="32">
        <f>ROUND(+D167*F159,2)</f>
        <v>813643.73</v>
      </c>
      <c r="F167" s="89"/>
      <c r="G167" s="32"/>
      <c r="H167" s="123">
        <v>0</v>
      </c>
      <c r="I167" s="25"/>
      <c r="J167" s="25"/>
      <c r="K167" s="25"/>
      <c r="L167" s="44"/>
      <c r="M167" s="25"/>
    </row>
    <row r="168" spans="1:13" ht="15" x14ac:dyDescent="0.2">
      <c r="A168" s="44"/>
      <c r="B168" s="25"/>
      <c r="C168" s="124" t="s">
        <v>171</v>
      </c>
      <c r="D168" s="125">
        <f>SUM(D164:D167)</f>
        <v>18058.561999999998</v>
      </c>
      <c r="E168" s="126">
        <f>SUM(E164:E167)</f>
        <v>827231.5</v>
      </c>
      <c r="F168" s="89"/>
      <c r="G168" s="32"/>
      <c r="H168" s="123">
        <v>0</v>
      </c>
      <c r="I168" s="25"/>
      <c r="J168" s="25"/>
      <c r="K168" s="25"/>
      <c r="L168" s="44"/>
      <c r="M168" s="25"/>
    </row>
    <row r="169" spans="1:13" ht="15" x14ac:dyDescent="0.2">
      <c r="A169" s="44"/>
      <c r="B169" s="25"/>
      <c r="C169" s="90"/>
      <c r="D169" s="127"/>
      <c r="E169" s="128"/>
      <c r="F169" s="89"/>
      <c r="G169" s="32"/>
      <c r="H169" s="123">
        <v>0</v>
      </c>
      <c r="I169" s="25"/>
      <c r="J169" s="25"/>
      <c r="K169" s="25"/>
      <c r="L169" s="44"/>
      <c r="M169" s="25"/>
    </row>
    <row r="170" spans="1:13" ht="15.75" thickBot="1" x14ac:dyDescent="0.25">
      <c r="A170" s="25" t="s">
        <v>172</v>
      </c>
      <c r="B170" s="25"/>
      <c r="C170" s="119" t="s">
        <v>165</v>
      </c>
      <c r="D170" s="120">
        <v>0</v>
      </c>
      <c r="E170" s="121">
        <v>-704.94</v>
      </c>
      <c r="F170" s="89"/>
      <c r="G170" s="32"/>
      <c r="H170" s="129">
        <f>SUM(H163:H169)</f>
        <v>-1189.82</v>
      </c>
      <c r="I170" s="25"/>
      <c r="J170" s="25"/>
      <c r="K170" s="25"/>
      <c r="L170" s="44"/>
      <c r="M170" s="25"/>
    </row>
    <row r="171" spans="1:13" ht="15.75" thickTop="1" x14ac:dyDescent="0.2">
      <c r="A171" s="25" t="s">
        <v>173</v>
      </c>
      <c r="B171" s="25"/>
      <c r="C171" s="122" t="s">
        <v>167</v>
      </c>
      <c r="D171" s="130">
        <f>-30060.983+30290.685</f>
        <v>229.70200000000114</v>
      </c>
      <c r="E171" s="121">
        <f>-1352908.07+1374325.35</f>
        <v>21417.280000000028</v>
      </c>
      <c r="F171" s="89"/>
      <c r="G171" s="32"/>
      <c r="H171" s="25"/>
      <c r="I171" s="25"/>
      <c r="J171" s="25"/>
      <c r="K171" s="25"/>
      <c r="L171" s="44"/>
      <c r="M171" s="25"/>
    </row>
    <row r="172" spans="1:13" ht="15" x14ac:dyDescent="0.2">
      <c r="A172" s="32" t="s">
        <v>174</v>
      </c>
      <c r="B172" s="25"/>
      <c r="C172" s="122" t="s">
        <v>169</v>
      </c>
      <c r="D172" s="87">
        <v>0</v>
      </c>
      <c r="E172" s="57">
        <v>0</v>
      </c>
      <c r="F172" s="89"/>
      <c r="G172" s="32"/>
      <c r="H172" s="32"/>
      <c r="I172" s="25"/>
      <c r="J172" s="25"/>
      <c r="K172" s="25"/>
      <c r="L172" s="44"/>
      <c r="M172" s="25"/>
    </row>
    <row r="173" spans="1:13" ht="15" x14ac:dyDescent="0.2">
      <c r="B173" s="25"/>
      <c r="C173" s="119" t="s">
        <v>170</v>
      </c>
      <c r="D173" s="87">
        <v>30229.373</v>
      </c>
      <c r="E173" s="32">
        <f>ROUND(+D173*F159,2)</f>
        <v>1373632.68</v>
      </c>
      <c r="F173" s="89"/>
      <c r="G173" s="32"/>
      <c r="H173" s="32"/>
      <c r="I173" s="25"/>
      <c r="J173" s="25"/>
      <c r="K173" s="25"/>
      <c r="L173" s="44"/>
      <c r="M173" s="25"/>
    </row>
    <row r="174" spans="1:13" ht="15" x14ac:dyDescent="0.2">
      <c r="B174" s="25"/>
      <c r="C174" s="113" t="s">
        <v>175</v>
      </c>
      <c r="D174" s="125">
        <f>SUM(D170:D173)</f>
        <v>30459.075000000001</v>
      </c>
      <c r="E174" s="126">
        <f>SUM(E170:E173)</f>
        <v>1394345.02</v>
      </c>
      <c r="F174" s="89"/>
      <c r="G174" s="32"/>
      <c r="H174" s="32"/>
      <c r="I174" s="25"/>
      <c r="J174" s="25"/>
      <c r="K174" s="25"/>
      <c r="L174" s="44"/>
      <c r="M174" s="25"/>
    </row>
    <row r="175" spans="1:13" ht="15" x14ac:dyDescent="0.2">
      <c r="B175" s="25"/>
      <c r="C175" s="40"/>
      <c r="D175" s="127"/>
      <c r="E175" s="128"/>
      <c r="F175" s="89"/>
      <c r="G175" s="32"/>
      <c r="H175" s="32"/>
      <c r="I175" s="25"/>
      <c r="J175" s="25"/>
      <c r="K175" s="25"/>
      <c r="L175" s="44"/>
      <c r="M175" s="25"/>
    </row>
    <row r="176" spans="1:13" ht="15" x14ac:dyDescent="0.2">
      <c r="B176" s="25"/>
      <c r="C176" s="119" t="s">
        <v>165</v>
      </c>
      <c r="D176" s="39">
        <f>D164+D170</f>
        <v>0</v>
      </c>
      <c r="E176" s="40">
        <f>E164+E170</f>
        <v>-1189.8200000000002</v>
      </c>
      <c r="F176" s="90"/>
      <c r="G176" s="32"/>
      <c r="H176" s="32"/>
      <c r="I176" s="25"/>
      <c r="J176" s="25"/>
      <c r="K176" s="25"/>
      <c r="L176" s="44"/>
      <c r="M176" s="25"/>
    </row>
    <row r="177" spans="1:13" ht="15" x14ac:dyDescent="0.2">
      <c r="B177" s="25"/>
      <c r="C177" s="122" t="s">
        <v>167</v>
      </c>
      <c r="D177" s="39">
        <f>+D165+D171</f>
        <v>382.50200000000041</v>
      </c>
      <c r="E177" s="40">
        <f>+E165+E171</f>
        <v>35489.930000000051</v>
      </c>
      <c r="F177" s="90"/>
      <c r="G177" s="32"/>
      <c r="H177" s="32"/>
      <c r="I177" s="25"/>
      <c r="J177" s="25"/>
      <c r="K177" s="25"/>
      <c r="L177" s="44"/>
      <c r="M177" s="25"/>
    </row>
    <row r="178" spans="1:13" ht="15" x14ac:dyDescent="0.2">
      <c r="B178" s="25"/>
      <c r="C178" s="122" t="s">
        <v>169</v>
      </c>
      <c r="D178" s="39">
        <f>+D166+D172</f>
        <v>0</v>
      </c>
      <c r="E178" s="40">
        <f>+E166+E172</f>
        <v>0</v>
      </c>
      <c r="F178" s="89"/>
      <c r="G178" s="32"/>
      <c r="H178" s="32"/>
      <c r="I178" s="25"/>
      <c r="J178" s="25"/>
      <c r="K178" s="25"/>
      <c r="L178" s="44"/>
      <c r="M178" s="25"/>
    </row>
    <row r="179" spans="1:13" ht="15" x14ac:dyDescent="0.2">
      <c r="B179" s="25"/>
      <c r="C179" s="119" t="s">
        <v>176</v>
      </c>
      <c r="D179" s="39">
        <f>D167+D173</f>
        <v>48135.134999999995</v>
      </c>
      <c r="E179" s="40">
        <f>E167+E173</f>
        <v>2187276.41</v>
      </c>
      <c r="F179" s="89">
        <f>IF(E179=0,0,E179/D179)</f>
        <v>45.44032981313962</v>
      </c>
      <c r="G179" s="32"/>
      <c r="H179" s="32"/>
      <c r="I179" s="25"/>
      <c r="J179" s="25"/>
      <c r="K179" s="25"/>
      <c r="L179" s="44"/>
      <c r="M179" s="25"/>
    </row>
    <row r="180" spans="1:13" ht="15" x14ac:dyDescent="0.2">
      <c r="B180" s="25"/>
      <c r="C180" s="95" t="s">
        <v>177</v>
      </c>
      <c r="D180" s="131">
        <f>SUM(D176:D179)</f>
        <v>48517.636999999995</v>
      </c>
      <c r="E180" s="132">
        <f>SUM(E176:E179)</f>
        <v>2221576.52</v>
      </c>
      <c r="F180" s="89">
        <f>ROUND(E180/D180,5)</f>
        <v>45.789050000000003</v>
      </c>
      <c r="G180" s="32"/>
      <c r="H180" s="32"/>
      <c r="I180" s="25"/>
      <c r="J180" s="25"/>
      <c r="K180" s="25"/>
      <c r="L180" s="44"/>
      <c r="M180" s="25"/>
    </row>
    <row r="181" spans="1:13" ht="15" x14ac:dyDescent="0.2">
      <c r="B181" s="25"/>
      <c r="C181" s="90"/>
      <c r="D181" s="39"/>
      <c r="E181" s="40"/>
      <c r="F181" s="91"/>
      <c r="G181" s="32"/>
      <c r="H181" s="25"/>
      <c r="I181" s="25"/>
      <c r="J181" s="25"/>
      <c r="K181" s="25"/>
      <c r="L181" s="44"/>
      <c r="M181" s="25"/>
    </row>
    <row r="182" spans="1:13" ht="15.75" thickBot="1" x14ac:dyDescent="0.25">
      <c r="B182" s="25"/>
      <c r="C182" s="33" t="s">
        <v>178</v>
      </c>
      <c r="D182" s="133">
        <f>D159-D180</f>
        <v>62928.182999999983</v>
      </c>
      <c r="E182" s="134">
        <f>E159+E161-E180</f>
        <v>2841368.5999999992</v>
      </c>
      <c r="F182" s="89">
        <f>ROUND(E182/D182,5)</f>
        <v>45.152560000000001</v>
      </c>
      <c r="G182" s="32"/>
      <c r="H182" s="32"/>
      <c r="I182" s="25"/>
      <c r="J182" s="25"/>
      <c r="K182" s="25"/>
      <c r="L182" s="44"/>
      <c r="M182" s="25"/>
    </row>
    <row r="183" spans="1:13" ht="15.75" thickTop="1" x14ac:dyDescent="0.2">
      <c r="B183" s="25"/>
      <c r="C183" s="90"/>
      <c r="D183" s="135"/>
      <c r="E183" s="136"/>
      <c r="F183" s="137"/>
      <c r="G183" s="32"/>
      <c r="H183" s="32"/>
      <c r="I183" s="25"/>
      <c r="J183" s="25"/>
      <c r="K183" s="25"/>
      <c r="L183" s="44"/>
      <c r="M183" s="25"/>
    </row>
    <row r="184" spans="1:13" ht="15" x14ac:dyDescent="0.2">
      <c r="B184" s="25"/>
      <c r="C184" s="90" t="s">
        <v>179</v>
      </c>
      <c r="D184" s="138"/>
      <c r="E184" s="139"/>
      <c r="F184" s="90"/>
      <c r="G184" s="32"/>
      <c r="H184" s="32"/>
      <c r="I184" s="25"/>
      <c r="J184" s="25"/>
      <c r="K184" s="25"/>
      <c r="L184" s="44"/>
      <c r="M184" s="25"/>
    </row>
    <row r="185" spans="1:13" ht="15" x14ac:dyDescent="0.2">
      <c r="B185" s="24"/>
      <c r="C185" s="25"/>
      <c r="D185" s="25"/>
      <c r="E185" s="32"/>
      <c r="F185" s="36"/>
      <c r="G185" s="32"/>
      <c r="H185" s="32"/>
      <c r="I185" s="25"/>
      <c r="J185" s="25"/>
      <c r="K185" s="25"/>
      <c r="L185" s="44"/>
      <c r="M185" s="25"/>
    </row>
    <row r="186" spans="1:13" ht="15" x14ac:dyDescent="0.2">
      <c r="B186" s="24"/>
      <c r="C186" s="25"/>
      <c r="D186" s="25"/>
      <c r="E186" s="32"/>
      <c r="F186" s="36"/>
      <c r="G186" s="32"/>
      <c r="H186" s="32"/>
      <c r="I186" s="25"/>
      <c r="J186" s="25"/>
      <c r="K186" s="25"/>
      <c r="L186" s="44"/>
      <c r="M186" s="25"/>
    </row>
    <row r="187" spans="1:13" ht="15" x14ac:dyDescent="0.2">
      <c r="B187" s="70"/>
      <c r="C187" s="25"/>
      <c r="D187" s="25"/>
      <c r="E187" s="32"/>
      <c r="F187" s="36"/>
      <c r="G187" s="32"/>
      <c r="H187" s="70"/>
      <c r="I187" s="25"/>
      <c r="J187" s="25"/>
      <c r="K187" s="25"/>
      <c r="L187" s="25"/>
      <c r="M187" s="25"/>
    </row>
    <row r="188" spans="1:13" ht="15" x14ac:dyDescent="0.2">
      <c r="B188" s="24" t="s">
        <v>180</v>
      </c>
      <c r="C188" s="25"/>
      <c r="D188" s="25"/>
      <c r="E188" s="32"/>
      <c r="F188" s="36"/>
      <c r="G188" s="32"/>
      <c r="H188" s="24" t="s">
        <v>117</v>
      </c>
      <c r="I188" s="25"/>
      <c r="J188" s="25"/>
      <c r="K188" s="25"/>
      <c r="L188" s="25"/>
      <c r="M188" s="25"/>
    </row>
    <row r="189" spans="1:13" ht="15.75" x14ac:dyDescent="0.25">
      <c r="A189" s="25"/>
      <c r="B189" s="25"/>
      <c r="C189" s="239" t="s">
        <v>181</v>
      </c>
      <c r="D189" s="239"/>
      <c r="E189" s="239"/>
      <c r="F189" s="239"/>
      <c r="G189" s="32"/>
      <c r="H189" s="32"/>
      <c r="I189" s="25"/>
      <c r="J189" s="25"/>
      <c r="K189" s="25"/>
      <c r="L189" s="25"/>
      <c r="M189" s="25"/>
    </row>
    <row r="190" spans="1:13" ht="15" x14ac:dyDescent="0.2">
      <c r="A190" s="25"/>
      <c r="B190" s="25"/>
      <c r="C190" s="90" t="s">
        <v>38</v>
      </c>
      <c r="D190" s="90"/>
      <c r="E190" s="90"/>
      <c r="F190" s="90"/>
      <c r="G190" s="32"/>
      <c r="H190" s="32"/>
      <c r="I190" s="25"/>
      <c r="J190" s="25"/>
      <c r="K190" s="25"/>
      <c r="L190" s="25"/>
      <c r="M190" s="25"/>
    </row>
    <row r="191" spans="1:13" ht="15" x14ac:dyDescent="0.2">
      <c r="A191" s="25"/>
      <c r="B191" s="25"/>
      <c r="C191" s="25" t="str">
        <f>+C116</f>
        <v>PRELIMINARY</v>
      </c>
      <c r="D191" s="90"/>
      <c r="E191" s="119" t="s">
        <v>182</v>
      </c>
      <c r="F191" s="90" t="str">
        <f>C4</f>
        <v>AUGUST 2013</v>
      </c>
      <c r="G191" s="32"/>
      <c r="H191" s="32"/>
      <c r="I191" s="25"/>
      <c r="J191" s="25"/>
      <c r="K191" s="25"/>
      <c r="L191" s="25"/>
      <c r="M191" s="25"/>
    </row>
    <row r="192" spans="1:13" ht="15" x14ac:dyDescent="0.2">
      <c r="A192" s="25"/>
      <c r="B192" s="25"/>
      <c r="C192" s="90" t="s">
        <v>183</v>
      </c>
      <c r="D192" s="90"/>
      <c r="E192" s="90"/>
      <c r="F192" s="90"/>
      <c r="G192" s="25"/>
      <c r="H192" s="25"/>
      <c r="I192" s="25"/>
      <c r="J192" s="25"/>
      <c r="K192" s="25"/>
      <c r="L192" s="25"/>
      <c r="M192" s="25"/>
    </row>
    <row r="193" spans="1:15" ht="15" x14ac:dyDescent="0.2">
      <c r="A193" s="25"/>
      <c r="B193" s="25"/>
      <c r="C193" s="90"/>
      <c r="D193" s="90"/>
      <c r="E193" s="90"/>
      <c r="F193" s="90"/>
      <c r="G193" s="25"/>
      <c r="H193" s="25"/>
      <c r="I193" s="25"/>
      <c r="J193" s="25"/>
      <c r="K193" s="25"/>
      <c r="L193" s="25"/>
      <c r="M193" s="25"/>
    </row>
    <row r="194" spans="1:15" ht="15" x14ac:dyDescent="0.2">
      <c r="A194" s="25"/>
      <c r="B194" s="25"/>
      <c r="C194" s="90"/>
      <c r="D194" s="140" t="s">
        <v>140</v>
      </c>
      <c r="E194" s="140" t="s">
        <v>141</v>
      </c>
      <c r="F194" s="140" t="s">
        <v>142</v>
      </c>
      <c r="G194" s="25"/>
      <c r="H194" s="25"/>
      <c r="I194" s="25"/>
      <c r="J194" s="25"/>
      <c r="K194" s="25"/>
      <c r="L194" s="25"/>
      <c r="M194" s="25"/>
    </row>
    <row r="195" spans="1:15" ht="15" x14ac:dyDescent="0.2">
      <c r="A195" s="25"/>
      <c r="B195" s="25"/>
      <c r="C195" s="90"/>
      <c r="D195" s="128"/>
      <c r="E195" s="128"/>
      <c r="F195" s="128"/>
      <c r="G195" s="25"/>
      <c r="H195" s="25"/>
      <c r="I195" s="25"/>
      <c r="J195" s="25"/>
      <c r="K195" s="25"/>
      <c r="L195" s="25"/>
      <c r="M195" s="25"/>
    </row>
    <row r="196" spans="1:15" ht="15" x14ac:dyDescent="0.2">
      <c r="A196" s="25"/>
      <c r="B196" s="25"/>
      <c r="C196" s="33" t="s">
        <v>143</v>
      </c>
      <c r="D196" s="87">
        <v>368527.67500000028</v>
      </c>
      <c r="E196" s="88">
        <v>14947568.970000006</v>
      </c>
      <c r="F196" s="89">
        <v>40.560229999999997</v>
      </c>
      <c r="G196" s="25"/>
      <c r="H196" s="25"/>
      <c r="I196" s="25"/>
      <c r="J196" s="25"/>
      <c r="K196" s="25"/>
      <c r="L196" s="25"/>
      <c r="M196" s="25"/>
    </row>
    <row r="197" spans="1:15" ht="15" x14ac:dyDescent="0.2">
      <c r="A197" s="25"/>
      <c r="B197" s="32"/>
      <c r="C197" s="90"/>
      <c r="D197" s="141"/>
      <c r="E197" s="141"/>
      <c r="F197" s="89"/>
      <c r="G197" s="45"/>
      <c r="H197" s="32"/>
      <c r="I197" s="25"/>
      <c r="J197" s="25"/>
      <c r="K197" s="25"/>
      <c r="L197" s="25"/>
      <c r="M197" s="25"/>
    </row>
    <row r="198" spans="1:15" ht="15.75" x14ac:dyDescent="0.25">
      <c r="A198" s="32"/>
      <c r="B198" s="32"/>
      <c r="C198" s="92" t="s">
        <v>144</v>
      </c>
      <c r="D198" s="93"/>
      <c r="E198" s="93"/>
      <c r="F198" s="89"/>
      <c r="G198" s="45"/>
      <c r="H198" s="32"/>
      <c r="I198" s="25"/>
      <c r="J198" s="25"/>
      <c r="K198" s="25"/>
      <c r="L198" s="25"/>
      <c r="M198" s="25"/>
    </row>
    <row r="199" spans="1:15" ht="15" x14ac:dyDescent="0.2">
      <c r="A199" s="25"/>
      <c r="B199" s="32"/>
      <c r="C199" s="25"/>
      <c r="D199" s="142"/>
      <c r="E199" s="93"/>
      <c r="F199" s="25"/>
      <c r="G199" s="45"/>
      <c r="H199" s="32"/>
      <c r="I199" s="25"/>
      <c r="J199" s="25"/>
      <c r="K199" s="25"/>
      <c r="L199" s="25"/>
      <c r="M199" s="25"/>
    </row>
    <row r="200" spans="1:15" ht="15" x14ac:dyDescent="0.2">
      <c r="A200" s="25"/>
      <c r="B200" s="94">
        <v>95021</v>
      </c>
      <c r="C200" s="98" t="s">
        <v>184</v>
      </c>
      <c r="D200" s="87">
        <v>133222.44</v>
      </c>
      <c r="E200" s="57">
        <v>3531676.52</v>
      </c>
      <c r="F200" s="89" t="s">
        <v>155</v>
      </c>
      <c r="G200" s="45"/>
      <c r="H200" s="32"/>
      <c r="I200" s="25"/>
      <c r="J200" s="25"/>
      <c r="K200" s="25"/>
      <c r="L200" s="32"/>
      <c r="M200" s="32"/>
    </row>
    <row r="201" spans="1:15" ht="15" x14ac:dyDescent="0.2">
      <c r="A201" s="25"/>
      <c r="B201" s="94">
        <v>95017</v>
      </c>
      <c r="C201" s="90"/>
      <c r="D201" s="87"/>
      <c r="E201" s="57">
        <v>1330052.8700000001</v>
      </c>
      <c r="F201" s="89" t="s">
        <v>156</v>
      </c>
      <c r="G201" s="45"/>
      <c r="H201" s="32"/>
      <c r="I201" s="25"/>
      <c r="J201" s="25"/>
      <c r="K201" s="25"/>
      <c r="L201" s="32"/>
      <c r="M201" s="32"/>
    </row>
    <row r="202" spans="1:15" ht="15" x14ac:dyDescent="0.2">
      <c r="A202" s="32"/>
      <c r="B202" s="94">
        <v>95021</v>
      </c>
      <c r="C202" s="98" t="s">
        <v>185</v>
      </c>
      <c r="D202" s="87"/>
      <c r="E202" s="57">
        <v>436646.29</v>
      </c>
      <c r="F202" s="89" t="s">
        <v>155</v>
      </c>
      <c r="G202" s="45"/>
      <c r="H202" s="32"/>
      <c r="I202" s="25"/>
      <c r="J202" s="25"/>
      <c r="K202" s="25"/>
      <c r="L202" s="32"/>
      <c r="M202" s="32"/>
    </row>
    <row r="203" spans="1:15" ht="15" x14ac:dyDescent="0.2">
      <c r="A203" s="32"/>
      <c r="B203" s="94">
        <v>95021</v>
      </c>
      <c r="C203" s="98" t="s">
        <v>186</v>
      </c>
      <c r="D203" s="87"/>
      <c r="E203" s="57">
        <v>-2807.28</v>
      </c>
      <c r="F203" s="89" t="s">
        <v>155</v>
      </c>
      <c r="G203" s="45"/>
      <c r="H203" s="32"/>
      <c r="I203" s="25"/>
      <c r="J203" s="25"/>
      <c r="K203" s="25"/>
      <c r="L203" s="32"/>
      <c r="M203" s="32"/>
    </row>
    <row r="204" spans="1:15" ht="15" x14ac:dyDescent="0.2">
      <c r="A204" s="25"/>
      <c r="B204" s="94"/>
      <c r="C204" s="95"/>
      <c r="D204" s="87"/>
      <c r="E204" s="57"/>
      <c r="F204" s="89"/>
      <c r="G204" s="45"/>
      <c r="H204" s="32"/>
      <c r="I204" s="25"/>
      <c r="J204" s="25"/>
      <c r="K204" s="25"/>
      <c r="L204" s="32"/>
      <c r="M204" s="32"/>
    </row>
    <row r="205" spans="1:15" ht="15" x14ac:dyDescent="0.2">
      <c r="A205" s="25"/>
      <c r="B205" s="94"/>
      <c r="C205" s="95"/>
      <c r="D205" s="87"/>
      <c r="E205" s="57"/>
      <c r="F205" s="89"/>
      <c r="G205" s="45"/>
      <c r="H205" s="32"/>
      <c r="I205" s="25"/>
      <c r="J205" s="25"/>
      <c r="K205" s="25"/>
      <c r="L205" s="25"/>
      <c r="M205" s="25"/>
      <c r="N205" s="25"/>
      <c r="O205" s="143"/>
    </row>
    <row r="206" spans="1:15" ht="15" x14ac:dyDescent="0.2">
      <c r="A206" s="25"/>
      <c r="B206" s="32"/>
      <c r="C206" s="98"/>
      <c r="D206" s="87"/>
      <c r="E206" s="57"/>
      <c r="F206" s="89"/>
      <c r="G206" s="45"/>
      <c r="H206" s="32"/>
      <c r="I206" s="25"/>
      <c r="J206" s="25"/>
      <c r="K206" s="25"/>
      <c r="L206" s="25"/>
      <c r="M206" s="25"/>
      <c r="N206" s="25"/>
      <c r="O206" s="143"/>
    </row>
    <row r="207" spans="1:15" ht="15" x14ac:dyDescent="0.2">
      <c r="A207" s="25"/>
      <c r="B207" s="94"/>
      <c r="C207" s="95"/>
      <c r="D207" s="87"/>
      <c r="E207" s="57"/>
      <c r="F207" s="89"/>
      <c r="G207" s="25"/>
      <c r="H207" s="32"/>
      <c r="I207" s="25"/>
      <c r="J207" s="25"/>
      <c r="K207" s="25"/>
      <c r="L207" s="25"/>
      <c r="M207" s="25"/>
      <c r="N207" s="25"/>
      <c r="O207" s="144"/>
    </row>
    <row r="208" spans="1:15" ht="15" x14ac:dyDescent="0.2">
      <c r="A208" s="25"/>
      <c r="B208" s="94">
        <v>95021</v>
      </c>
      <c r="C208" s="95" t="s">
        <v>187</v>
      </c>
      <c r="D208" s="87"/>
      <c r="E208" s="57">
        <v>-25691.15</v>
      </c>
      <c r="F208" s="89" t="s">
        <v>155</v>
      </c>
      <c r="G208" s="25"/>
      <c r="H208" s="25"/>
      <c r="I208" s="25"/>
      <c r="J208" s="25"/>
      <c r="K208" s="25"/>
      <c r="L208" s="25"/>
      <c r="M208" s="25"/>
    </row>
    <row r="209" spans="1:13" ht="15" x14ac:dyDescent="0.2">
      <c r="A209" s="25"/>
      <c r="B209" s="94">
        <v>95017</v>
      </c>
      <c r="C209" s="98" t="s">
        <v>188</v>
      </c>
      <c r="D209" s="87"/>
      <c r="E209" s="57">
        <v>-1647.8</v>
      </c>
      <c r="F209" s="89" t="s">
        <v>156</v>
      </c>
      <c r="G209" s="25"/>
      <c r="H209" s="25"/>
      <c r="I209" s="25"/>
      <c r="J209" s="25"/>
      <c r="K209" s="25"/>
      <c r="L209" s="44"/>
      <c r="M209" s="32"/>
    </row>
    <row r="210" spans="1:13" ht="15" x14ac:dyDescent="0.2">
      <c r="A210" s="25"/>
      <c r="B210" s="32"/>
      <c r="C210" s="90"/>
      <c r="D210" s="99"/>
      <c r="E210" s="64"/>
      <c r="F210" s="89"/>
      <c r="G210" s="25"/>
      <c r="H210" s="25"/>
      <c r="I210" s="25"/>
      <c r="J210" s="25"/>
      <c r="K210" s="25"/>
      <c r="L210" s="44"/>
      <c r="M210" s="32"/>
    </row>
    <row r="211" spans="1:13" ht="15" x14ac:dyDescent="0.2">
      <c r="A211" s="25"/>
      <c r="B211" s="32"/>
      <c r="C211" s="118" t="s">
        <v>153</v>
      </c>
      <c r="D211" s="75">
        <f>SUM(D200:D210)</f>
        <v>133222.44</v>
      </c>
      <c r="E211" s="56">
        <f>SUM(E200:E210)</f>
        <v>5268229.45</v>
      </c>
      <c r="F211" s="25"/>
      <c r="G211" s="25"/>
      <c r="H211" s="56"/>
      <c r="I211" s="25"/>
      <c r="J211" s="25"/>
      <c r="K211" s="25"/>
      <c r="L211" s="44"/>
      <c r="M211" s="32"/>
    </row>
    <row r="212" spans="1:13" ht="15" x14ac:dyDescent="0.2">
      <c r="A212" s="25"/>
      <c r="B212" s="32"/>
      <c r="C212" s="118"/>
      <c r="D212" s="75"/>
      <c r="E212" s="56"/>
      <c r="F212" s="25"/>
      <c r="G212" s="25"/>
      <c r="H212" s="25"/>
      <c r="I212" s="25"/>
      <c r="J212" s="25"/>
      <c r="K212" s="25"/>
      <c r="L212" s="44"/>
      <c r="M212" s="32"/>
    </row>
    <row r="213" spans="1:13" ht="15.75" x14ac:dyDescent="0.25">
      <c r="A213" s="25"/>
      <c r="B213" s="32"/>
      <c r="C213" s="102" t="s">
        <v>154</v>
      </c>
      <c r="D213" s="25"/>
      <c r="E213" s="56"/>
      <c r="F213" s="25"/>
      <c r="G213" s="25"/>
      <c r="H213" s="25"/>
      <c r="I213" s="25"/>
      <c r="J213" s="25"/>
      <c r="K213" s="25"/>
      <c r="L213" s="44"/>
      <c r="M213" s="32"/>
    </row>
    <row r="214" spans="1:13" ht="15" x14ac:dyDescent="0.2">
      <c r="A214" s="25"/>
      <c r="B214" s="94">
        <v>95021</v>
      </c>
      <c r="C214" s="98" t="s">
        <v>184</v>
      </c>
      <c r="D214" s="87">
        <f>-143780.52+138233.807</f>
        <v>-5546.7129999999888</v>
      </c>
      <c r="E214" s="57">
        <f>-4081586.96+3644255.08</f>
        <v>-437331.87999999989</v>
      </c>
      <c r="F214" s="89" t="s">
        <v>155</v>
      </c>
      <c r="G214" s="45"/>
      <c r="H214" s="25"/>
      <c r="I214" s="25"/>
      <c r="J214" s="25"/>
      <c r="K214" s="25"/>
      <c r="L214" s="44"/>
      <c r="M214" s="32"/>
    </row>
    <row r="215" spans="1:13" ht="15" x14ac:dyDescent="0.2">
      <c r="A215" s="25"/>
      <c r="B215" s="94">
        <v>95017</v>
      </c>
      <c r="C215" s="90"/>
      <c r="D215" s="87"/>
      <c r="E215" s="57">
        <f>-1435576.6+1380134.69</f>
        <v>-55441.910000000149</v>
      </c>
      <c r="F215" s="89" t="s">
        <v>156</v>
      </c>
      <c r="G215" s="45"/>
      <c r="H215" s="25"/>
      <c r="I215" s="25"/>
      <c r="J215" s="25"/>
      <c r="K215" s="25"/>
      <c r="L215" s="44"/>
      <c r="M215" s="32"/>
    </row>
    <row r="216" spans="1:13" ht="15" x14ac:dyDescent="0.2">
      <c r="A216" s="25"/>
      <c r="B216" s="94">
        <v>95021</v>
      </c>
      <c r="C216" s="98" t="s">
        <v>185</v>
      </c>
      <c r="D216" s="87"/>
      <c r="E216" s="57">
        <f>-453301.68+453301.68</f>
        <v>0</v>
      </c>
      <c r="F216" s="89" t="s">
        <v>155</v>
      </c>
      <c r="G216" s="45"/>
      <c r="H216" s="25"/>
      <c r="I216" s="25"/>
      <c r="J216" s="25"/>
      <c r="K216" s="25"/>
      <c r="L216" s="25"/>
      <c r="M216" s="25"/>
    </row>
    <row r="217" spans="1:13" ht="15" x14ac:dyDescent="0.2">
      <c r="A217" s="25"/>
      <c r="B217" s="94"/>
      <c r="C217" s="90"/>
      <c r="D217" s="145"/>
      <c r="E217" s="57"/>
      <c r="F217" s="89"/>
      <c r="G217" s="45"/>
      <c r="H217" s="25"/>
      <c r="I217" s="25"/>
      <c r="J217" s="25"/>
      <c r="K217" s="25"/>
      <c r="L217" s="25"/>
      <c r="M217" s="25"/>
    </row>
    <row r="218" spans="1:13" ht="15" x14ac:dyDescent="0.2">
      <c r="A218" s="25"/>
      <c r="B218" s="94"/>
      <c r="C218" s="95"/>
      <c r="D218" s="87"/>
      <c r="E218" s="57"/>
      <c r="F218" s="89"/>
      <c r="G218" s="45"/>
      <c r="H218" s="25"/>
      <c r="I218" s="25"/>
      <c r="J218" s="25"/>
      <c r="K218" s="25"/>
      <c r="L218" s="25"/>
      <c r="M218" s="25"/>
    </row>
    <row r="219" spans="1:13" ht="15" x14ac:dyDescent="0.2">
      <c r="A219" s="25"/>
      <c r="B219" s="94"/>
      <c r="C219" s="98"/>
      <c r="D219" s="145"/>
      <c r="E219" s="57"/>
      <c r="F219" s="89"/>
      <c r="G219" s="45"/>
      <c r="H219" s="25"/>
      <c r="I219" s="25"/>
      <c r="J219" s="25"/>
      <c r="K219" s="25"/>
      <c r="L219" s="25"/>
      <c r="M219" s="25"/>
    </row>
    <row r="220" spans="1:13" ht="15" x14ac:dyDescent="0.2">
      <c r="A220" s="25"/>
      <c r="B220" s="94"/>
      <c r="C220" s="90"/>
      <c r="D220" s="87"/>
      <c r="E220" s="57"/>
      <c r="F220" s="89"/>
      <c r="G220" s="25"/>
      <c r="H220" s="25"/>
      <c r="I220" s="25"/>
      <c r="J220" s="25"/>
      <c r="K220" s="25"/>
      <c r="L220" s="25"/>
      <c r="M220" s="25"/>
    </row>
    <row r="221" spans="1:13" ht="15" x14ac:dyDescent="0.2">
      <c r="A221" s="25"/>
      <c r="B221" s="94"/>
      <c r="C221" s="95"/>
      <c r="D221" s="87"/>
      <c r="E221" s="57"/>
      <c r="F221" s="89"/>
      <c r="G221" s="25"/>
      <c r="H221" s="25"/>
      <c r="I221" s="25"/>
      <c r="J221" s="25"/>
      <c r="K221" s="25"/>
      <c r="L221" s="25"/>
      <c r="M221" s="25"/>
    </row>
    <row r="222" spans="1:13" ht="15" x14ac:dyDescent="0.2">
      <c r="A222" s="25"/>
      <c r="B222" s="94"/>
      <c r="C222" s="90"/>
      <c r="D222" s="87"/>
      <c r="E222" s="57"/>
      <c r="F222" s="89"/>
      <c r="G222" s="25"/>
      <c r="H222" s="25"/>
      <c r="I222" s="25"/>
      <c r="J222" s="25"/>
      <c r="K222" s="25"/>
      <c r="L222" s="25"/>
      <c r="M222" s="32"/>
    </row>
    <row r="223" spans="1:13" ht="15" x14ac:dyDescent="0.2">
      <c r="A223" s="25"/>
      <c r="B223" s="94">
        <v>95021</v>
      </c>
      <c r="C223" s="95" t="s">
        <v>187</v>
      </c>
      <c r="D223" s="87"/>
      <c r="E223" s="57">
        <v>0</v>
      </c>
      <c r="F223" s="89" t="s">
        <v>155</v>
      </c>
      <c r="G223" s="45"/>
      <c r="H223" s="25"/>
      <c r="I223" s="25"/>
      <c r="J223" s="25"/>
      <c r="K223" s="25"/>
      <c r="L223" s="25"/>
      <c r="M223" s="32"/>
    </row>
    <row r="224" spans="1:13" ht="15" x14ac:dyDescent="0.2">
      <c r="A224" s="25"/>
      <c r="B224" s="94">
        <v>95017</v>
      </c>
      <c r="C224" s="98" t="s">
        <v>188</v>
      </c>
      <c r="D224" s="99"/>
      <c r="E224" s="64">
        <f>736.46-736.46</f>
        <v>0</v>
      </c>
      <c r="F224" s="89" t="s">
        <v>156</v>
      </c>
      <c r="G224" s="45"/>
      <c r="H224" s="25"/>
      <c r="I224" s="25"/>
      <c r="J224" s="25"/>
      <c r="K224" s="25"/>
      <c r="L224" s="25"/>
      <c r="M224" s="32"/>
    </row>
    <row r="225" spans="1:13" ht="15" x14ac:dyDescent="0.2">
      <c r="A225" s="25"/>
      <c r="B225" s="32"/>
      <c r="C225" s="25" t="s">
        <v>153</v>
      </c>
      <c r="D225" s="104">
        <f>SUM(D214:D224)</f>
        <v>-5546.7129999999888</v>
      </c>
      <c r="E225" s="105">
        <f>SUM(E214:E224)</f>
        <v>-492773.79000000004</v>
      </c>
      <c r="F225" s="25"/>
      <c r="G225" s="25"/>
      <c r="H225" s="32"/>
      <c r="I225" s="25"/>
      <c r="J225" s="25"/>
      <c r="K225" s="25"/>
      <c r="L225" s="25"/>
      <c r="M225" s="32"/>
    </row>
    <row r="226" spans="1:13" ht="15" x14ac:dyDescent="0.2">
      <c r="A226" s="25"/>
      <c r="B226" s="32"/>
      <c r="C226" s="25"/>
      <c r="D226" s="25"/>
      <c r="E226" s="25"/>
      <c r="F226" s="25"/>
      <c r="G226" s="25"/>
      <c r="H226" s="32"/>
      <c r="I226" s="25"/>
      <c r="J226" s="25"/>
      <c r="K226" s="25"/>
      <c r="L226" s="25"/>
      <c r="M226" s="32"/>
    </row>
    <row r="227" spans="1:13" ht="15" x14ac:dyDescent="0.2">
      <c r="A227" s="25"/>
      <c r="B227" s="32"/>
      <c r="C227" s="95" t="s">
        <v>157</v>
      </c>
      <c r="D227" s="51">
        <f>+D211+D225</f>
        <v>127675.72700000001</v>
      </c>
      <c r="E227" s="52">
        <f>+E211+E225</f>
        <v>4775455.66</v>
      </c>
      <c r="F227" s="89">
        <f>IF(D227=0,0,ROUND(E227/D227,5))</f>
        <v>37.402999999999999</v>
      </c>
      <c r="G227" s="25"/>
      <c r="H227" s="32"/>
      <c r="I227" s="25"/>
      <c r="J227" s="25"/>
      <c r="K227" s="25"/>
      <c r="L227" s="25"/>
      <c r="M227" s="32"/>
    </row>
    <row r="228" spans="1:13" ht="15" x14ac:dyDescent="0.2">
      <c r="A228" s="25"/>
      <c r="B228" s="32"/>
      <c r="C228" s="90"/>
      <c r="D228" s="36"/>
      <c r="E228" s="32"/>
      <c r="F228" s="89"/>
      <c r="G228" s="25"/>
      <c r="H228" s="25"/>
      <c r="I228" s="25"/>
      <c r="J228" s="25"/>
      <c r="K228" s="25"/>
      <c r="L228" s="25"/>
      <c r="M228" s="32"/>
    </row>
    <row r="229" spans="1:13" ht="15" x14ac:dyDescent="0.2">
      <c r="A229" s="25"/>
      <c r="B229" s="32"/>
      <c r="C229" s="119" t="s">
        <v>158</v>
      </c>
      <c r="D229" s="51">
        <f>D196+D227+D228</f>
        <v>496203.40200000029</v>
      </c>
      <c r="E229" s="52">
        <f>E196+E227+E228</f>
        <v>19723024.630000006</v>
      </c>
      <c r="F229" s="114">
        <f>ROUND(E229/D229,5)</f>
        <v>39.747860000000003</v>
      </c>
      <c r="G229" s="25"/>
      <c r="H229" s="25"/>
      <c r="I229" s="25"/>
      <c r="J229" s="25"/>
      <c r="K229" s="25"/>
      <c r="L229" s="25"/>
      <c r="M229" s="32"/>
    </row>
    <row r="230" spans="1:13" ht="15" x14ac:dyDescent="0.2">
      <c r="A230" s="25"/>
      <c r="B230" s="32"/>
      <c r="C230" s="122"/>
      <c r="D230" s="87"/>
      <c r="E230" s="121"/>
      <c r="F230" s="24"/>
      <c r="G230" s="45"/>
      <c r="H230" s="32"/>
      <c r="I230" s="25"/>
      <c r="J230" s="25"/>
      <c r="K230" s="25"/>
      <c r="L230" s="25"/>
      <c r="M230" s="25"/>
    </row>
    <row r="231" spans="1:13" ht="15" x14ac:dyDescent="0.2">
      <c r="A231" s="25"/>
      <c r="B231" s="32"/>
      <c r="C231" s="95" t="s">
        <v>189</v>
      </c>
      <c r="D231" s="87"/>
      <c r="E231" s="146">
        <f>+H240</f>
        <v>0</v>
      </c>
      <c r="F231" s="147"/>
      <c r="G231" s="45"/>
      <c r="H231" s="90" t="s">
        <v>190</v>
      </c>
      <c r="I231" s="25"/>
      <c r="J231" s="25"/>
      <c r="K231" s="25"/>
      <c r="L231" s="25"/>
      <c r="M231" s="25"/>
    </row>
    <row r="232" spans="1:13" ht="15" x14ac:dyDescent="0.2">
      <c r="A232" s="25"/>
      <c r="B232" s="32"/>
      <c r="C232" s="122"/>
      <c r="D232" s="87"/>
      <c r="E232" s="57"/>
      <c r="F232" s="89"/>
      <c r="G232" s="45"/>
      <c r="H232" s="90" t="s">
        <v>161</v>
      </c>
      <c r="I232" s="25"/>
      <c r="J232" s="25"/>
      <c r="K232" s="25"/>
      <c r="L232" s="25"/>
      <c r="M232" s="25"/>
    </row>
    <row r="233" spans="1:13" ht="15" x14ac:dyDescent="0.2">
      <c r="A233" s="25"/>
      <c r="B233" s="25"/>
      <c r="C233" s="24"/>
      <c r="D233" s="24"/>
      <c r="E233" s="24"/>
      <c r="F233" s="89"/>
      <c r="G233" s="45"/>
      <c r="H233" s="117">
        <v>0</v>
      </c>
      <c r="I233" s="25"/>
      <c r="J233" s="25"/>
      <c r="K233" s="25"/>
      <c r="L233" s="25"/>
      <c r="M233" s="25"/>
    </row>
    <row r="234" spans="1:13" ht="15.75" x14ac:dyDescent="0.25">
      <c r="A234" s="25"/>
      <c r="B234" s="32"/>
      <c r="C234" s="92" t="s">
        <v>162</v>
      </c>
      <c r="D234" s="39"/>
      <c r="E234" s="90"/>
      <c r="F234" s="89"/>
      <c r="G234" s="45"/>
      <c r="H234" s="117">
        <v>0</v>
      </c>
      <c r="I234" s="25"/>
      <c r="J234" s="25"/>
      <c r="K234" s="25"/>
      <c r="L234" s="25"/>
      <c r="M234" s="25"/>
    </row>
    <row r="235" spans="1:13" ht="15" x14ac:dyDescent="0.2">
      <c r="A235" s="25" t="s">
        <v>191</v>
      </c>
      <c r="B235" s="25"/>
      <c r="C235" s="119" t="s">
        <v>167</v>
      </c>
      <c r="D235" s="87">
        <f>-135534.183+134062.13</f>
        <v>-1472.0529999999853</v>
      </c>
      <c r="E235" s="57">
        <f>-5512473.4+5369654.84</f>
        <v>-142818.56000000052</v>
      </c>
      <c r="F235" s="89"/>
      <c r="G235" s="45"/>
      <c r="H235" s="117">
        <v>0</v>
      </c>
      <c r="I235" s="25"/>
      <c r="J235" s="25"/>
      <c r="K235" s="25"/>
      <c r="L235" s="25"/>
      <c r="M235" s="25"/>
    </row>
    <row r="236" spans="1:13" ht="15" x14ac:dyDescent="0.2">
      <c r="A236" s="44" t="s">
        <v>192</v>
      </c>
      <c r="B236" s="25"/>
      <c r="C236" s="119" t="s">
        <v>193</v>
      </c>
      <c r="D236" s="87">
        <v>0</v>
      </c>
      <c r="E236" s="57">
        <v>0</v>
      </c>
      <c r="F236" s="89"/>
      <c r="G236" s="25"/>
      <c r="H236" s="117">
        <v>0</v>
      </c>
      <c r="I236" s="25"/>
      <c r="J236" s="25"/>
      <c r="K236" s="25"/>
      <c r="L236" s="25"/>
      <c r="M236" s="25"/>
    </row>
    <row r="237" spans="1:13" ht="15" x14ac:dyDescent="0.2">
      <c r="A237" s="44" t="s">
        <v>194</v>
      </c>
      <c r="B237" s="25"/>
      <c r="C237" s="122" t="s">
        <v>169</v>
      </c>
      <c r="D237" s="87">
        <v>0</v>
      </c>
      <c r="E237" s="57">
        <v>0</v>
      </c>
      <c r="F237" s="90"/>
      <c r="G237" s="25"/>
      <c r="H237" s="123">
        <v>0</v>
      </c>
      <c r="I237" s="25"/>
      <c r="J237" s="25"/>
      <c r="K237" s="25"/>
      <c r="L237" s="25"/>
      <c r="M237" s="25"/>
    </row>
    <row r="238" spans="1:13" ht="15" x14ac:dyDescent="0.2">
      <c r="A238" s="25"/>
      <c r="B238" s="25"/>
      <c r="C238" s="119" t="s">
        <v>170</v>
      </c>
      <c r="D238" s="87">
        <v>136409.80499999999</v>
      </c>
      <c r="E238" s="32">
        <f>ROUND(D238*F229,2)</f>
        <v>5421997.8300000001</v>
      </c>
      <c r="F238" s="89">
        <f>IF(E238=0,0,E238/D238)</f>
        <v>39.747859987044187</v>
      </c>
      <c r="G238" s="25"/>
      <c r="H238" s="123">
        <v>0</v>
      </c>
      <c r="I238" s="25"/>
      <c r="J238" s="25"/>
      <c r="K238" s="25"/>
      <c r="L238" s="32"/>
      <c r="M238" s="32"/>
    </row>
    <row r="239" spans="1:13" ht="15" x14ac:dyDescent="0.2">
      <c r="A239" s="25"/>
      <c r="B239" s="25"/>
      <c r="C239" s="113" t="s">
        <v>195</v>
      </c>
      <c r="D239" s="51">
        <f>SUM(D235:D238)</f>
        <v>134937.75200000001</v>
      </c>
      <c r="E239" s="52">
        <f>SUM(E235:E238)</f>
        <v>5279179.2699999996</v>
      </c>
      <c r="F239" s="89"/>
      <c r="G239" s="25"/>
      <c r="H239" s="123">
        <v>0</v>
      </c>
      <c r="I239" s="25"/>
      <c r="J239" s="25"/>
      <c r="K239" s="25"/>
      <c r="L239" s="32"/>
      <c r="M239" s="32"/>
    </row>
    <row r="240" spans="1:13" ht="15.75" thickBot="1" x14ac:dyDescent="0.25">
      <c r="A240" s="25"/>
      <c r="B240" s="25"/>
      <c r="C240" s="90"/>
      <c r="D240" s="90"/>
      <c r="E240" s="90"/>
      <c r="F240" s="89"/>
      <c r="G240" s="25"/>
      <c r="H240" s="129">
        <f>SUM(H233:H239)</f>
        <v>0</v>
      </c>
      <c r="I240" s="25"/>
      <c r="J240" s="25"/>
      <c r="K240" s="25"/>
      <c r="L240" s="32"/>
      <c r="M240" s="32"/>
    </row>
    <row r="241" spans="1:13" ht="15.75" thickTop="1" x14ac:dyDescent="0.2">
      <c r="A241" s="25"/>
      <c r="B241" s="25"/>
      <c r="C241" s="40"/>
      <c r="D241" s="39"/>
      <c r="E241" s="90"/>
      <c r="F241" s="89"/>
      <c r="G241" s="25"/>
      <c r="H241" s="25"/>
      <c r="I241" s="25"/>
      <c r="J241" s="25"/>
      <c r="K241" s="25"/>
      <c r="L241" s="32"/>
      <c r="M241" s="32"/>
    </row>
    <row r="242" spans="1:13" ht="15" x14ac:dyDescent="0.2">
      <c r="A242" s="25"/>
      <c r="B242" s="25"/>
      <c r="C242" s="33" t="s">
        <v>177</v>
      </c>
      <c r="D242" s="36">
        <f>+D239</f>
        <v>134937.75200000001</v>
      </c>
      <c r="E242" s="32">
        <f>+E239</f>
        <v>5279179.2699999996</v>
      </c>
      <c r="F242" s="37">
        <f>ROUND(E242/D242,5)</f>
        <v>39.123069999999998</v>
      </c>
      <c r="G242" s="25"/>
      <c r="H242" s="25"/>
      <c r="I242" s="25"/>
      <c r="J242" s="25"/>
      <c r="K242" s="25"/>
      <c r="L242" s="32"/>
      <c r="M242" s="32"/>
    </row>
    <row r="243" spans="1:13" ht="15" x14ac:dyDescent="0.2">
      <c r="A243" s="25"/>
      <c r="B243" s="25"/>
      <c r="C243" s="25"/>
      <c r="D243" s="73"/>
      <c r="E243" s="148"/>
      <c r="F243" s="37"/>
      <c r="G243" s="25"/>
      <c r="H243" s="25"/>
      <c r="I243" s="25"/>
      <c r="J243" s="25"/>
      <c r="K243" s="25"/>
      <c r="L243" s="32"/>
      <c r="M243" s="32"/>
    </row>
    <row r="244" spans="1:13" ht="15" x14ac:dyDescent="0.2">
      <c r="A244" s="25"/>
      <c r="B244" s="25"/>
      <c r="C244" s="25"/>
      <c r="D244" s="25"/>
      <c r="E244" s="25"/>
      <c r="F244" s="37"/>
      <c r="G244" s="25"/>
      <c r="H244" s="25"/>
      <c r="I244" s="25"/>
      <c r="J244" s="25"/>
      <c r="K244" s="25"/>
      <c r="L244" s="32"/>
      <c r="M244" s="32"/>
    </row>
    <row r="245" spans="1:13" ht="15" x14ac:dyDescent="0.2">
      <c r="A245" s="32"/>
      <c r="B245" s="25"/>
      <c r="C245" s="25"/>
      <c r="D245" s="36"/>
      <c r="E245" s="25"/>
      <c r="F245" s="37"/>
      <c r="G245" s="25"/>
      <c r="H245" s="25"/>
      <c r="I245" s="25"/>
      <c r="J245" s="25"/>
      <c r="K245" s="25"/>
      <c r="L245" s="25"/>
      <c r="M245" s="25"/>
    </row>
    <row r="246" spans="1:13" ht="15.75" thickBot="1" x14ac:dyDescent="0.25">
      <c r="A246" s="32"/>
      <c r="B246" s="25"/>
      <c r="C246" s="33" t="s">
        <v>178</v>
      </c>
      <c r="D246" s="133">
        <f>D229-D242</f>
        <v>361265.65000000026</v>
      </c>
      <c r="E246" s="134">
        <f>E229-E242+E231</f>
        <v>14443845.360000007</v>
      </c>
      <c r="F246" s="37">
        <f>ROUND(E246/D246,5)</f>
        <v>39.981229999999996</v>
      </c>
      <c r="G246" s="25"/>
      <c r="H246" s="25"/>
      <c r="I246" s="25"/>
      <c r="J246" s="25"/>
      <c r="K246" s="25"/>
      <c r="L246" s="25"/>
      <c r="M246" s="25"/>
    </row>
    <row r="247" spans="1:13" ht="15.75" thickTop="1" x14ac:dyDescent="0.2">
      <c r="A247" s="32"/>
      <c r="B247" s="25"/>
      <c r="C247" s="90"/>
      <c r="D247" s="149"/>
      <c r="E247" s="150"/>
      <c r="F247" s="90"/>
      <c r="G247" s="25"/>
      <c r="H247" s="25"/>
      <c r="I247" s="25"/>
      <c r="J247" s="25"/>
      <c r="K247" s="25"/>
      <c r="L247" s="32"/>
      <c r="M247" s="32"/>
    </row>
    <row r="248" spans="1:13" ht="15" x14ac:dyDescent="0.2">
      <c r="A248" s="25"/>
      <c r="B248" s="25"/>
      <c r="C248" s="95" t="s">
        <v>196</v>
      </c>
      <c r="D248" s="138"/>
      <c r="E248" s="151"/>
      <c r="F248" s="90"/>
      <c r="G248" s="25"/>
      <c r="H248" s="25"/>
      <c r="I248" s="25"/>
      <c r="J248" s="25"/>
      <c r="K248" s="25"/>
      <c r="L248" s="32"/>
      <c r="M248" s="32"/>
    </row>
    <row r="249" spans="1:13" ht="15" x14ac:dyDescent="0.2">
      <c r="B249" s="24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</row>
    <row r="250" spans="1:13" ht="15" x14ac:dyDescent="0.2">
      <c r="B250" s="24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</row>
    <row r="251" spans="1:13" ht="15" x14ac:dyDescent="0.2">
      <c r="B251" s="24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</row>
    <row r="252" spans="1:13" ht="15" x14ac:dyDescent="0.2">
      <c r="B252" s="24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</row>
    <row r="253" spans="1:13" ht="15" x14ac:dyDescent="0.2">
      <c r="B253" s="24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</row>
    <row r="254" spans="1:13" ht="15" x14ac:dyDescent="0.2">
      <c r="B254" s="24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</row>
    <row r="255" spans="1:13" ht="15" x14ac:dyDescent="0.2">
      <c r="B255" s="24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</row>
    <row r="256" spans="1:13" ht="15" x14ac:dyDescent="0.2">
      <c r="B256" s="24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</row>
    <row r="257" spans="1:13" ht="15" x14ac:dyDescent="0.2">
      <c r="B257" s="24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</row>
    <row r="258" spans="1:13" ht="15" x14ac:dyDescent="0.2">
      <c r="B258" s="70"/>
      <c r="C258" s="25"/>
      <c r="D258" s="25"/>
      <c r="E258" s="25"/>
      <c r="F258" s="25"/>
      <c r="G258" s="25"/>
      <c r="H258" s="70"/>
      <c r="I258" s="25"/>
      <c r="J258" s="25"/>
      <c r="K258" s="25"/>
      <c r="L258" s="25"/>
      <c r="M258" s="25"/>
    </row>
    <row r="259" spans="1:13" ht="15" x14ac:dyDescent="0.2">
      <c r="B259" s="24" t="s">
        <v>197</v>
      </c>
      <c r="C259" s="25"/>
      <c r="D259" s="25"/>
      <c r="E259" s="25"/>
      <c r="F259" s="25"/>
      <c r="G259" s="25"/>
      <c r="H259" s="24" t="s">
        <v>117</v>
      </c>
      <c r="I259" s="25"/>
      <c r="J259" s="25"/>
      <c r="K259" s="25"/>
      <c r="L259" s="25"/>
      <c r="M259" s="25"/>
    </row>
    <row r="260" spans="1:13" ht="15.75" x14ac:dyDescent="0.25">
      <c r="A260" s="25"/>
      <c r="B260" s="25"/>
      <c r="C260" s="239" t="s">
        <v>198</v>
      </c>
      <c r="D260" s="239"/>
      <c r="E260" s="239"/>
      <c r="F260" s="239"/>
      <c r="G260" s="25"/>
      <c r="H260" s="25"/>
      <c r="I260" s="25"/>
      <c r="J260" s="25"/>
      <c r="K260" s="25"/>
      <c r="L260" s="25"/>
      <c r="M260" s="25"/>
    </row>
    <row r="261" spans="1:13" ht="15" x14ac:dyDescent="0.2">
      <c r="A261" s="25"/>
      <c r="B261" s="25"/>
      <c r="C261" s="90"/>
      <c r="D261" s="90"/>
      <c r="E261" s="90"/>
      <c r="F261" s="90"/>
      <c r="G261" s="45"/>
      <c r="H261" s="32"/>
      <c r="I261" s="25"/>
      <c r="J261" s="25"/>
      <c r="K261" s="25"/>
      <c r="L261" s="25"/>
      <c r="M261" s="25"/>
    </row>
    <row r="262" spans="1:13" ht="15" x14ac:dyDescent="0.2">
      <c r="A262" s="25"/>
      <c r="B262" s="25"/>
      <c r="C262" s="25" t="str">
        <f>+C116</f>
        <v>PRELIMINARY</v>
      </c>
      <c r="D262" s="152"/>
      <c r="E262" s="152" t="s">
        <v>138</v>
      </c>
      <c r="F262" s="153" t="str">
        <f>+C4</f>
        <v>AUGUST 2013</v>
      </c>
      <c r="G262" s="45"/>
      <c r="H262" s="32"/>
      <c r="I262" s="25"/>
      <c r="J262" s="25"/>
      <c r="K262" s="25"/>
      <c r="L262" s="25"/>
      <c r="M262" s="25"/>
    </row>
    <row r="263" spans="1:13" ht="15" x14ac:dyDescent="0.2">
      <c r="A263" s="25"/>
      <c r="B263" s="25"/>
      <c r="C263" s="90" t="s">
        <v>199</v>
      </c>
      <c r="D263" s="90"/>
      <c r="E263" s="90"/>
      <c r="F263" s="90"/>
      <c r="G263" s="45"/>
      <c r="H263" s="32"/>
      <c r="I263" s="25"/>
      <c r="J263" s="25"/>
      <c r="K263" s="25"/>
      <c r="L263" s="25"/>
      <c r="M263" s="25"/>
    </row>
    <row r="264" spans="1:13" ht="15" x14ac:dyDescent="0.2">
      <c r="A264" s="25"/>
      <c r="B264" s="25"/>
      <c r="C264" s="90"/>
      <c r="D264" s="90"/>
      <c r="E264" s="90"/>
      <c r="F264" s="90"/>
      <c r="G264" s="45"/>
      <c r="H264" s="32"/>
      <c r="I264" s="25"/>
      <c r="J264" s="25"/>
      <c r="K264" s="25"/>
      <c r="L264" s="32"/>
      <c r="M264" s="32"/>
    </row>
    <row r="265" spans="1:13" ht="15" x14ac:dyDescent="0.2">
      <c r="A265" s="25"/>
      <c r="B265" s="25"/>
      <c r="C265" s="90"/>
      <c r="D265" s="140" t="s">
        <v>140</v>
      </c>
      <c r="E265" s="140" t="s">
        <v>141</v>
      </c>
      <c r="F265" s="140" t="s">
        <v>142</v>
      </c>
      <c r="G265" s="45"/>
      <c r="H265" s="32"/>
      <c r="I265" s="25"/>
      <c r="J265" s="25"/>
      <c r="K265" s="25"/>
      <c r="L265" s="32"/>
      <c r="M265" s="32"/>
    </row>
    <row r="266" spans="1:13" ht="15" x14ac:dyDescent="0.2">
      <c r="A266" s="25"/>
      <c r="B266" s="25"/>
      <c r="C266" s="90"/>
      <c r="D266" s="128"/>
      <c r="E266" s="128"/>
      <c r="F266" s="128"/>
      <c r="G266" s="45"/>
      <c r="H266" s="32"/>
      <c r="I266" s="25"/>
      <c r="J266" s="25"/>
      <c r="K266" s="25"/>
      <c r="L266" s="32"/>
      <c r="M266" s="32"/>
    </row>
    <row r="267" spans="1:13" ht="15" x14ac:dyDescent="0.2">
      <c r="A267" s="25"/>
      <c r="B267" s="25"/>
      <c r="C267" s="33" t="s">
        <v>143</v>
      </c>
      <c r="D267" s="87">
        <v>65962.199999999968</v>
      </c>
      <c r="E267" s="88">
        <v>1565517.7599999998</v>
      </c>
      <c r="F267" s="89">
        <v>23.733560000000001</v>
      </c>
      <c r="G267" s="45"/>
      <c r="H267" s="32"/>
      <c r="I267" s="25"/>
      <c r="J267" s="25"/>
      <c r="K267" s="25"/>
      <c r="L267" s="32"/>
      <c r="M267" s="32"/>
    </row>
    <row r="268" spans="1:13" ht="15" x14ac:dyDescent="0.2">
      <c r="A268" s="25"/>
      <c r="B268" s="25"/>
      <c r="C268" s="90"/>
      <c r="D268" s="141"/>
      <c r="E268" s="141"/>
      <c r="F268" s="89"/>
      <c r="G268" s="45"/>
      <c r="H268" s="32"/>
      <c r="I268" s="25"/>
      <c r="J268" s="25"/>
      <c r="K268" s="25"/>
      <c r="L268" s="32"/>
      <c r="M268" s="32"/>
    </row>
    <row r="269" spans="1:13" ht="15.75" x14ac:dyDescent="0.25">
      <c r="A269" s="25"/>
      <c r="B269" s="25"/>
      <c r="C269" s="92" t="s">
        <v>144</v>
      </c>
      <c r="D269" s="93"/>
      <c r="E269" s="93"/>
      <c r="F269" s="89"/>
      <c r="G269" s="45"/>
      <c r="H269" s="32"/>
      <c r="I269" s="25"/>
      <c r="J269" s="25"/>
      <c r="K269" s="25"/>
      <c r="L269" s="25"/>
      <c r="M269" s="25"/>
    </row>
    <row r="270" spans="1:13" ht="15" x14ac:dyDescent="0.2">
      <c r="A270" s="25"/>
      <c r="B270" s="25"/>
      <c r="C270" s="95" t="s">
        <v>200</v>
      </c>
      <c r="D270" s="87">
        <v>34605.67</v>
      </c>
      <c r="E270" s="57">
        <v>708954.54</v>
      </c>
      <c r="F270" s="89" t="s">
        <v>155</v>
      </c>
      <c r="G270" s="45"/>
      <c r="H270" s="32"/>
      <c r="I270" s="25"/>
      <c r="J270" s="25"/>
      <c r="K270" s="25"/>
      <c r="L270" s="25"/>
      <c r="M270" s="25"/>
    </row>
    <row r="271" spans="1:13" ht="15" x14ac:dyDescent="0.2">
      <c r="A271" s="25"/>
      <c r="B271" s="25"/>
      <c r="C271" s="95"/>
      <c r="D271" s="87"/>
      <c r="E271" s="57">
        <v>44379.72</v>
      </c>
      <c r="F271" s="89" t="s">
        <v>156</v>
      </c>
      <c r="G271" s="45"/>
      <c r="H271" s="32"/>
      <c r="I271" s="25"/>
      <c r="J271" s="25"/>
      <c r="K271" s="25"/>
      <c r="L271" s="25"/>
      <c r="M271" s="25"/>
    </row>
    <row r="272" spans="1:13" ht="15" x14ac:dyDescent="0.2">
      <c r="A272" s="25"/>
      <c r="B272" s="25"/>
      <c r="C272" s="95" t="s">
        <v>201</v>
      </c>
      <c r="D272" s="93"/>
      <c r="E272" s="57">
        <v>100356.44</v>
      </c>
      <c r="F272" s="89" t="s">
        <v>155</v>
      </c>
      <c r="G272" s="45"/>
      <c r="H272" s="32"/>
      <c r="I272" s="25"/>
      <c r="J272" s="25"/>
      <c r="K272" s="25"/>
      <c r="L272" s="25"/>
      <c r="M272" s="25"/>
    </row>
    <row r="273" spans="1:13" ht="15" x14ac:dyDescent="0.2">
      <c r="A273" s="25"/>
      <c r="B273" s="25"/>
      <c r="C273" s="63" t="s">
        <v>202</v>
      </c>
      <c r="D273" s="24"/>
      <c r="E273" s="57">
        <v>3287.54</v>
      </c>
      <c r="F273" s="89" t="s">
        <v>155</v>
      </c>
      <c r="G273" s="45"/>
      <c r="H273" s="32"/>
      <c r="I273" s="25"/>
      <c r="J273" s="25"/>
      <c r="K273" s="25"/>
      <c r="L273" s="25"/>
      <c r="M273" s="25"/>
    </row>
    <row r="274" spans="1:13" ht="15" x14ac:dyDescent="0.2">
      <c r="A274" s="25"/>
      <c r="B274" s="25"/>
      <c r="C274" s="63" t="s">
        <v>203</v>
      </c>
      <c r="D274" s="154"/>
      <c r="E274" s="155">
        <v>2872.27</v>
      </c>
      <c r="F274" s="115" t="s">
        <v>155</v>
      </c>
      <c r="G274" s="45"/>
      <c r="H274" s="32"/>
      <c r="I274" s="25"/>
      <c r="J274" s="25"/>
      <c r="K274" s="25"/>
      <c r="L274" s="25"/>
      <c r="M274" s="25"/>
    </row>
    <row r="275" spans="1:13" ht="15" x14ac:dyDescent="0.2">
      <c r="A275" s="25"/>
      <c r="B275" s="25"/>
      <c r="C275" s="63"/>
      <c r="D275" s="24"/>
      <c r="E275" s="57"/>
      <c r="F275" s="89"/>
      <c r="G275" s="45"/>
      <c r="H275" s="32"/>
      <c r="I275" s="25"/>
      <c r="J275" s="25"/>
      <c r="K275" s="25"/>
      <c r="L275" s="25"/>
      <c r="M275" s="25"/>
    </row>
    <row r="276" spans="1:13" ht="15" x14ac:dyDescent="0.2">
      <c r="A276" s="25"/>
      <c r="B276" s="25"/>
      <c r="C276" s="63"/>
      <c r="D276" s="24"/>
      <c r="E276" s="57"/>
      <c r="F276" s="89"/>
      <c r="G276" s="45"/>
      <c r="H276" s="32"/>
      <c r="I276" s="25"/>
      <c r="J276" s="25"/>
      <c r="K276" s="25"/>
      <c r="L276" s="25"/>
      <c r="M276" s="25"/>
    </row>
    <row r="277" spans="1:13" ht="15" x14ac:dyDescent="0.2">
      <c r="A277" s="25"/>
      <c r="B277" s="25"/>
      <c r="C277" s="63"/>
      <c r="D277" s="156"/>
      <c r="E277" s="64"/>
      <c r="F277" s="89"/>
      <c r="G277" s="25"/>
      <c r="H277" s="32"/>
      <c r="I277" s="25"/>
      <c r="J277" s="25"/>
      <c r="K277" s="25"/>
      <c r="L277" s="25"/>
      <c r="M277" s="25"/>
    </row>
    <row r="278" spans="1:13" ht="15" x14ac:dyDescent="0.2">
      <c r="A278" s="25"/>
      <c r="B278" s="25"/>
      <c r="C278" s="63" t="s">
        <v>153</v>
      </c>
      <c r="D278" s="75">
        <f>SUM(D270:D277)</f>
        <v>34605.67</v>
      </c>
      <c r="E278" s="146">
        <f>SUM(E270:E277)</f>
        <v>859850.51</v>
      </c>
      <c r="F278" s="25"/>
      <c r="G278" s="56"/>
      <c r="H278" s="32"/>
      <c r="I278" s="25"/>
      <c r="J278" s="25"/>
      <c r="K278" s="25"/>
      <c r="L278" s="25"/>
      <c r="M278" s="25"/>
    </row>
    <row r="279" spans="1:13" ht="15" x14ac:dyDescent="0.2">
      <c r="A279" s="25"/>
      <c r="B279" s="25"/>
      <c r="C279" s="33"/>
      <c r="D279" s="25"/>
      <c r="E279" s="43"/>
      <c r="F279" s="25"/>
      <c r="G279" s="25"/>
      <c r="H279" s="25"/>
      <c r="I279" s="25"/>
      <c r="J279" s="25"/>
      <c r="K279" s="25"/>
      <c r="L279" s="44"/>
      <c r="M279" s="32"/>
    </row>
    <row r="280" spans="1:13" ht="15.75" x14ac:dyDescent="0.25">
      <c r="A280" s="25"/>
      <c r="B280" s="25"/>
      <c r="C280" s="102" t="s">
        <v>154</v>
      </c>
      <c r="D280" s="43"/>
      <c r="E280" s="43"/>
      <c r="F280" s="25"/>
      <c r="G280" s="25"/>
      <c r="H280" s="25"/>
      <c r="I280" s="25"/>
      <c r="J280" s="25"/>
      <c r="K280" s="25"/>
      <c r="L280" s="44"/>
      <c r="M280" s="32"/>
    </row>
    <row r="281" spans="1:13" ht="15" x14ac:dyDescent="0.2">
      <c r="A281" s="25"/>
      <c r="B281" s="25"/>
      <c r="C281" s="95" t="s">
        <v>200</v>
      </c>
      <c r="D281" s="87">
        <f>-35388.31+32818.6</f>
        <v>-2569.7099999999991</v>
      </c>
      <c r="E281" s="57">
        <f>-720958.93+667456.17</f>
        <v>-53502.760000000009</v>
      </c>
      <c r="F281" s="89" t="s">
        <v>155</v>
      </c>
      <c r="G281" s="45"/>
      <c r="H281" s="32"/>
      <c r="I281" s="25"/>
      <c r="J281" s="25"/>
      <c r="K281" s="25"/>
      <c r="L281" s="44"/>
      <c r="M281" s="32"/>
    </row>
    <row r="282" spans="1:13" ht="15" x14ac:dyDescent="0.2">
      <c r="A282" s="25"/>
      <c r="B282" s="25"/>
      <c r="C282" s="95"/>
      <c r="D282" s="145"/>
      <c r="E282" s="57">
        <f>-42768.44+42460.4</f>
        <v>-308.04000000000087</v>
      </c>
      <c r="F282" s="89" t="s">
        <v>156</v>
      </c>
      <c r="G282" s="45"/>
      <c r="H282" s="32"/>
      <c r="I282" s="25"/>
      <c r="J282" s="25"/>
      <c r="K282" s="25"/>
      <c r="L282" s="44"/>
      <c r="M282" s="32"/>
    </row>
    <row r="283" spans="1:13" ht="15" x14ac:dyDescent="0.2">
      <c r="A283" s="24"/>
      <c r="B283" s="24"/>
      <c r="C283" s="95" t="s">
        <v>201</v>
      </c>
      <c r="D283" s="145"/>
      <c r="E283" s="57">
        <f>-102626.1+95173.94</f>
        <v>-7452.1600000000035</v>
      </c>
      <c r="F283" s="89" t="s">
        <v>155</v>
      </c>
      <c r="G283" s="45"/>
      <c r="H283" s="32"/>
      <c r="I283" s="25"/>
      <c r="J283" s="25"/>
      <c r="K283" s="25"/>
      <c r="L283" s="44"/>
      <c r="M283" s="32"/>
    </row>
    <row r="284" spans="1:13" ht="15" x14ac:dyDescent="0.2">
      <c r="A284" s="24"/>
      <c r="B284" s="24"/>
      <c r="C284" s="63" t="s">
        <v>202</v>
      </c>
      <c r="D284" s="145"/>
      <c r="E284" s="155">
        <f>-3361.89+3127.61</f>
        <v>-234.27999999999975</v>
      </c>
      <c r="F284" s="89" t="s">
        <v>155</v>
      </c>
      <c r="G284" s="45"/>
      <c r="H284" s="32"/>
      <c r="I284" s="25"/>
      <c r="J284" s="25"/>
      <c r="K284" s="25"/>
      <c r="L284" s="25"/>
      <c r="M284" s="25"/>
    </row>
    <row r="285" spans="1:13" ht="15" x14ac:dyDescent="0.2">
      <c r="A285" s="25"/>
      <c r="B285" s="25"/>
      <c r="C285" s="63" t="s">
        <v>203</v>
      </c>
      <c r="D285" s="145"/>
      <c r="E285" s="155">
        <f>-2937.23+623.55</f>
        <v>-2313.6800000000003</v>
      </c>
      <c r="F285" s="89" t="s">
        <v>155</v>
      </c>
      <c r="G285" s="45"/>
      <c r="H285" s="32"/>
      <c r="I285" s="25"/>
      <c r="J285" s="25"/>
      <c r="K285" s="25"/>
      <c r="L285" s="25"/>
      <c r="M285" s="25"/>
    </row>
    <row r="286" spans="1:13" ht="15" x14ac:dyDescent="0.2">
      <c r="A286" s="25"/>
      <c r="B286" s="25"/>
      <c r="C286" s="63"/>
      <c r="D286" s="145"/>
      <c r="E286" s="155"/>
      <c r="F286" s="89"/>
      <c r="G286" s="45"/>
      <c r="H286" s="32"/>
      <c r="I286" s="25"/>
      <c r="J286" s="25"/>
      <c r="K286" s="25"/>
      <c r="L286" s="25"/>
      <c r="M286" s="25"/>
    </row>
    <row r="287" spans="1:13" ht="15" x14ac:dyDescent="0.2">
      <c r="A287" s="25"/>
      <c r="B287" s="25"/>
      <c r="C287" s="63"/>
      <c r="D287" s="145"/>
      <c r="E287" s="155"/>
      <c r="F287" s="89"/>
      <c r="G287" s="45"/>
      <c r="H287" s="32"/>
      <c r="I287" s="25"/>
      <c r="J287" s="25"/>
      <c r="K287" s="25"/>
      <c r="L287" s="25"/>
      <c r="M287" s="25"/>
    </row>
    <row r="288" spans="1:13" ht="15" x14ac:dyDescent="0.2">
      <c r="A288" s="25"/>
      <c r="B288" s="25"/>
      <c r="C288" s="63"/>
      <c r="D288" s="145"/>
      <c r="E288" s="155"/>
      <c r="F288" s="89"/>
      <c r="G288" s="45"/>
      <c r="H288" s="32"/>
      <c r="I288" s="25"/>
      <c r="J288" s="25"/>
      <c r="K288" s="25"/>
      <c r="L288" s="25"/>
      <c r="M288" s="25"/>
    </row>
    <row r="289" spans="1:13" ht="15" x14ac:dyDescent="0.2">
      <c r="A289" s="25"/>
      <c r="B289" s="25"/>
      <c r="C289" s="63" t="s">
        <v>153</v>
      </c>
      <c r="D289" s="157">
        <f>SUM(D281:D288)</f>
        <v>-2569.7099999999991</v>
      </c>
      <c r="E289" s="158">
        <f>SUM(E281:E288)</f>
        <v>-63810.920000000013</v>
      </c>
      <c r="F289" s="37"/>
      <c r="G289" s="45"/>
      <c r="H289" s="32"/>
      <c r="I289" s="25"/>
      <c r="J289" s="25"/>
      <c r="K289" s="25"/>
      <c r="L289" s="25"/>
      <c r="M289" s="25"/>
    </row>
    <row r="290" spans="1:13" ht="15" x14ac:dyDescent="0.2">
      <c r="A290" s="25"/>
      <c r="B290" s="25"/>
      <c r="C290" s="63"/>
      <c r="D290" s="48"/>
      <c r="E290" s="50"/>
      <c r="F290" s="37"/>
      <c r="G290" s="45"/>
      <c r="H290" s="32"/>
      <c r="I290" s="25"/>
      <c r="J290" s="25"/>
      <c r="K290" s="25"/>
      <c r="L290" s="25"/>
      <c r="M290" s="25"/>
    </row>
    <row r="291" spans="1:13" ht="15" x14ac:dyDescent="0.2">
      <c r="A291" s="25"/>
      <c r="B291" s="25"/>
      <c r="C291" s="33" t="s">
        <v>157</v>
      </c>
      <c r="D291" s="51">
        <f>+D278+D289</f>
        <v>32035.96</v>
      </c>
      <c r="E291" s="52">
        <f>+E278+E289</f>
        <v>796039.59</v>
      </c>
      <c r="F291" s="37">
        <f>ROUND(E291/D291,5)</f>
        <v>24.848310000000001</v>
      </c>
      <c r="G291" s="45"/>
      <c r="H291" s="32"/>
      <c r="I291" s="25"/>
      <c r="J291" s="25"/>
      <c r="K291" s="25"/>
      <c r="L291" s="25"/>
      <c r="M291" s="25"/>
    </row>
    <row r="292" spans="1:13" ht="15" x14ac:dyDescent="0.2">
      <c r="A292" s="25"/>
      <c r="B292" s="25"/>
      <c r="C292" s="25"/>
      <c r="D292" s="47"/>
      <c r="E292" s="65"/>
      <c r="F292" s="37"/>
      <c r="G292" s="45"/>
      <c r="H292" s="32"/>
      <c r="I292" s="25"/>
      <c r="J292" s="25"/>
      <c r="K292" s="25"/>
      <c r="L292" s="25"/>
      <c r="M292" s="25"/>
    </row>
    <row r="293" spans="1:13" ht="15" x14ac:dyDescent="0.2">
      <c r="A293" s="25"/>
      <c r="B293" s="25"/>
      <c r="C293" s="159" t="s">
        <v>158</v>
      </c>
      <c r="D293" s="51">
        <f>D267+D291</f>
        <v>97998.159999999974</v>
      </c>
      <c r="E293" s="52">
        <f>E267+E291</f>
        <v>2361557.3499999996</v>
      </c>
      <c r="F293" s="160">
        <f>ROUND(E293/D293,5)</f>
        <v>24.09798</v>
      </c>
      <c r="G293" s="45"/>
      <c r="H293" s="32"/>
      <c r="I293" s="25"/>
      <c r="J293" s="25"/>
      <c r="K293" s="25"/>
      <c r="L293" s="25"/>
      <c r="M293" s="25"/>
    </row>
    <row r="294" spans="1:13" ht="15" x14ac:dyDescent="0.2">
      <c r="A294" s="25"/>
      <c r="B294" s="25"/>
      <c r="C294" s="159"/>
      <c r="D294" s="36"/>
      <c r="E294" s="32"/>
      <c r="F294" s="49"/>
      <c r="G294" s="45"/>
      <c r="H294" s="32"/>
      <c r="I294" s="25"/>
      <c r="J294" s="25"/>
      <c r="K294" s="25"/>
      <c r="L294" s="25"/>
      <c r="M294" s="25"/>
    </row>
    <row r="295" spans="1:13" ht="15" x14ac:dyDescent="0.2">
      <c r="A295" s="25"/>
      <c r="B295" s="25"/>
      <c r="C295" s="98" t="s">
        <v>204</v>
      </c>
      <c r="D295" s="36"/>
      <c r="E295" s="50">
        <f>+H306</f>
        <v>46716.83</v>
      </c>
      <c r="F295" s="161"/>
      <c r="G295" s="45"/>
      <c r="H295" s="90" t="s">
        <v>205</v>
      </c>
      <c r="I295" s="25"/>
      <c r="J295" s="25"/>
      <c r="K295" s="25"/>
      <c r="L295" s="25"/>
      <c r="M295" s="32"/>
    </row>
    <row r="296" spans="1:13" ht="15" x14ac:dyDescent="0.2">
      <c r="A296" s="25"/>
      <c r="B296" s="25"/>
      <c r="C296" s="63"/>
      <c r="D296" s="25"/>
      <c r="E296" s="57"/>
      <c r="F296" s="25"/>
      <c r="G296" s="45"/>
      <c r="H296" s="90" t="s">
        <v>161</v>
      </c>
      <c r="I296" s="56"/>
      <c r="J296" s="25"/>
      <c r="K296" s="25"/>
      <c r="L296" s="25"/>
      <c r="M296" s="32"/>
    </row>
    <row r="297" spans="1:13" ht="15.75" x14ac:dyDescent="0.25">
      <c r="A297" s="25"/>
      <c r="B297" s="25"/>
      <c r="C297" s="162" t="s">
        <v>162</v>
      </c>
      <c r="D297" s="36"/>
      <c r="E297" s="25"/>
      <c r="F297" s="37"/>
      <c r="G297" s="25"/>
      <c r="H297" s="117">
        <f>-60000+82607.16</f>
        <v>22607.160000000003</v>
      </c>
      <c r="I297" s="163" t="s">
        <v>206</v>
      </c>
      <c r="J297" s="25"/>
      <c r="K297" s="25"/>
      <c r="L297" s="25"/>
      <c r="M297" s="32"/>
    </row>
    <row r="298" spans="1:13" ht="15" x14ac:dyDescent="0.2">
      <c r="A298" s="25"/>
      <c r="B298" s="25"/>
      <c r="C298" s="25"/>
      <c r="D298" s="36"/>
      <c r="E298" s="25"/>
      <c r="F298" s="37"/>
      <c r="G298" s="25"/>
      <c r="H298" s="117">
        <v>-1605.74</v>
      </c>
      <c r="I298" s="163" t="s">
        <v>207</v>
      </c>
      <c r="J298" s="25"/>
      <c r="K298" s="25"/>
      <c r="L298" s="25"/>
      <c r="M298" s="32"/>
    </row>
    <row r="299" spans="1:13" ht="15" x14ac:dyDescent="0.2">
      <c r="A299" s="25" t="s">
        <v>208</v>
      </c>
      <c r="B299" s="25"/>
      <c r="C299" s="159" t="s">
        <v>167</v>
      </c>
      <c r="D299" s="87">
        <f>-34381.34+33577.2</f>
        <v>-804.13999999999942</v>
      </c>
      <c r="E299" s="57">
        <f>-815144.78+795650.7</f>
        <v>-19494.080000000075</v>
      </c>
      <c r="F299" s="37"/>
      <c r="G299" s="25"/>
      <c r="H299" s="117">
        <v>25715.41</v>
      </c>
      <c r="I299" s="163" t="s">
        <v>209</v>
      </c>
      <c r="J299" s="25"/>
      <c r="K299" s="25"/>
      <c r="L299" s="25"/>
      <c r="M299" s="32"/>
    </row>
    <row r="300" spans="1:13" ht="15" x14ac:dyDescent="0.2">
      <c r="A300" s="25" t="s">
        <v>210</v>
      </c>
      <c r="B300" s="25"/>
      <c r="C300" s="83" t="s">
        <v>211</v>
      </c>
      <c r="D300" s="87">
        <v>0</v>
      </c>
      <c r="E300" s="57">
        <f>-41244+73357.14</f>
        <v>32113.14</v>
      </c>
      <c r="F300" s="59"/>
      <c r="G300" s="25"/>
      <c r="H300" s="117">
        <v>0</v>
      </c>
      <c r="I300" s="163"/>
      <c r="J300" s="25"/>
      <c r="K300" s="25"/>
      <c r="L300" s="25"/>
      <c r="M300" s="25"/>
    </row>
    <row r="301" spans="1:13" ht="15" x14ac:dyDescent="0.2">
      <c r="A301" s="25" t="s">
        <v>212</v>
      </c>
      <c r="B301" s="25"/>
      <c r="C301" s="122" t="s">
        <v>169</v>
      </c>
      <c r="D301" s="87">
        <v>-106.19499999999999</v>
      </c>
      <c r="E301" s="57">
        <v>-2466.2399999999998</v>
      </c>
      <c r="F301" s="37"/>
      <c r="G301" s="45"/>
      <c r="H301" s="117">
        <v>0</v>
      </c>
      <c r="I301" s="163"/>
      <c r="J301" s="25"/>
      <c r="K301" s="25"/>
      <c r="L301" s="25"/>
      <c r="M301" s="25"/>
    </row>
    <row r="302" spans="1:13" ht="15" x14ac:dyDescent="0.2">
      <c r="A302" s="25"/>
      <c r="B302" s="24"/>
      <c r="C302" s="119" t="s">
        <v>170</v>
      </c>
      <c r="D302" s="87">
        <v>34605.67</v>
      </c>
      <c r="E302" s="32">
        <f>ROUND(D302*F293,2)</f>
        <v>833926.74</v>
      </c>
      <c r="F302" s="89">
        <f>IF(E302=0,0,E302/D302)</f>
        <v>24.097979897513905</v>
      </c>
      <c r="G302" s="45"/>
      <c r="H302" s="117">
        <v>0</v>
      </c>
      <c r="I302" s="163"/>
      <c r="J302" s="25"/>
      <c r="K302" s="25"/>
      <c r="L302" s="25"/>
      <c r="M302" s="25"/>
    </row>
    <row r="303" spans="1:13" ht="15" x14ac:dyDescent="0.2">
      <c r="A303" s="25"/>
      <c r="B303" s="25"/>
      <c r="C303" s="164" t="s">
        <v>213</v>
      </c>
      <c r="D303" s="51">
        <f>SUM(D299:D302)</f>
        <v>33695.334999999999</v>
      </c>
      <c r="E303" s="52">
        <f>SUM(E299:E302)</f>
        <v>844079.55999999994</v>
      </c>
      <c r="F303" s="37"/>
      <c r="G303" s="45"/>
      <c r="H303" s="117">
        <v>0</v>
      </c>
      <c r="I303" s="163"/>
      <c r="J303" s="25"/>
      <c r="K303" s="25"/>
      <c r="L303" s="25"/>
      <c r="M303" s="25"/>
    </row>
    <row r="304" spans="1:13" ht="15" x14ac:dyDescent="0.2">
      <c r="A304" s="25"/>
      <c r="B304" s="25"/>
      <c r="C304" s="164"/>
      <c r="D304" s="48"/>
      <c r="E304" s="50"/>
      <c r="F304" s="37"/>
      <c r="G304" s="45"/>
      <c r="H304" s="117">
        <v>0</v>
      </c>
      <c r="I304" s="163"/>
      <c r="J304" s="25"/>
      <c r="K304" s="25"/>
      <c r="L304" s="25"/>
      <c r="M304" s="25"/>
    </row>
    <row r="305" spans="1:13" ht="15" x14ac:dyDescent="0.2">
      <c r="A305" s="25"/>
      <c r="B305" s="25"/>
      <c r="C305" s="25"/>
      <c r="D305" s="47"/>
      <c r="E305" s="38"/>
      <c r="F305" s="37"/>
      <c r="G305" s="45"/>
      <c r="H305" s="123">
        <v>0</v>
      </c>
      <c r="I305" s="163"/>
      <c r="J305" s="25"/>
      <c r="K305" s="25"/>
      <c r="L305" s="25"/>
      <c r="M305" s="25"/>
    </row>
    <row r="306" spans="1:13" ht="15.75" thickBot="1" x14ac:dyDescent="0.25">
      <c r="A306" s="25" t="s">
        <v>214</v>
      </c>
      <c r="B306" s="25"/>
      <c r="C306" s="159" t="s">
        <v>167</v>
      </c>
      <c r="D306" s="165">
        <f>-1006.97+1033.1</f>
        <v>26.129999999999882</v>
      </c>
      <c r="E306" s="57">
        <f>-23874.18+24480.5</f>
        <v>606.31999999999971</v>
      </c>
      <c r="F306" s="37"/>
      <c r="G306" s="45"/>
      <c r="H306" s="129">
        <f>SUM(H297:H305)</f>
        <v>46716.83</v>
      </c>
      <c r="I306" s="25"/>
      <c r="J306" s="25"/>
      <c r="K306" s="25"/>
      <c r="L306" s="25"/>
      <c r="M306" s="25"/>
    </row>
    <row r="307" spans="1:13" ht="15.75" thickTop="1" x14ac:dyDescent="0.2">
      <c r="A307" s="25" t="s">
        <v>215</v>
      </c>
      <c r="B307" s="25"/>
      <c r="C307" s="83" t="s">
        <v>211</v>
      </c>
      <c r="D307" s="87">
        <v>0</v>
      </c>
      <c r="E307" s="57">
        <f>-18756+33359.69</f>
        <v>14603.690000000002</v>
      </c>
      <c r="F307" s="59"/>
      <c r="G307" s="45"/>
      <c r="H307" s="32"/>
      <c r="I307" s="25"/>
      <c r="J307" s="25"/>
      <c r="K307" s="25"/>
      <c r="L307" s="25"/>
      <c r="M307" s="25"/>
    </row>
    <row r="308" spans="1:13" ht="15" x14ac:dyDescent="0.2">
      <c r="A308" s="25" t="s">
        <v>216</v>
      </c>
      <c r="B308" s="25"/>
      <c r="C308" s="122" t="s">
        <v>169</v>
      </c>
      <c r="D308" s="87">
        <v>-76.004999999999995</v>
      </c>
      <c r="E308" s="57">
        <v>-1765.11</v>
      </c>
      <c r="F308" s="37"/>
      <c r="G308" s="45"/>
      <c r="H308" s="32"/>
      <c r="I308" s="25"/>
      <c r="J308" s="25"/>
      <c r="K308" s="25"/>
      <c r="L308" s="25"/>
      <c r="M308" s="25"/>
    </row>
    <row r="309" spans="1:13" ht="15" x14ac:dyDescent="0.2">
      <c r="A309" s="25"/>
      <c r="B309" s="24"/>
      <c r="C309" s="119" t="s">
        <v>170</v>
      </c>
      <c r="D309" s="87">
        <v>0</v>
      </c>
      <c r="E309" s="32">
        <f>ROUND(+D309*F293,2)</f>
        <v>0</v>
      </c>
      <c r="F309" s="89">
        <f>IF(E309=0,0,E309/D309)</f>
        <v>0</v>
      </c>
      <c r="G309" s="45"/>
      <c r="H309" s="32"/>
      <c r="I309" s="25"/>
      <c r="J309" s="25"/>
      <c r="K309" s="25"/>
      <c r="L309" s="25"/>
      <c r="M309" s="25"/>
    </row>
    <row r="310" spans="1:13" ht="15" x14ac:dyDescent="0.2">
      <c r="A310" s="25"/>
      <c r="B310" s="25"/>
      <c r="C310" s="164" t="s">
        <v>217</v>
      </c>
      <c r="D310" s="51">
        <f>SUM(D306:D309)</f>
        <v>-49.875000000000114</v>
      </c>
      <c r="E310" s="52">
        <f>SUM(E306:E309)</f>
        <v>13444.900000000001</v>
      </c>
      <c r="F310" s="37"/>
      <c r="G310" s="45"/>
      <c r="H310" s="32"/>
      <c r="I310" s="25"/>
      <c r="J310" s="25"/>
      <c r="K310" s="25"/>
      <c r="L310" s="25"/>
      <c r="M310" s="25"/>
    </row>
    <row r="311" spans="1:13" ht="15" x14ac:dyDescent="0.2">
      <c r="A311" s="25"/>
      <c r="B311" s="25"/>
      <c r="C311" s="164"/>
      <c r="D311" s="48"/>
      <c r="E311" s="50"/>
      <c r="F311" s="37"/>
      <c r="G311" s="45"/>
      <c r="H311" s="32"/>
      <c r="I311" s="25"/>
      <c r="J311" s="25"/>
      <c r="K311" s="25"/>
      <c r="L311" s="25"/>
      <c r="M311" s="25"/>
    </row>
    <row r="312" spans="1:13" ht="15" x14ac:dyDescent="0.2">
      <c r="A312" s="24"/>
      <c r="B312" s="24"/>
      <c r="C312" s="24"/>
      <c r="D312" s="24"/>
      <c r="E312" s="24"/>
      <c r="F312" s="24"/>
      <c r="G312" s="25"/>
      <c r="H312" s="25"/>
      <c r="I312" s="25"/>
      <c r="J312" s="25"/>
      <c r="K312" s="25"/>
      <c r="L312" s="25"/>
      <c r="M312" s="25"/>
    </row>
    <row r="313" spans="1:13" ht="15" x14ac:dyDescent="0.2">
      <c r="A313" s="25"/>
      <c r="B313" s="25"/>
      <c r="C313" s="159" t="s">
        <v>167</v>
      </c>
      <c r="D313" s="166">
        <f t="shared" ref="D313:E316" si="2">+D299+D306</f>
        <v>-778.00999999999954</v>
      </c>
      <c r="E313" s="32">
        <f t="shared" si="2"/>
        <v>-18887.760000000075</v>
      </c>
      <c r="F313" s="37"/>
      <c r="G313" s="25"/>
      <c r="H313" s="32"/>
      <c r="I313" s="25"/>
      <c r="J313" s="25"/>
      <c r="K313" s="25"/>
      <c r="L313" s="25"/>
      <c r="M313" s="25"/>
    </row>
    <row r="314" spans="1:13" ht="15" x14ac:dyDescent="0.2">
      <c r="A314" s="25"/>
      <c r="B314" s="25"/>
      <c r="C314" s="83" t="s">
        <v>211</v>
      </c>
      <c r="D314" s="166">
        <f t="shared" si="2"/>
        <v>0</v>
      </c>
      <c r="E314" s="32">
        <f t="shared" si="2"/>
        <v>46716.83</v>
      </c>
      <c r="F314" s="24"/>
      <c r="G314" s="25"/>
      <c r="H314" s="25"/>
      <c r="I314" s="25"/>
      <c r="J314" s="25"/>
      <c r="K314" s="25"/>
      <c r="L314" s="32"/>
      <c r="M314" s="32"/>
    </row>
    <row r="315" spans="1:13" ht="15" x14ac:dyDescent="0.2">
      <c r="A315" s="25"/>
      <c r="B315" s="25"/>
      <c r="C315" s="122" t="s">
        <v>169</v>
      </c>
      <c r="D315" s="166">
        <f t="shared" si="2"/>
        <v>-182.2</v>
      </c>
      <c r="E315" s="32">
        <f t="shared" si="2"/>
        <v>-4231.3499999999995</v>
      </c>
      <c r="F315" s="37"/>
      <c r="G315" s="25"/>
      <c r="H315" s="25"/>
      <c r="I315" s="25"/>
      <c r="J315" s="25"/>
      <c r="K315" s="25"/>
      <c r="L315" s="32"/>
      <c r="M315" s="32"/>
    </row>
    <row r="316" spans="1:13" ht="15" x14ac:dyDescent="0.2">
      <c r="A316" s="25"/>
      <c r="B316" s="25"/>
      <c r="C316" s="119" t="s">
        <v>176</v>
      </c>
      <c r="D316" s="166">
        <f t="shared" si="2"/>
        <v>34605.67</v>
      </c>
      <c r="E316" s="32">
        <f t="shared" si="2"/>
        <v>833926.74</v>
      </c>
      <c r="F316" s="89">
        <f>IF(E316=0,0,E316/D316)</f>
        <v>24.097979897513905</v>
      </c>
      <c r="G316" s="25"/>
      <c r="H316" s="32"/>
      <c r="I316" s="25"/>
      <c r="J316" s="25"/>
      <c r="K316" s="25"/>
      <c r="L316" s="32"/>
      <c r="M316" s="32"/>
    </row>
    <row r="317" spans="1:13" ht="15" x14ac:dyDescent="0.2">
      <c r="A317" s="25"/>
      <c r="B317" s="25"/>
      <c r="C317" s="33" t="s">
        <v>218</v>
      </c>
      <c r="D317" s="51">
        <f>SUM(D313:D316)</f>
        <v>33645.46</v>
      </c>
      <c r="E317" s="52">
        <f>SUM(E313:E316)</f>
        <v>857524.46</v>
      </c>
      <c r="F317" s="37">
        <f>ROUND(E317/D317,5)</f>
        <v>25.487079999999999</v>
      </c>
      <c r="G317" s="25"/>
      <c r="H317" s="25"/>
      <c r="I317" s="25"/>
      <c r="J317" s="25"/>
      <c r="K317" s="25"/>
      <c r="L317" s="32"/>
      <c r="M317" s="32"/>
    </row>
    <row r="318" spans="1:13" ht="15" x14ac:dyDescent="0.2">
      <c r="A318" s="25"/>
      <c r="B318" s="25"/>
      <c r="C318" s="33"/>
      <c r="D318" s="48"/>
      <c r="E318" s="50"/>
      <c r="F318" s="37"/>
      <c r="G318" s="25"/>
      <c r="H318" s="25"/>
      <c r="I318" s="25"/>
      <c r="J318" s="25"/>
      <c r="K318" s="25"/>
      <c r="L318" s="32"/>
      <c r="M318" s="32"/>
    </row>
    <row r="319" spans="1:13" ht="15" x14ac:dyDescent="0.2">
      <c r="A319" s="25"/>
      <c r="B319" s="25"/>
      <c r="C319" s="25"/>
      <c r="D319" s="36"/>
      <c r="E319" s="25"/>
      <c r="F319" s="37"/>
      <c r="G319" s="25"/>
      <c r="H319" s="25"/>
      <c r="I319" s="25"/>
      <c r="J319" s="25"/>
      <c r="K319" s="25"/>
      <c r="L319" s="32"/>
      <c r="M319" s="32"/>
    </row>
    <row r="320" spans="1:13" ht="15.75" thickBot="1" x14ac:dyDescent="0.25">
      <c r="A320" s="25"/>
      <c r="B320" s="25"/>
      <c r="C320" s="33" t="s">
        <v>178</v>
      </c>
      <c r="D320" s="133">
        <f>D293-D317</f>
        <v>64352.699999999975</v>
      </c>
      <c r="E320" s="134">
        <f>E293-E317+E295</f>
        <v>1550749.7199999997</v>
      </c>
      <c r="F320" s="37">
        <f>ROUND(E320/D320,5)</f>
        <v>24.097660000000001</v>
      </c>
      <c r="G320" s="25"/>
      <c r="H320" s="32"/>
      <c r="I320" s="25"/>
      <c r="J320" s="25"/>
      <c r="K320" s="25"/>
      <c r="L320" s="25"/>
      <c r="M320" s="25"/>
    </row>
    <row r="321" spans="1:13" ht="15.75" thickTop="1" x14ac:dyDescent="0.2">
      <c r="A321" s="25"/>
      <c r="B321" s="25"/>
      <c r="C321" s="95"/>
      <c r="D321" s="90"/>
      <c r="E321" s="151"/>
      <c r="F321" s="90"/>
      <c r="G321" s="25"/>
      <c r="H321" s="25"/>
      <c r="I321" s="25"/>
      <c r="J321" s="25"/>
      <c r="K321" s="25"/>
      <c r="L321" s="25"/>
      <c r="M321" s="25"/>
    </row>
    <row r="322" spans="1:13" ht="15" x14ac:dyDescent="0.2">
      <c r="A322" s="25"/>
      <c r="B322" s="25"/>
      <c r="C322" s="90" t="s">
        <v>179</v>
      </c>
      <c r="D322" s="90"/>
      <c r="E322" s="90"/>
      <c r="F322" s="90"/>
      <c r="G322" s="25"/>
      <c r="H322" s="25"/>
      <c r="I322" s="25"/>
      <c r="J322" s="25"/>
      <c r="K322" s="25"/>
      <c r="L322" s="25"/>
      <c r="M322" s="25"/>
    </row>
    <row r="323" spans="1:13" ht="15" x14ac:dyDescent="0.2">
      <c r="A323" s="25"/>
      <c r="B323" s="25"/>
      <c r="C323" s="90"/>
      <c r="D323" s="90"/>
      <c r="E323" s="90"/>
      <c r="F323" s="90"/>
      <c r="G323" s="25"/>
      <c r="H323" s="25"/>
      <c r="I323" s="25"/>
      <c r="J323" s="25"/>
      <c r="K323" s="25"/>
      <c r="L323" s="25"/>
      <c r="M323" s="25"/>
    </row>
    <row r="324" spans="1:13" ht="15" x14ac:dyDescent="0.2">
      <c r="A324" s="25"/>
      <c r="B324" s="25"/>
      <c r="C324" s="128"/>
      <c r="D324" s="33"/>
      <c r="E324" s="33"/>
      <c r="F324" s="33"/>
      <c r="G324" s="25"/>
      <c r="H324" s="25"/>
      <c r="I324" s="25"/>
      <c r="J324" s="25"/>
      <c r="K324" s="25"/>
      <c r="L324" s="25"/>
      <c r="M324" s="25"/>
    </row>
    <row r="325" spans="1:13" ht="15" x14ac:dyDescent="0.2">
      <c r="A325" s="25"/>
      <c r="B325" s="25"/>
      <c r="C325" s="128"/>
      <c r="D325" s="33"/>
      <c r="E325" s="33"/>
      <c r="F325" s="33"/>
      <c r="G325" s="25"/>
      <c r="H325" s="25"/>
      <c r="I325" s="25"/>
      <c r="J325" s="25"/>
      <c r="K325" s="25"/>
      <c r="L325" s="25"/>
      <c r="M325" s="25"/>
    </row>
    <row r="326" spans="1:13" ht="15" x14ac:dyDescent="0.2">
      <c r="A326" s="25"/>
      <c r="B326" s="25"/>
      <c r="C326" s="128"/>
      <c r="D326" s="33"/>
      <c r="E326" s="33"/>
      <c r="F326" s="33"/>
      <c r="G326" s="25"/>
      <c r="H326" s="25"/>
      <c r="I326" s="25"/>
      <c r="J326" s="25"/>
      <c r="K326" s="25"/>
      <c r="L326" s="25"/>
      <c r="M326" s="25"/>
    </row>
    <row r="327" spans="1:13" ht="15" x14ac:dyDescent="0.2">
      <c r="A327" s="25"/>
      <c r="B327" s="25"/>
      <c r="C327" s="128"/>
      <c r="D327" s="33"/>
      <c r="E327" s="33"/>
      <c r="F327" s="33"/>
      <c r="G327" s="25"/>
      <c r="H327" s="25"/>
      <c r="I327" s="25"/>
      <c r="J327" s="25"/>
      <c r="K327" s="25"/>
      <c r="L327" s="25"/>
      <c r="M327" s="25"/>
    </row>
    <row r="328" spans="1:13" ht="15" x14ac:dyDescent="0.2">
      <c r="A328" s="25"/>
      <c r="B328" s="25"/>
      <c r="C328" s="128"/>
      <c r="D328" s="33"/>
      <c r="E328" s="33"/>
      <c r="F328" s="33"/>
      <c r="G328" s="25"/>
      <c r="H328" s="25"/>
      <c r="I328" s="25"/>
      <c r="J328" s="25"/>
      <c r="K328" s="25"/>
      <c r="L328" s="25"/>
      <c r="M328" s="25"/>
    </row>
    <row r="329" spans="1:13" ht="15" x14ac:dyDescent="0.2">
      <c r="A329" s="25"/>
      <c r="B329" s="25"/>
      <c r="C329" s="128"/>
      <c r="D329" s="33"/>
      <c r="E329" s="33"/>
      <c r="F329" s="33"/>
      <c r="G329" s="25"/>
      <c r="H329" s="25"/>
      <c r="I329" s="25"/>
      <c r="J329" s="25"/>
      <c r="K329" s="25"/>
      <c r="L329" s="25"/>
      <c r="M329" s="25"/>
    </row>
    <row r="330" spans="1:13" ht="15" x14ac:dyDescent="0.2">
      <c r="A330" s="25"/>
      <c r="B330" s="25"/>
      <c r="C330" s="128"/>
      <c r="D330" s="33"/>
      <c r="E330" s="33"/>
      <c r="F330" s="33"/>
      <c r="G330" s="25"/>
      <c r="H330" s="25"/>
      <c r="I330" s="25"/>
      <c r="J330" s="25"/>
      <c r="K330" s="25"/>
      <c r="L330" s="25"/>
      <c r="M330" s="25"/>
    </row>
    <row r="331" spans="1:13" ht="15" x14ac:dyDescent="0.2">
      <c r="A331" s="25"/>
      <c r="B331" s="25"/>
      <c r="C331" s="128"/>
      <c r="D331" s="33"/>
      <c r="E331" s="33"/>
      <c r="F331" s="33"/>
      <c r="G331" s="25"/>
      <c r="H331" s="25"/>
      <c r="I331" s="25"/>
      <c r="J331" s="25"/>
      <c r="K331" s="25"/>
      <c r="L331" s="25"/>
      <c r="M331" s="25"/>
    </row>
    <row r="332" spans="1:13" ht="15" x14ac:dyDescent="0.2">
      <c r="A332" s="25"/>
      <c r="B332" s="25"/>
      <c r="C332" s="128"/>
      <c r="D332" s="33"/>
      <c r="E332" s="33"/>
      <c r="F332" s="33"/>
      <c r="G332" s="25"/>
      <c r="H332" s="25"/>
      <c r="I332" s="25"/>
      <c r="J332" s="25"/>
      <c r="K332" s="25"/>
      <c r="L332" s="25"/>
      <c r="M332" s="25"/>
    </row>
    <row r="333" spans="1:13" ht="15" x14ac:dyDescent="0.2">
      <c r="A333" s="25"/>
      <c r="B333" s="70"/>
      <c r="C333" s="25"/>
      <c r="D333" s="25"/>
      <c r="E333" s="25"/>
      <c r="F333" s="25"/>
      <c r="G333" s="25"/>
      <c r="H333" s="70"/>
      <c r="I333" s="25"/>
      <c r="J333" s="25"/>
      <c r="K333" s="25"/>
      <c r="L333" s="32"/>
      <c r="M333" s="32"/>
    </row>
    <row r="334" spans="1:13" ht="15" x14ac:dyDescent="0.2">
      <c r="A334" s="25"/>
      <c r="B334" s="24" t="s">
        <v>219</v>
      </c>
      <c r="C334" s="25"/>
      <c r="D334" s="25"/>
      <c r="E334" s="25"/>
      <c r="F334" s="25"/>
      <c r="G334" s="25"/>
      <c r="H334" s="24" t="s">
        <v>117</v>
      </c>
      <c r="I334" s="25"/>
      <c r="J334" s="25"/>
      <c r="K334" s="25"/>
      <c r="L334" s="32"/>
      <c r="M334" s="32"/>
    </row>
    <row r="335" spans="1:13" ht="15.75" x14ac:dyDescent="0.25">
      <c r="A335" s="25"/>
      <c r="B335" s="25"/>
      <c r="C335" s="241" t="s">
        <v>220</v>
      </c>
      <c r="D335" s="241"/>
      <c r="E335" s="241"/>
      <c r="F335" s="241"/>
      <c r="G335" s="25"/>
      <c r="H335" s="25"/>
      <c r="I335" s="25"/>
      <c r="J335" s="25"/>
      <c r="K335" s="25"/>
      <c r="L335" s="25"/>
      <c r="M335" s="25"/>
    </row>
    <row r="336" spans="1:13" ht="15" x14ac:dyDescent="0.2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</row>
    <row r="337" spans="1:15" ht="15" x14ac:dyDescent="0.2">
      <c r="A337" s="25"/>
      <c r="B337" s="25"/>
      <c r="C337" s="25" t="str">
        <f>+C116</f>
        <v>PRELIMINARY</v>
      </c>
      <c r="D337" s="83"/>
      <c r="E337" s="159" t="s">
        <v>138</v>
      </c>
      <c r="F337" s="85" t="str">
        <f>+C4</f>
        <v>AUGUST 2013</v>
      </c>
      <c r="G337" s="25"/>
      <c r="H337" s="25"/>
      <c r="I337" s="25"/>
      <c r="J337" s="25"/>
      <c r="K337" s="25"/>
      <c r="L337" s="25"/>
      <c r="M337" s="25"/>
    </row>
    <row r="338" spans="1:15" ht="15" x14ac:dyDescent="0.2">
      <c r="A338" s="25"/>
      <c r="B338" s="25"/>
      <c r="C338" s="25" t="s">
        <v>221</v>
      </c>
      <c r="D338" s="25"/>
      <c r="E338" s="25"/>
      <c r="F338" s="25"/>
      <c r="G338" s="25"/>
      <c r="H338" s="25"/>
      <c r="I338" s="25"/>
      <c r="J338" s="25"/>
      <c r="K338" s="25"/>
      <c r="L338" s="25"/>
      <c r="M338" s="25"/>
    </row>
    <row r="339" spans="1:15" ht="15" x14ac:dyDescent="0.2">
      <c r="A339" s="25"/>
      <c r="B339" s="25"/>
      <c r="C339" s="25"/>
      <c r="D339" s="25"/>
      <c r="E339" s="25"/>
      <c r="F339" s="25"/>
      <c r="G339" s="25"/>
      <c r="H339" s="25"/>
      <c r="I339" s="25"/>
      <c r="J339" s="38"/>
      <c r="K339" s="38"/>
      <c r="L339" s="38"/>
      <c r="M339" s="38"/>
    </row>
    <row r="340" spans="1:15" ht="15" x14ac:dyDescent="0.2">
      <c r="A340" s="25"/>
      <c r="B340" s="25"/>
      <c r="C340" s="25"/>
      <c r="D340" s="72" t="s">
        <v>140</v>
      </c>
      <c r="E340" s="72" t="s">
        <v>141</v>
      </c>
      <c r="F340" s="72" t="s">
        <v>142</v>
      </c>
      <c r="G340" s="25"/>
      <c r="H340" s="25"/>
      <c r="I340" s="25"/>
      <c r="J340" s="25"/>
      <c r="K340" s="25"/>
      <c r="L340" s="25"/>
      <c r="M340" s="25"/>
    </row>
    <row r="341" spans="1:15" ht="15" x14ac:dyDescent="0.2">
      <c r="A341" s="25"/>
      <c r="B341" s="25"/>
      <c r="C341" s="25"/>
      <c r="D341" s="38"/>
      <c r="E341" s="38"/>
      <c r="F341" s="38"/>
      <c r="G341" s="25"/>
      <c r="H341" s="25"/>
      <c r="I341" s="25"/>
      <c r="J341" s="25"/>
      <c r="K341" s="25"/>
      <c r="L341" s="25"/>
      <c r="M341" s="25"/>
    </row>
    <row r="342" spans="1:15" ht="15" x14ac:dyDescent="0.2">
      <c r="A342" s="25"/>
      <c r="B342" s="25"/>
      <c r="C342" s="33" t="s">
        <v>143</v>
      </c>
      <c r="D342" s="87">
        <v>229051.91599999991</v>
      </c>
      <c r="E342" s="88">
        <v>8284339.2799999975</v>
      </c>
      <c r="F342" s="89">
        <v>36.167949999999998</v>
      </c>
      <c r="G342" s="25"/>
      <c r="H342" s="25"/>
      <c r="I342" s="25"/>
      <c r="J342" s="25"/>
      <c r="K342" s="25"/>
      <c r="L342" s="25"/>
      <c r="M342" s="25"/>
    </row>
    <row r="343" spans="1:15" ht="15" x14ac:dyDescent="0.2">
      <c r="A343" s="25"/>
      <c r="B343" s="25"/>
      <c r="C343" s="90"/>
      <c r="D343" s="87"/>
      <c r="E343" s="57"/>
      <c r="F343" s="91"/>
      <c r="G343" s="25"/>
      <c r="H343" s="25"/>
      <c r="I343" s="25"/>
      <c r="J343" s="25"/>
      <c r="K343" s="25"/>
      <c r="L343" s="25"/>
      <c r="M343" s="25"/>
    </row>
    <row r="344" spans="1:15" ht="15.75" x14ac:dyDescent="0.25">
      <c r="A344" s="25"/>
      <c r="B344" s="25"/>
      <c r="C344" s="92" t="s">
        <v>144</v>
      </c>
      <c r="D344" s="87"/>
      <c r="E344" s="93"/>
      <c r="F344" s="91"/>
      <c r="G344" s="25"/>
      <c r="H344" s="25"/>
      <c r="I344" s="25"/>
      <c r="J344" s="25"/>
      <c r="K344" s="25"/>
      <c r="L344" s="25"/>
      <c r="M344" s="25"/>
    </row>
    <row r="345" spans="1:15" ht="15" x14ac:dyDescent="0.2">
      <c r="A345" s="25"/>
      <c r="B345" s="25"/>
      <c r="C345" s="90"/>
      <c r="D345" s="87"/>
      <c r="E345" s="93"/>
      <c r="F345" s="90"/>
      <c r="G345" s="25"/>
      <c r="H345" s="25"/>
      <c r="I345" s="25"/>
      <c r="J345" s="25"/>
      <c r="K345" s="25"/>
      <c r="L345" s="25"/>
      <c r="M345" s="25"/>
    </row>
    <row r="346" spans="1:15" ht="15" x14ac:dyDescent="0.2">
      <c r="A346" s="25"/>
      <c r="B346" s="25">
        <v>85001</v>
      </c>
      <c r="C346" s="95" t="s">
        <v>222</v>
      </c>
      <c r="D346" s="87">
        <v>26094.901999999998</v>
      </c>
      <c r="E346" s="57">
        <v>924803.31</v>
      </c>
      <c r="F346" s="89" t="s">
        <v>155</v>
      </c>
      <c r="G346" s="25"/>
      <c r="H346" s="25"/>
      <c r="I346" s="25"/>
      <c r="J346" s="25"/>
      <c r="K346" s="25"/>
      <c r="L346" s="25"/>
      <c r="M346" s="25"/>
    </row>
    <row r="347" spans="1:15" ht="15" x14ac:dyDescent="0.2">
      <c r="A347" s="25"/>
      <c r="B347" s="25">
        <v>85010</v>
      </c>
      <c r="C347" s="95" t="s">
        <v>223</v>
      </c>
      <c r="D347" s="87">
        <v>12564.796</v>
      </c>
      <c r="E347" s="57">
        <v>443034.71</v>
      </c>
      <c r="F347" s="89" t="s">
        <v>155</v>
      </c>
      <c r="G347" s="25"/>
      <c r="H347" s="25"/>
      <c r="I347" s="25"/>
      <c r="J347" s="25"/>
      <c r="K347" s="25"/>
      <c r="L347" s="25"/>
      <c r="M347" s="25"/>
    </row>
    <row r="348" spans="1:15" ht="15" x14ac:dyDescent="0.2">
      <c r="A348" s="25"/>
      <c r="B348" s="25"/>
      <c r="C348" s="95"/>
      <c r="D348" s="87"/>
      <c r="E348" s="57"/>
      <c r="F348" s="89"/>
      <c r="G348" s="25"/>
      <c r="H348" s="25"/>
      <c r="I348" s="25"/>
      <c r="J348" s="25"/>
      <c r="K348" s="25"/>
      <c r="L348" s="25"/>
      <c r="M348" s="25"/>
    </row>
    <row r="349" spans="1:15" ht="15" x14ac:dyDescent="0.2">
      <c r="A349" s="25"/>
      <c r="B349" s="25">
        <v>85003</v>
      </c>
      <c r="C349" s="95" t="s">
        <v>224</v>
      </c>
      <c r="D349" s="87">
        <v>17474.376</v>
      </c>
      <c r="E349" s="57">
        <f>696086.55-8737.19</f>
        <v>687349.3600000001</v>
      </c>
      <c r="F349" s="89" t="s">
        <v>155</v>
      </c>
      <c r="G349" s="25"/>
      <c r="H349" s="25"/>
      <c r="I349" s="25"/>
      <c r="J349" s="25"/>
      <c r="K349" s="25"/>
      <c r="L349" s="25"/>
      <c r="M349" s="25"/>
    </row>
    <row r="350" spans="1:15" ht="15" x14ac:dyDescent="0.2">
      <c r="A350" s="25"/>
      <c r="B350" s="25">
        <v>85002</v>
      </c>
      <c r="C350" s="95" t="s">
        <v>225</v>
      </c>
      <c r="D350" s="87"/>
      <c r="E350" s="57">
        <v>51724.15</v>
      </c>
      <c r="F350" s="89" t="s">
        <v>156</v>
      </c>
      <c r="G350" s="25"/>
      <c r="H350" s="25"/>
      <c r="I350" s="25"/>
      <c r="J350" s="25"/>
      <c r="K350" s="25"/>
      <c r="L350" s="25"/>
      <c r="M350" s="25"/>
    </row>
    <row r="351" spans="1:15" ht="15" x14ac:dyDescent="0.2">
      <c r="A351" s="25"/>
      <c r="B351" s="25"/>
      <c r="C351" s="95"/>
      <c r="D351" s="87"/>
      <c r="E351" s="57"/>
      <c r="F351" s="89"/>
      <c r="G351" s="25"/>
      <c r="H351" s="25"/>
      <c r="I351" s="25"/>
      <c r="J351" s="25"/>
      <c r="K351" s="25"/>
      <c r="L351" s="25"/>
      <c r="M351" s="25"/>
    </row>
    <row r="352" spans="1:15" ht="15" x14ac:dyDescent="0.2">
      <c r="A352" s="25"/>
      <c r="B352" s="25"/>
      <c r="C352" s="95"/>
      <c r="D352" s="87"/>
      <c r="E352" s="57"/>
      <c r="F352" s="89"/>
      <c r="G352" s="25"/>
      <c r="H352" s="25"/>
      <c r="I352" s="25"/>
      <c r="J352" s="25"/>
      <c r="K352" s="25"/>
      <c r="L352" s="25"/>
      <c r="M352" s="25"/>
      <c r="N352" s="25"/>
      <c r="O352" s="25"/>
    </row>
    <row r="353" spans="1:15" ht="15" x14ac:dyDescent="0.2">
      <c r="A353" s="25"/>
      <c r="B353" s="25">
        <v>85001</v>
      </c>
      <c r="C353" s="95" t="s">
        <v>226</v>
      </c>
      <c r="D353" s="87"/>
      <c r="E353" s="57">
        <v>-4006.52</v>
      </c>
      <c r="F353" s="89" t="s">
        <v>155</v>
      </c>
      <c r="G353" s="25"/>
      <c r="H353" s="25"/>
      <c r="I353" s="25"/>
      <c r="J353" s="25"/>
      <c r="K353" s="25"/>
      <c r="L353" s="25"/>
      <c r="M353" s="25"/>
      <c r="N353" s="25"/>
      <c r="O353" s="25"/>
    </row>
    <row r="354" spans="1:15" ht="15" x14ac:dyDescent="0.2">
      <c r="A354" s="25"/>
      <c r="B354" s="25">
        <v>85003</v>
      </c>
      <c r="C354" s="95" t="s">
        <v>227</v>
      </c>
      <c r="D354" s="87"/>
      <c r="E354" s="57">
        <v>-11826.75</v>
      </c>
      <c r="F354" s="89" t="s">
        <v>155</v>
      </c>
      <c r="G354" s="25"/>
      <c r="H354" s="25"/>
      <c r="I354" s="25"/>
      <c r="J354" s="25"/>
      <c r="K354" s="25"/>
      <c r="L354" s="25"/>
      <c r="M354" s="25"/>
      <c r="N354" s="25"/>
      <c r="O354" s="44"/>
    </row>
    <row r="355" spans="1:15" ht="15" x14ac:dyDescent="0.2">
      <c r="A355" s="25"/>
      <c r="B355" s="25">
        <v>85001</v>
      </c>
      <c r="C355" s="95" t="s">
        <v>228</v>
      </c>
      <c r="D355" s="145"/>
      <c r="E355" s="57">
        <v>20876.240000000002</v>
      </c>
      <c r="F355" s="89"/>
      <c r="G355" s="25"/>
      <c r="H355" s="25"/>
      <c r="I355" s="25"/>
      <c r="J355" s="25"/>
      <c r="K355" s="25"/>
      <c r="L355" s="25"/>
      <c r="M355" s="25"/>
      <c r="N355" s="25"/>
      <c r="O355" s="44"/>
    </row>
    <row r="356" spans="1:15" ht="15" x14ac:dyDescent="0.2">
      <c r="A356" s="25"/>
      <c r="B356" s="25">
        <v>85001</v>
      </c>
      <c r="C356" s="95" t="s">
        <v>229</v>
      </c>
      <c r="D356" s="24"/>
      <c r="E356" s="57">
        <v>-221285.42</v>
      </c>
      <c r="F356" s="89"/>
      <c r="G356" s="25"/>
      <c r="H356" s="25"/>
      <c r="I356" s="25"/>
      <c r="J356" s="25"/>
      <c r="K356" s="25"/>
      <c r="L356" s="25"/>
      <c r="M356" s="25"/>
      <c r="N356" s="25"/>
      <c r="O356" s="44"/>
    </row>
    <row r="357" spans="1:15" ht="15" x14ac:dyDescent="0.2">
      <c r="A357" s="25"/>
      <c r="B357" s="25"/>
      <c r="C357" s="95"/>
      <c r="D357" s="99"/>
      <c r="E357" s="64"/>
      <c r="F357" s="89"/>
      <c r="G357" s="25"/>
      <c r="H357" s="25"/>
      <c r="I357" s="25"/>
      <c r="J357" s="25"/>
      <c r="K357" s="25"/>
      <c r="L357" s="25"/>
      <c r="M357" s="25"/>
    </row>
    <row r="358" spans="1:15" ht="15" x14ac:dyDescent="0.2">
      <c r="A358" s="25"/>
      <c r="B358" s="25"/>
      <c r="C358" s="98" t="s">
        <v>153</v>
      </c>
      <c r="D358" s="36">
        <f>SUM(D346:D357)</f>
        <v>56134.073999999993</v>
      </c>
      <c r="E358" s="167">
        <f>SUM(E346:E357)</f>
        <v>1890669.0800000005</v>
      </c>
      <c r="F358" s="89"/>
      <c r="G358" s="25"/>
      <c r="H358" s="25"/>
      <c r="I358" s="25"/>
      <c r="J358" s="25"/>
      <c r="K358" s="25"/>
      <c r="L358" s="25"/>
      <c r="M358" s="25"/>
    </row>
    <row r="359" spans="1:15" ht="15" x14ac:dyDescent="0.2">
      <c r="A359" s="25"/>
      <c r="B359" s="25"/>
      <c r="C359" s="98"/>
      <c r="D359" s="36"/>
      <c r="E359" s="167"/>
      <c r="F359" s="89"/>
      <c r="G359" s="25"/>
      <c r="H359" s="25"/>
      <c r="I359" s="25"/>
      <c r="J359" s="25"/>
      <c r="K359" s="25"/>
      <c r="L359" s="25"/>
      <c r="M359" s="25"/>
    </row>
    <row r="360" spans="1:15" ht="15.75" x14ac:dyDescent="0.25">
      <c r="A360" s="25"/>
      <c r="B360" s="25"/>
      <c r="C360" s="102" t="s">
        <v>154</v>
      </c>
      <c r="D360" s="75"/>
      <c r="E360" s="25"/>
      <c r="F360" s="25"/>
      <c r="G360" s="25"/>
      <c r="H360" s="25"/>
      <c r="I360" s="25"/>
      <c r="J360" s="25"/>
      <c r="K360" s="25"/>
      <c r="L360" s="25"/>
      <c r="M360" s="25"/>
    </row>
    <row r="361" spans="1:15" ht="15" x14ac:dyDescent="0.2">
      <c r="A361" s="25"/>
      <c r="B361" s="25">
        <v>85001</v>
      </c>
      <c r="C361" s="95" t="s">
        <v>222</v>
      </c>
      <c r="D361" s="87">
        <f>-16272.32+19011.78</f>
        <v>2739.4599999999991</v>
      </c>
      <c r="E361" s="57">
        <f>-570832.99+642516.16</f>
        <v>71683.170000000042</v>
      </c>
      <c r="F361" s="89" t="s">
        <v>155</v>
      </c>
      <c r="G361" s="25"/>
      <c r="H361" s="25"/>
      <c r="I361" s="25"/>
      <c r="J361" s="25"/>
      <c r="K361" s="25"/>
      <c r="L361" s="25"/>
      <c r="M361" s="25"/>
    </row>
    <row r="362" spans="1:15" ht="15" x14ac:dyDescent="0.2">
      <c r="A362" s="25"/>
      <c r="B362" s="25">
        <v>85010</v>
      </c>
      <c r="C362" s="95" t="s">
        <v>223</v>
      </c>
      <c r="D362" s="87">
        <f>-14466.4+9156.18</f>
        <v>-5310.2199999999993</v>
      </c>
      <c r="E362" s="57">
        <f>-510085.26+322847.61</f>
        <v>-187237.65000000002</v>
      </c>
      <c r="F362" s="89" t="s">
        <v>155</v>
      </c>
      <c r="G362" s="25"/>
      <c r="H362" s="25"/>
      <c r="I362" s="25"/>
      <c r="J362" s="25"/>
      <c r="K362" s="25"/>
      <c r="L362" s="25"/>
      <c r="M362" s="25"/>
    </row>
    <row r="363" spans="1:15" ht="15" x14ac:dyDescent="0.2">
      <c r="A363" s="25"/>
      <c r="B363" s="25"/>
      <c r="C363" s="95"/>
      <c r="D363" s="87"/>
      <c r="E363" s="57"/>
      <c r="F363" s="89"/>
      <c r="G363" s="25"/>
      <c r="H363" s="25"/>
      <c r="I363" s="25"/>
      <c r="J363" s="25"/>
      <c r="K363" s="25"/>
      <c r="L363" s="25"/>
      <c r="M363" s="25"/>
    </row>
    <row r="364" spans="1:15" ht="15" x14ac:dyDescent="0.2">
      <c r="A364" s="25"/>
      <c r="B364" s="25">
        <v>85003</v>
      </c>
      <c r="C364" s="95" t="s">
        <v>224</v>
      </c>
      <c r="D364" s="87">
        <f>-18502.281+18467.41</f>
        <v>-34.870999999999185</v>
      </c>
      <c r="E364" s="57">
        <f>-727781.68+695522.47</f>
        <v>-32259.210000000079</v>
      </c>
      <c r="F364" s="89" t="s">
        <v>155</v>
      </c>
      <c r="G364" s="25"/>
      <c r="H364" s="25"/>
      <c r="I364" s="25"/>
      <c r="J364" s="25"/>
      <c r="K364" s="25"/>
      <c r="L364" s="25"/>
      <c r="M364" s="25"/>
    </row>
    <row r="365" spans="1:15" ht="15" x14ac:dyDescent="0.2">
      <c r="A365" s="25"/>
      <c r="B365" s="25">
        <v>85002</v>
      </c>
      <c r="C365" s="95" t="s">
        <v>225</v>
      </c>
      <c r="D365" s="87"/>
      <c r="E365" s="57">
        <f>-54211.68+51824.53</f>
        <v>-2387.1500000000015</v>
      </c>
      <c r="F365" s="89" t="s">
        <v>156</v>
      </c>
      <c r="G365" s="25"/>
      <c r="H365" s="25"/>
      <c r="I365" s="25"/>
      <c r="J365" s="25"/>
      <c r="K365" s="25"/>
      <c r="L365" s="25"/>
      <c r="M365" s="25"/>
    </row>
    <row r="366" spans="1:15" ht="15" x14ac:dyDescent="0.2">
      <c r="A366" s="25"/>
      <c r="B366" s="25">
        <v>85002</v>
      </c>
      <c r="C366" s="95" t="s">
        <v>230</v>
      </c>
      <c r="D366" s="87"/>
      <c r="E366" s="57">
        <v>2276.0500000000002</v>
      </c>
      <c r="F366" s="89" t="s">
        <v>156</v>
      </c>
      <c r="G366" s="25"/>
      <c r="H366" s="25"/>
      <c r="I366" s="25"/>
      <c r="J366" s="25"/>
      <c r="K366" s="25"/>
      <c r="L366" s="25"/>
      <c r="M366" s="25"/>
    </row>
    <row r="367" spans="1:15" ht="15" x14ac:dyDescent="0.2">
      <c r="A367" s="25"/>
      <c r="B367" s="25"/>
      <c r="C367" s="95"/>
      <c r="D367" s="87"/>
      <c r="E367" s="57"/>
      <c r="F367" s="89"/>
      <c r="G367" s="25"/>
      <c r="H367" s="25"/>
      <c r="I367" s="25"/>
      <c r="J367" s="25"/>
      <c r="K367" s="25"/>
      <c r="L367" s="25"/>
      <c r="M367" s="25"/>
    </row>
    <row r="368" spans="1:15" ht="15" x14ac:dyDescent="0.2">
      <c r="A368" s="25"/>
      <c r="B368" s="25">
        <v>85001</v>
      </c>
      <c r="C368" s="95" t="s">
        <v>226</v>
      </c>
      <c r="D368" s="87"/>
      <c r="E368" s="57">
        <f>1734.53-1734.53</f>
        <v>0</v>
      </c>
      <c r="F368" s="89" t="s">
        <v>155</v>
      </c>
      <c r="G368" s="25"/>
      <c r="H368" s="25"/>
      <c r="I368" s="25"/>
      <c r="J368" s="25"/>
      <c r="K368" s="25"/>
      <c r="L368" s="25"/>
      <c r="M368" s="25"/>
    </row>
    <row r="369" spans="1:13" ht="15" x14ac:dyDescent="0.2">
      <c r="A369" s="25"/>
      <c r="B369" s="25">
        <v>85003</v>
      </c>
      <c r="C369" s="95" t="s">
        <v>231</v>
      </c>
      <c r="D369" s="87"/>
      <c r="E369" s="57">
        <v>0</v>
      </c>
      <c r="F369" s="89" t="s">
        <v>155</v>
      </c>
      <c r="G369" s="25"/>
      <c r="H369" s="25"/>
      <c r="I369" s="25"/>
      <c r="J369" s="25"/>
      <c r="K369" s="25"/>
      <c r="L369" s="25"/>
      <c r="M369" s="25"/>
    </row>
    <row r="370" spans="1:13" ht="15" x14ac:dyDescent="0.2">
      <c r="A370" s="25"/>
      <c r="B370" s="25">
        <v>85001</v>
      </c>
      <c r="C370" s="25" t="s">
        <v>232</v>
      </c>
      <c r="D370" s="93"/>
      <c r="E370" s="57">
        <f>-16598.91+15210.7</f>
        <v>-1388.2099999999991</v>
      </c>
      <c r="F370" s="89"/>
      <c r="G370" s="25"/>
      <c r="H370" s="25"/>
      <c r="I370" s="25"/>
      <c r="J370" s="25"/>
      <c r="K370" s="25"/>
      <c r="L370" s="25"/>
      <c r="M370" s="25"/>
    </row>
    <row r="371" spans="1:13" ht="15" x14ac:dyDescent="0.2">
      <c r="A371" s="25"/>
      <c r="B371" s="25">
        <v>85001</v>
      </c>
      <c r="C371" s="95" t="s">
        <v>229</v>
      </c>
      <c r="D371" s="93"/>
      <c r="E371" s="155">
        <f>115169.45-38747.29</f>
        <v>76422.16</v>
      </c>
      <c r="F371" s="89"/>
      <c r="G371" s="25"/>
      <c r="H371" s="25"/>
      <c r="I371" s="25"/>
      <c r="J371" s="25"/>
      <c r="K371" s="25"/>
      <c r="L371" s="25"/>
      <c r="M371" s="25"/>
    </row>
    <row r="372" spans="1:13" ht="15" x14ac:dyDescent="0.2">
      <c r="A372" s="25"/>
      <c r="B372" s="25"/>
      <c r="C372" s="95"/>
      <c r="D372" s="145"/>
      <c r="E372" s="155"/>
      <c r="F372" s="89"/>
      <c r="G372" s="25"/>
      <c r="H372" s="25"/>
      <c r="I372" s="25"/>
      <c r="J372" s="25"/>
      <c r="K372" s="25"/>
      <c r="L372" s="25"/>
      <c r="M372" s="25"/>
    </row>
    <row r="373" spans="1:13" ht="15" x14ac:dyDescent="0.2">
      <c r="A373" s="25"/>
      <c r="B373" s="25"/>
      <c r="C373" s="90" t="s">
        <v>153</v>
      </c>
      <c r="D373" s="168">
        <f>SUM(D361:D372)</f>
        <v>-2605.6309999999994</v>
      </c>
      <c r="E373" s="169">
        <f>SUM(E361:E372)</f>
        <v>-72890.840000000055</v>
      </c>
      <c r="F373" s="89"/>
      <c r="G373" s="25"/>
      <c r="H373" s="25"/>
      <c r="I373" s="25"/>
      <c r="J373" s="25"/>
      <c r="K373" s="25"/>
      <c r="L373" s="25"/>
      <c r="M373" s="25"/>
    </row>
    <row r="374" spans="1:13" ht="15" x14ac:dyDescent="0.2">
      <c r="A374" s="25"/>
      <c r="B374" s="25"/>
      <c r="C374" s="90"/>
      <c r="D374" s="39"/>
      <c r="E374" s="40"/>
      <c r="F374" s="91"/>
      <c r="G374" s="25"/>
      <c r="H374" s="25"/>
      <c r="I374" s="25"/>
      <c r="J374" s="25"/>
      <c r="K374" s="25"/>
      <c r="L374" s="25"/>
      <c r="M374" s="25"/>
    </row>
    <row r="375" spans="1:13" ht="15" x14ac:dyDescent="0.2">
      <c r="A375" s="25"/>
      <c r="B375" s="25"/>
      <c r="C375" s="95" t="s">
        <v>157</v>
      </c>
      <c r="D375" s="109">
        <f>+D358+D373</f>
        <v>53528.442999999992</v>
      </c>
      <c r="E375" s="110">
        <f>+E358+E373</f>
        <v>1817778.2400000005</v>
      </c>
      <c r="F375" s="89">
        <f>ROUND(E375/D375,5)</f>
        <v>33.959110000000003</v>
      </c>
      <c r="G375" s="25"/>
      <c r="H375" s="56"/>
      <c r="I375" s="25"/>
      <c r="J375" s="25"/>
      <c r="K375" s="25"/>
      <c r="L375" s="25"/>
      <c r="M375" s="25"/>
    </row>
    <row r="376" spans="1:13" ht="15" x14ac:dyDescent="0.2">
      <c r="A376" s="25"/>
      <c r="B376" s="25"/>
      <c r="C376" s="90"/>
      <c r="D376" s="39"/>
      <c r="E376" s="40"/>
      <c r="F376" s="90"/>
      <c r="G376" s="25"/>
      <c r="H376" s="25"/>
      <c r="I376" s="25"/>
      <c r="J376" s="25"/>
      <c r="K376" s="25"/>
      <c r="L376" s="25"/>
      <c r="M376" s="25"/>
    </row>
    <row r="377" spans="1:13" ht="15" x14ac:dyDescent="0.2">
      <c r="A377" s="25"/>
      <c r="B377" s="25"/>
      <c r="C377" s="113" t="s">
        <v>158</v>
      </c>
      <c r="D377" s="109">
        <f>D342+D375</f>
        <v>282580.35899999988</v>
      </c>
      <c r="E377" s="110">
        <f>E342+E375</f>
        <v>10102117.519999998</v>
      </c>
      <c r="F377" s="114">
        <f>ROUND(E377/D377,5)</f>
        <v>35.749540000000003</v>
      </c>
      <c r="G377" s="25"/>
      <c r="H377" s="25"/>
      <c r="I377" s="25"/>
      <c r="J377" s="25"/>
      <c r="K377" s="25"/>
      <c r="L377" s="25"/>
      <c r="M377" s="25"/>
    </row>
    <row r="378" spans="1:13" ht="15" x14ac:dyDescent="0.2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</row>
    <row r="379" spans="1:13" ht="15" x14ac:dyDescent="0.2">
      <c r="A379" s="25"/>
      <c r="B379" s="25"/>
      <c r="C379" s="98" t="s">
        <v>233</v>
      </c>
      <c r="D379" s="25"/>
      <c r="E379" s="32">
        <f>+H386</f>
        <v>0</v>
      </c>
      <c r="F379" s="56"/>
      <c r="G379" s="25"/>
      <c r="H379" s="25" t="s">
        <v>234</v>
      </c>
      <c r="I379" s="25"/>
      <c r="J379" s="25"/>
      <c r="K379" s="25"/>
      <c r="L379" s="25"/>
      <c r="M379" s="25"/>
    </row>
    <row r="380" spans="1:13" ht="15" x14ac:dyDescent="0.2">
      <c r="A380" s="25"/>
      <c r="B380" s="25"/>
      <c r="C380" s="90"/>
      <c r="D380" s="39"/>
      <c r="E380" s="90"/>
      <c r="F380" s="128"/>
      <c r="G380" s="25"/>
      <c r="H380" s="90" t="s">
        <v>161</v>
      </c>
      <c r="I380" s="25"/>
      <c r="J380" s="25"/>
      <c r="K380" s="25"/>
      <c r="L380" s="25"/>
      <c r="M380" s="25"/>
    </row>
    <row r="381" spans="1:13" ht="15.75" x14ac:dyDescent="0.25">
      <c r="A381" s="25"/>
      <c r="B381" s="25"/>
      <c r="C381" s="92" t="s">
        <v>162</v>
      </c>
      <c r="D381" s="39"/>
      <c r="E381" s="90"/>
      <c r="F381" s="90"/>
      <c r="G381" s="25"/>
      <c r="H381" s="117">
        <v>0</v>
      </c>
      <c r="I381" s="25"/>
      <c r="J381" s="25"/>
      <c r="K381" s="25"/>
      <c r="L381" s="25"/>
      <c r="M381" s="25"/>
    </row>
    <row r="382" spans="1:13" ht="15" x14ac:dyDescent="0.2">
      <c r="A382" s="25"/>
      <c r="B382" s="25"/>
      <c r="C382" s="90"/>
      <c r="D382" s="39"/>
      <c r="E382" s="90"/>
      <c r="F382" s="89"/>
      <c r="G382" s="25"/>
      <c r="H382" s="117">
        <v>0</v>
      </c>
      <c r="I382" s="25"/>
      <c r="J382" s="25"/>
      <c r="K382" s="25"/>
      <c r="L382" s="25"/>
      <c r="M382" s="25"/>
    </row>
    <row r="383" spans="1:13" ht="15" x14ac:dyDescent="0.2">
      <c r="A383" s="25" t="s">
        <v>235</v>
      </c>
      <c r="B383" s="25"/>
      <c r="C383" s="122" t="s">
        <v>193</v>
      </c>
      <c r="D383" s="120">
        <v>0</v>
      </c>
      <c r="E383" s="121">
        <v>0</v>
      </c>
      <c r="F383" s="89"/>
      <c r="G383" s="25"/>
      <c r="H383" s="117">
        <v>0</v>
      </c>
      <c r="I383" s="25"/>
      <c r="J383" s="25"/>
      <c r="K383" s="25"/>
      <c r="L383" s="25"/>
      <c r="M383" s="25"/>
    </row>
    <row r="384" spans="1:13" ht="15" x14ac:dyDescent="0.2">
      <c r="A384" s="25" t="s">
        <v>236</v>
      </c>
      <c r="B384" s="25"/>
      <c r="C384" s="159" t="s">
        <v>167</v>
      </c>
      <c r="D384" s="120">
        <f>-30574.554+28445.36</f>
        <v>-2129.1939999999995</v>
      </c>
      <c r="E384" s="121">
        <f>-1106824.23+1031116.71</f>
        <v>-75707.520000000019</v>
      </c>
      <c r="F384" s="37"/>
      <c r="G384" s="25"/>
      <c r="H384" s="117">
        <v>0</v>
      </c>
      <c r="I384" s="25"/>
      <c r="J384" s="25"/>
      <c r="K384" s="25"/>
      <c r="L384" s="25"/>
      <c r="M384" s="25"/>
    </row>
    <row r="385" spans="1:13" ht="15" x14ac:dyDescent="0.2">
      <c r="A385" s="25" t="s">
        <v>237</v>
      </c>
      <c r="B385" s="25"/>
      <c r="C385" s="122" t="s">
        <v>169</v>
      </c>
      <c r="D385" s="120">
        <v>0</v>
      </c>
      <c r="E385" s="121">
        <v>0</v>
      </c>
      <c r="F385" s="37"/>
      <c r="G385" s="25"/>
      <c r="H385" s="123">
        <v>0</v>
      </c>
      <c r="I385" s="25"/>
      <c r="J385" s="25"/>
      <c r="K385" s="25"/>
      <c r="L385" s="25"/>
      <c r="M385" s="25"/>
    </row>
    <row r="386" spans="1:13" ht="15.75" thickBot="1" x14ac:dyDescent="0.25">
      <c r="A386" s="25"/>
      <c r="B386" s="25"/>
      <c r="C386" s="119" t="s">
        <v>170</v>
      </c>
      <c r="D386" s="87">
        <v>30246.988000000001</v>
      </c>
      <c r="E386" s="32">
        <f>ROUND(+D386*F377,2)</f>
        <v>1081315.9099999999</v>
      </c>
      <c r="F386" s="37"/>
      <c r="G386" s="25"/>
      <c r="H386" s="129">
        <f>SUM(H381:H385)</f>
        <v>0</v>
      </c>
      <c r="I386" s="25"/>
      <c r="J386" s="25"/>
      <c r="K386" s="25"/>
      <c r="L386" s="25"/>
      <c r="M386" s="25"/>
    </row>
    <row r="387" spans="1:13" ht="15.75" thickTop="1" x14ac:dyDescent="0.2">
      <c r="A387" s="25"/>
      <c r="B387" s="25"/>
      <c r="C387" s="170" t="s">
        <v>171</v>
      </c>
      <c r="D387" s="125">
        <f>SUM(D383:D386)</f>
        <v>28117.794000000002</v>
      </c>
      <c r="E387" s="126">
        <f>SUM(E383:E386)</f>
        <v>1005608.3899999999</v>
      </c>
      <c r="F387" s="37"/>
      <c r="G387" s="25"/>
      <c r="H387" s="25"/>
      <c r="I387" s="25"/>
      <c r="J387" s="25"/>
      <c r="K387" s="25"/>
      <c r="L387" s="25"/>
      <c r="M387" s="25"/>
    </row>
    <row r="388" spans="1:13" ht="15" x14ac:dyDescent="0.2">
      <c r="A388" s="25"/>
      <c r="B388" s="25"/>
      <c r="C388" s="25"/>
      <c r="D388" s="47"/>
      <c r="E388" s="38"/>
      <c r="F388" s="37"/>
      <c r="G388" s="25"/>
      <c r="H388" s="25"/>
      <c r="I388" s="25"/>
      <c r="J388" s="25"/>
      <c r="K388" s="25"/>
      <c r="L388" s="25"/>
      <c r="M388" s="25"/>
    </row>
    <row r="389" spans="1:13" ht="15" x14ac:dyDescent="0.2">
      <c r="A389" s="25" t="s">
        <v>238</v>
      </c>
      <c r="B389" s="25"/>
      <c r="C389" s="122" t="s">
        <v>193</v>
      </c>
      <c r="D389" s="120">
        <v>0</v>
      </c>
      <c r="E389" s="121">
        <v>0</v>
      </c>
      <c r="F389" s="37"/>
      <c r="G389" s="25"/>
      <c r="H389" s="25"/>
      <c r="I389" s="25"/>
      <c r="J389" s="25"/>
      <c r="K389" s="25"/>
      <c r="L389" s="25"/>
      <c r="M389" s="25"/>
    </row>
    <row r="390" spans="1:13" ht="15" x14ac:dyDescent="0.2">
      <c r="A390" s="25" t="s">
        <v>239</v>
      </c>
      <c r="B390" s="25"/>
      <c r="C390" s="159" t="s">
        <v>167</v>
      </c>
      <c r="D390" s="120">
        <f>-31455.649+23469.87</f>
        <v>-7985.7790000000023</v>
      </c>
      <c r="E390" s="121">
        <f>-1138720.6+850760.02</f>
        <v>-287960.58000000007</v>
      </c>
      <c r="F390" s="37"/>
      <c r="G390" s="25"/>
      <c r="H390" s="25"/>
      <c r="I390" s="25"/>
      <c r="J390" s="25"/>
      <c r="K390" s="25"/>
      <c r="L390" s="25"/>
      <c r="M390" s="25"/>
    </row>
    <row r="391" spans="1:13" ht="15" x14ac:dyDescent="0.2">
      <c r="A391" s="25" t="s">
        <v>240</v>
      </c>
      <c r="B391" s="25"/>
      <c r="C391" s="122" t="s">
        <v>169</v>
      </c>
      <c r="D391" s="120">
        <v>0</v>
      </c>
      <c r="E391" s="121">
        <v>0</v>
      </c>
      <c r="F391" s="37"/>
      <c r="G391" s="25"/>
      <c r="H391" s="25"/>
      <c r="I391" s="25"/>
      <c r="J391" s="25"/>
      <c r="K391" s="25"/>
      <c r="L391" s="25"/>
      <c r="M391" s="25"/>
    </row>
    <row r="392" spans="1:13" ht="15" x14ac:dyDescent="0.2">
      <c r="A392" s="25"/>
      <c r="B392" s="25"/>
      <c r="C392" s="119" t="s">
        <v>170</v>
      </c>
      <c r="D392" s="87">
        <v>28741.814999999999</v>
      </c>
      <c r="E392" s="32">
        <f>ROUND(+D392*F377,2)</f>
        <v>1027506.67</v>
      </c>
      <c r="F392" s="37"/>
      <c r="G392" s="25"/>
      <c r="H392" s="25"/>
      <c r="I392" s="25"/>
      <c r="J392" s="25"/>
      <c r="K392" s="25"/>
      <c r="L392" s="25"/>
      <c r="M392" s="25"/>
    </row>
    <row r="393" spans="1:13" ht="15" x14ac:dyDescent="0.2">
      <c r="A393" s="25"/>
      <c r="B393" s="25"/>
      <c r="C393" s="27" t="s">
        <v>175</v>
      </c>
      <c r="D393" s="125">
        <f>SUM(D389:D392)</f>
        <v>20756.035999999996</v>
      </c>
      <c r="E393" s="126">
        <f>SUM(E389:E392)</f>
        <v>739546.09</v>
      </c>
      <c r="F393" s="37"/>
      <c r="G393" s="25"/>
      <c r="H393" s="25"/>
      <c r="I393" s="25"/>
      <c r="J393" s="25"/>
      <c r="K393" s="25"/>
      <c r="L393" s="25"/>
      <c r="M393" s="25"/>
    </row>
    <row r="394" spans="1:13" ht="15" x14ac:dyDescent="0.2">
      <c r="A394" s="25"/>
      <c r="B394" s="25"/>
      <c r="C394" s="27"/>
      <c r="D394" s="48"/>
      <c r="E394" s="50"/>
      <c r="F394" s="37"/>
      <c r="G394" s="25"/>
      <c r="H394" s="25"/>
      <c r="I394" s="25"/>
      <c r="J394" s="25"/>
      <c r="K394" s="25"/>
      <c r="L394" s="25"/>
      <c r="M394" s="25"/>
    </row>
    <row r="395" spans="1:13" ht="15" x14ac:dyDescent="0.2">
      <c r="A395" s="25"/>
      <c r="B395" s="25"/>
      <c r="C395" s="27"/>
      <c r="D395" s="48"/>
      <c r="E395" s="50"/>
      <c r="F395" s="37"/>
      <c r="G395" s="25"/>
      <c r="H395" s="25"/>
      <c r="I395" s="25"/>
      <c r="J395" s="25"/>
      <c r="K395" s="25"/>
      <c r="L395" s="25"/>
      <c r="M395" s="24"/>
    </row>
    <row r="396" spans="1:13" ht="15" x14ac:dyDescent="0.2">
      <c r="A396" s="25"/>
      <c r="B396" s="25"/>
      <c r="C396" s="122" t="s">
        <v>193</v>
      </c>
      <c r="D396" s="36">
        <f>D383+D389</f>
        <v>0</v>
      </c>
      <c r="E396" s="32">
        <f>E383+E389</f>
        <v>0</v>
      </c>
      <c r="F396" s="25"/>
      <c r="G396" s="25"/>
      <c r="H396" s="25"/>
      <c r="I396" s="25"/>
      <c r="J396" s="25"/>
      <c r="K396" s="25"/>
      <c r="L396" s="25"/>
      <c r="M396" s="25"/>
    </row>
    <row r="397" spans="1:13" ht="15" x14ac:dyDescent="0.2">
      <c r="A397" s="25"/>
      <c r="B397" s="25"/>
      <c r="C397" s="159" t="s">
        <v>167</v>
      </c>
      <c r="D397" s="36">
        <f>+D384+D390</f>
        <v>-10114.973000000002</v>
      </c>
      <c r="E397" s="171">
        <f>+E384+E390</f>
        <v>-363668.10000000009</v>
      </c>
      <c r="F397" s="25"/>
      <c r="G397" s="25"/>
      <c r="H397" s="25"/>
      <c r="I397" s="25"/>
      <c r="J397" s="25"/>
      <c r="K397" s="25"/>
      <c r="L397" s="25"/>
      <c r="M397" s="25"/>
    </row>
    <row r="398" spans="1:13" ht="15" x14ac:dyDescent="0.2">
      <c r="A398" s="25"/>
      <c r="B398" s="25"/>
      <c r="C398" s="122" t="s">
        <v>169</v>
      </c>
      <c r="D398" s="36">
        <f>+D385+D391</f>
        <v>0</v>
      </c>
      <c r="E398" s="32">
        <f>+E385+E391</f>
        <v>0</v>
      </c>
      <c r="F398" s="37"/>
      <c r="G398" s="25"/>
      <c r="H398" s="25"/>
      <c r="I398" s="25"/>
      <c r="J398" s="25"/>
      <c r="K398" s="25"/>
      <c r="L398" s="25"/>
      <c r="M398" s="25"/>
    </row>
    <row r="399" spans="1:13" ht="15" x14ac:dyDescent="0.2">
      <c r="A399" s="25"/>
      <c r="B399" s="25"/>
      <c r="C399" s="119" t="s">
        <v>176</v>
      </c>
      <c r="D399" s="36">
        <f>+D386+D392</f>
        <v>58988.803</v>
      </c>
      <c r="E399" s="32">
        <f>E386+E392</f>
        <v>2108822.58</v>
      </c>
      <c r="F399" s="89">
        <f>IF(E399=0,0,E399/D399)</f>
        <v>35.749540128827498</v>
      </c>
      <c r="G399" s="25"/>
      <c r="H399" s="25"/>
      <c r="I399" s="25"/>
      <c r="J399" s="25"/>
      <c r="K399" s="25"/>
      <c r="L399" s="25"/>
      <c r="M399" s="25"/>
    </row>
    <row r="400" spans="1:13" ht="15" x14ac:dyDescent="0.2">
      <c r="A400" s="25"/>
      <c r="B400" s="25"/>
      <c r="C400" s="33" t="s">
        <v>177</v>
      </c>
      <c r="D400" s="125">
        <f>SUM(D396:D399)</f>
        <v>48873.83</v>
      </c>
      <c r="E400" s="172">
        <f>SUM(E396:E399)</f>
        <v>1745154.48</v>
      </c>
      <c r="F400" s="37">
        <f>ROUND(E400/D400,5)</f>
        <v>35.707340000000002</v>
      </c>
      <c r="G400" s="25"/>
      <c r="H400" s="25"/>
      <c r="I400" s="25"/>
      <c r="J400" s="25"/>
      <c r="K400" s="25"/>
      <c r="L400" s="25"/>
      <c r="M400" s="25"/>
    </row>
    <row r="401" spans="1:13" ht="15" x14ac:dyDescent="0.2">
      <c r="A401" s="25"/>
      <c r="B401" s="25"/>
      <c r="C401" s="25"/>
      <c r="D401" s="47"/>
      <c r="E401" s="38"/>
      <c r="F401" s="37"/>
      <c r="G401" s="25"/>
      <c r="H401" s="25"/>
      <c r="I401" s="25"/>
      <c r="J401" s="25"/>
      <c r="K401" s="25"/>
      <c r="L401" s="25"/>
      <c r="M401" s="25"/>
    </row>
    <row r="402" spans="1:13" ht="15.75" thickBot="1" x14ac:dyDescent="0.25">
      <c r="A402" s="25"/>
      <c r="B402" s="25"/>
      <c r="C402" s="33" t="s">
        <v>178</v>
      </c>
      <c r="D402" s="133">
        <f>D377-D400</f>
        <v>233706.52899999986</v>
      </c>
      <c r="E402" s="134">
        <f>E377-E400+E379</f>
        <v>8356963.0399999972</v>
      </c>
      <c r="F402" s="37">
        <f>ROUND(E402/D402,5)</f>
        <v>35.758360000000003</v>
      </c>
      <c r="G402" s="25"/>
      <c r="H402" s="25"/>
      <c r="I402" s="25"/>
      <c r="J402" s="25"/>
      <c r="K402" s="25"/>
      <c r="L402" s="25"/>
      <c r="M402" s="25"/>
    </row>
    <row r="403" spans="1:13" ht="15.75" thickTop="1" x14ac:dyDescent="0.2">
      <c r="A403" s="25"/>
      <c r="B403" s="25"/>
      <c r="C403" s="90"/>
      <c r="D403" s="135"/>
      <c r="E403" s="150"/>
      <c r="F403" s="90"/>
      <c r="G403" s="25"/>
      <c r="H403" s="25"/>
      <c r="I403" s="25"/>
      <c r="J403" s="25"/>
      <c r="K403" s="25"/>
      <c r="L403" s="25"/>
      <c r="M403" s="25"/>
    </row>
    <row r="404" spans="1:13" ht="15" x14ac:dyDescent="0.2">
      <c r="A404" s="25"/>
      <c r="B404" s="25"/>
      <c r="C404" s="90" t="s">
        <v>179</v>
      </c>
      <c r="D404" s="138"/>
      <c r="E404" s="151"/>
      <c r="F404" s="90"/>
      <c r="G404" s="25"/>
      <c r="H404" s="25"/>
      <c r="I404" s="25"/>
      <c r="J404" s="25"/>
      <c r="K404" s="25"/>
      <c r="L404" s="25"/>
      <c r="M404" s="25"/>
    </row>
    <row r="405" spans="1:13" ht="15" x14ac:dyDescent="0.2">
      <c r="A405" s="25"/>
      <c r="B405" s="25"/>
      <c r="C405" s="90"/>
      <c r="D405" s="138"/>
      <c r="E405" s="151"/>
      <c r="F405" s="90"/>
      <c r="G405" s="25"/>
      <c r="H405" s="25"/>
      <c r="I405" s="25"/>
      <c r="J405" s="25"/>
      <c r="K405" s="25"/>
      <c r="L405" s="25"/>
      <c r="M405" s="25"/>
    </row>
    <row r="406" spans="1:13" ht="15" x14ac:dyDescent="0.2">
      <c r="A406" s="25"/>
      <c r="B406" s="25"/>
      <c r="C406" s="90"/>
      <c r="D406" s="138"/>
      <c r="E406" s="151"/>
      <c r="F406" s="90"/>
      <c r="G406" s="25"/>
      <c r="H406" s="25"/>
      <c r="I406" s="25"/>
      <c r="J406" s="25"/>
      <c r="K406" s="25"/>
      <c r="L406" s="25"/>
      <c r="M406" s="25"/>
    </row>
    <row r="407" spans="1:13" ht="15" x14ac:dyDescent="0.2">
      <c r="A407" s="25"/>
      <c r="B407" s="25"/>
      <c r="C407" s="90"/>
      <c r="D407" s="138"/>
      <c r="E407" s="151"/>
      <c r="F407" s="90"/>
      <c r="G407" s="25"/>
      <c r="H407" s="25"/>
      <c r="I407" s="25"/>
      <c r="J407" s="25"/>
      <c r="K407" s="25"/>
      <c r="L407" s="25"/>
      <c r="M407" s="25"/>
    </row>
    <row r="408" spans="1:13" ht="15" x14ac:dyDescent="0.2">
      <c r="A408" s="25"/>
      <c r="B408" s="25"/>
      <c r="C408" s="90"/>
      <c r="D408" s="138"/>
      <c r="E408" s="151"/>
      <c r="F408" s="90"/>
      <c r="G408" s="25"/>
      <c r="H408" s="25"/>
      <c r="I408" s="25"/>
      <c r="J408" s="25"/>
      <c r="K408" s="25"/>
      <c r="L408" s="25"/>
      <c r="M408" s="25"/>
    </row>
    <row r="409" spans="1:13" ht="15" x14ac:dyDescent="0.2">
      <c r="B409" s="70"/>
      <c r="C409" s="25"/>
      <c r="D409" s="25"/>
      <c r="E409" s="25"/>
      <c r="F409" s="25"/>
      <c r="G409" s="25"/>
      <c r="H409" s="70"/>
      <c r="I409" s="25"/>
      <c r="J409" s="38"/>
      <c r="K409" s="38"/>
      <c r="L409" s="38"/>
      <c r="M409" s="25"/>
    </row>
    <row r="410" spans="1:13" ht="15" x14ac:dyDescent="0.2">
      <c r="B410" s="24" t="s">
        <v>241</v>
      </c>
      <c r="C410" s="25"/>
      <c r="D410" s="25"/>
      <c r="E410" s="25"/>
      <c r="F410" s="25"/>
      <c r="G410" s="25"/>
      <c r="H410" s="24" t="s">
        <v>117</v>
      </c>
      <c r="I410" s="25"/>
      <c r="J410" s="25"/>
      <c r="K410" s="25"/>
      <c r="L410" s="25"/>
      <c r="M410" s="38"/>
    </row>
    <row r="411" spans="1:13" ht="15.75" x14ac:dyDescent="0.25">
      <c r="A411" s="25"/>
      <c r="B411" s="143"/>
      <c r="C411" s="239" t="s">
        <v>242</v>
      </c>
      <c r="D411" s="239"/>
      <c r="E411" s="239"/>
      <c r="F411" s="239"/>
      <c r="G411" s="90"/>
      <c r="H411" s="25"/>
      <c r="I411" s="25"/>
      <c r="J411" s="25"/>
      <c r="K411" s="25"/>
      <c r="L411" s="25"/>
      <c r="M411" s="25"/>
    </row>
    <row r="412" spans="1:13" ht="15" x14ac:dyDescent="0.2">
      <c r="A412" s="32"/>
      <c r="B412" s="144"/>
      <c r="C412" s="90" t="s">
        <v>38</v>
      </c>
      <c r="D412" s="90"/>
      <c r="E412" s="90"/>
      <c r="F412" s="90"/>
      <c r="G412" s="90"/>
      <c r="H412" s="25"/>
      <c r="I412" s="25"/>
      <c r="J412" s="25"/>
      <c r="K412" s="25"/>
      <c r="L412" s="25"/>
      <c r="M412" s="25"/>
    </row>
    <row r="413" spans="1:13" ht="15" x14ac:dyDescent="0.2">
      <c r="A413" s="32"/>
      <c r="B413" s="144"/>
      <c r="C413" s="25" t="str">
        <f>+C116</f>
        <v>PRELIMINARY</v>
      </c>
      <c r="D413" s="119"/>
      <c r="E413" s="119" t="s">
        <v>138</v>
      </c>
      <c r="F413" s="173" t="str">
        <f>+C4</f>
        <v>AUGUST 2013</v>
      </c>
      <c r="G413" s="90"/>
      <c r="H413" s="25"/>
      <c r="I413" s="25"/>
      <c r="J413" s="25"/>
      <c r="K413" s="25"/>
      <c r="L413" s="25"/>
      <c r="M413" s="25"/>
    </row>
    <row r="414" spans="1:13" ht="15" x14ac:dyDescent="0.2">
      <c r="A414" s="32"/>
      <c r="B414" s="144"/>
      <c r="C414" s="90" t="s">
        <v>243</v>
      </c>
      <c r="D414" s="90"/>
      <c r="E414" s="90"/>
      <c r="F414" s="90"/>
      <c r="G414" s="90"/>
      <c r="H414" s="25"/>
      <c r="I414" s="25"/>
      <c r="J414" s="25"/>
      <c r="K414" s="25"/>
      <c r="L414" s="25"/>
      <c r="M414" s="25"/>
    </row>
    <row r="415" spans="1:13" ht="15" x14ac:dyDescent="0.2">
      <c r="A415" s="32"/>
      <c r="B415" s="144"/>
      <c r="C415" s="90"/>
      <c r="D415" s="140" t="s">
        <v>140</v>
      </c>
      <c r="E415" s="140" t="s">
        <v>141</v>
      </c>
      <c r="F415" s="140" t="s">
        <v>142</v>
      </c>
      <c r="G415" s="113"/>
      <c r="J415" s="25"/>
      <c r="K415" s="25"/>
      <c r="L415" s="25"/>
      <c r="M415" s="25"/>
    </row>
    <row r="416" spans="1:13" ht="15" x14ac:dyDescent="0.2">
      <c r="A416" s="32"/>
      <c r="B416" s="144"/>
      <c r="C416" s="90"/>
      <c r="D416" s="128"/>
      <c r="E416" s="128"/>
      <c r="F416" s="128"/>
      <c r="G416" s="128"/>
      <c r="J416" s="25"/>
      <c r="K416" s="25"/>
      <c r="L416" s="25"/>
      <c r="M416" s="25"/>
    </row>
    <row r="417" spans="1:13" ht="15" x14ac:dyDescent="0.2">
      <c r="A417" s="25"/>
      <c r="B417" s="144"/>
      <c r="C417" s="33" t="s">
        <v>143</v>
      </c>
      <c r="D417" s="87">
        <v>131910.53000000009</v>
      </c>
      <c r="E417" s="88">
        <v>2308716.7499999879</v>
      </c>
      <c r="F417" s="89">
        <v>17.502140000000001</v>
      </c>
      <c r="G417" s="174"/>
      <c r="J417" s="25"/>
      <c r="K417" s="25"/>
      <c r="L417" s="25"/>
      <c r="M417" s="25"/>
    </row>
    <row r="418" spans="1:13" ht="15" x14ac:dyDescent="0.2">
      <c r="A418" s="25"/>
      <c r="B418" s="144"/>
      <c r="C418" s="90"/>
      <c r="D418" s="175"/>
      <c r="E418" s="175"/>
      <c r="F418" s="89"/>
      <c r="G418" s="90"/>
      <c r="J418" s="25"/>
      <c r="K418" s="25"/>
      <c r="L418" s="25"/>
      <c r="M418" s="25"/>
    </row>
    <row r="419" spans="1:13" ht="15.75" x14ac:dyDescent="0.25">
      <c r="A419" s="25"/>
      <c r="B419" s="144"/>
      <c r="C419" s="92" t="s">
        <v>144</v>
      </c>
      <c r="D419" s="57"/>
      <c r="E419" s="57"/>
      <c r="F419" s="89"/>
      <c r="G419" s="40"/>
      <c r="J419" s="25"/>
      <c r="K419" s="25"/>
      <c r="L419" s="25"/>
      <c r="M419" s="25"/>
    </row>
    <row r="420" spans="1:13" ht="15" x14ac:dyDescent="0.2">
      <c r="A420" s="25"/>
      <c r="B420" s="94">
        <v>30070</v>
      </c>
      <c r="C420" s="176" t="s">
        <v>244</v>
      </c>
      <c r="D420" s="87">
        <v>121526</v>
      </c>
      <c r="E420" s="177">
        <v>1458312</v>
      </c>
      <c r="F420" s="33" t="s">
        <v>146</v>
      </c>
      <c r="G420" s="25"/>
      <c r="J420" s="25"/>
      <c r="K420" s="25"/>
      <c r="L420" s="25"/>
      <c r="M420" s="25"/>
    </row>
    <row r="421" spans="1:13" ht="15" x14ac:dyDescent="0.2">
      <c r="A421" s="25"/>
      <c r="B421" s="94">
        <v>30047</v>
      </c>
      <c r="C421" s="25"/>
      <c r="D421" s="93"/>
      <c r="E421" s="177">
        <v>641171.18000000005</v>
      </c>
      <c r="F421" s="33" t="s">
        <v>147</v>
      </c>
      <c r="G421" s="40"/>
      <c r="J421" s="25"/>
      <c r="K421" s="25"/>
      <c r="L421" s="25"/>
      <c r="M421" s="25"/>
    </row>
    <row r="422" spans="1:13" ht="15" x14ac:dyDescent="0.2">
      <c r="A422" s="25"/>
      <c r="B422" s="94">
        <v>30074</v>
      </c>
      <c r="C422" s="176" t="s">
        <v>245</v>
      </c>
      <c r="D422" s="87">
        <v>75624.06</v>
      </c>
      <c r="E422" s="177">
        <v>960425.56</v>
      </c>
      <c r="F422" s="33" t="s">
        <v>146</v>
      </c>
      <c r="G422" s="174"/>
      <c r="J422" s="25"/>
      <c r="K422" s="25"/>
      <c r="L422" s="25"/>
      <c r="M422" s="25"/>
    </row>
    <row r="423" spans="1:13" ht="15" x14ac:dyDescent="0.2">
      <c r="A423" s="25"/>
      <c r="B423" s="94">
        <v>30047</v>
      </c>
      <c r="C423" s="25"/>
      <c r="D423" s="93"/>
      <c r="E423" s="177">
        <v>398992.54</v>
      </c>
      <c r="F423" s="33" t="s">
        <v>147</v>
      </c>
      <c r="G423" s="40"/>
      <c r="J423" s="25"/>
      <c r="K423" s="25"/>
      <c r="L423" s="25"/>
      <c r="M423" s="25"/>
    </row>
    <row r="424" spans="1:13" ht="15" x14ac:dyDescent="0.2">
      <c r="A424" s="32"/>
      <c r="B424" s="94">
        <v>30073</v>
      </c>
      <c r="C424" s="176" t="s">
        <v>246</v>
      </c>
      <c r="D424" s="87">
        <v>60100</v>
      </c>
      <c r="E424" s="177">
        <v>757260</v>
      </c>
      <c r="F424" s="33" t="s">
        <v>146</v>
      </c>
      <c r="G424" s="25"/>
      <c r="J424" s="25"/>
      <c r="K424" s="25"/>
      <c r="L424" s="25"/>
      <c r="M424" s="25"/>
    </row>
    <row r="425" spans="1:13" ht="15" x14ac:dyDescent="0.2">
      <c r="A425" s="32"/>
      <c r="B425" s="94">
        <v>30047</v>
      </c>
      <c r="C425" s="25"/>
      <c r="D425" s="93"/>
      <c r="E425" s="177">
        <v>317087.59999999998</v>
      </c>
      <c r="F425" s="33" t="s">
        <v>147</v>
      </c>
      <c r="G425" s="25"/>
      <c r="J425" s="25"/>
      <c r="K425" s="25"/>
      <c r="L425" s="25"/>
      <c r="M425" s="25"/>
    </row>
    <row r="426" spans="1:13" ht="15" x14ac:dyDescent="0.2">
      <c r="A426" s="32"/>
      <c r="B426" s="94">
        <v>30075</v>
      </c>
      <c r="C426" s="176" t="s">
        <v>247</v>
      </c>
      <c r="D426" s="87">
        <v>29972.28</v>
      </c>
      <c r="E426" s="177">
        <v>274246.36</v>
      </c>
      <c r="F426" s="33" t="s">
        <v>146</v>
      </c>
      <c r="G426" s="174"/>
      <c r="J426" s="25"/>
      <c r="K426" s="25"/>
      <c r="L426" s="25"/>
      <c r="M426" s="25"/>
    </row>
    <row r="427" spans="1:13" ht="15" x14ac:dyDescent="0.2">
      <c r="A427" s="32"/>
      <c r="B427" s="94">
        <v>30047</v>
      </c>
      <c r="C427" s="25"/>
      <c r="D427" s="93"/>
      <c r="E427" s="177">
        <v>158133.75</v>
      </c>
      <c r="F427" s="33" t="s">
        <v>147</v>
      </c>
      <c r="G427" s="174"/>
      <c r="J427" s="24"/>
      <c r="K427" s="25"/>
      <c r="L427" s="25"/>
      <c r="M427" s="25"/>
    </row>
    <row r="428" spans="1:13" ht="15" x14ac:dyDescent="0.2">
      <c r="A428" s="32"/>
      <c r="B428" s="94">
        <v>30047</v>
      </c>
      <c r="C428" s="176" t="s">
        <v>248</v>
      </c>
      <c r="D428" s="93"/>
      <c r="E428" s="177">
        <v>20000</v>
      </c>
      <c r="F428" s="33" t="s">
        <v>147</v>
      </c>
      <c r="G428" s="25"/>
      <c r="J428" s="25"/>
      <c r="K428" s="25"/>
      <c r="L428" s="25"/>
      <c r="M428" s="25"/>
    </row>
    <row r="429" spans="1:13" ht="15" x14ac:dyDescent="0.2">
      <c r="A429" s="25"/>
      <c r="B429" s="94">
        <v>30047</v>
      </c>
      <c r="C429" s="176" t="s">
        <v>188</v>
      </c>
      <c r="D429" s="87"/>
      <c r="E429" s="177">
        <v>-6485.4</v>
      </c>
      <c r="F429" s="33" t="s">
        <v>147</v>
      </c>
      <c r="G429" s="25"/>
      <c r="J429" s="25"/>
      <c r="K429" s="25"/>
      <c r="L429" s="25"/>
      <c r="M429" s="25"/>
    </row>
    <row r="430" spans="1:13" ht="15" x14ac:dyDescent="0.2">
      <c r="A430" s="25"/>
      <c r="B430" s="144"/>
      <c r="C430" s="25" t="s">
        <v>38</v>
      </c>
      <c r="D430" s="156"/>
      <c r="E430" s="178"/>
      <c r="F430" s="33"/>
      <c r="G430" s="25"/>
      <c r="J430" s="25"/>
      <c r="K430" s="25"/>
      <c r="L430" s="25"/>
      <c r="M430" s="25"/>
    </row>
    <row r="431" spans="1:13" ht="15" x14ac:dyDescent="0.2">
      <c r="A431" s="25"/>
      <c r="B431" s="144"/>
      <c r="C431" s="25" t="s">
        <v>153</v>
      </c>
      <c r="D431" s="75">
        <f>SUM(D420:D430)</f>
        <v>287222.33999999997</v>
      </c>
      <c r="E431" s="56">
        <f>SUM(E420:E430)</f>
        <v>4979143.59</v>
      </c>
      <c r="F431" s="56"/>
      <c r="G431" s="25"/>
      <c r="J431" s="25"/>
      <c r="K431" s="25"/>
      <c r="L431" s="25"/>
      <c r="M431" s="25"/>
    </row>
    <row r="432" spans="1:13" ht="15.75" x14ac:dyDescent="0.25">
      <c r="A432" s="25"/>
      <c r="B432" s="94"/>
      <c r="C432" s="102" t="s">
        <v>154</v>
      </c>
      <c r="D432" s="25"/>
      <c r="E432" s="56"/>
      <c r="F432" s="25"/>
      <c r="G432" s="25"/>
      <c r="J432" s="25"/>
      <c r="K432" s="25"/>
      <c r="L432" s="25"/>
      <c r="M432" s="25"/>
    </row>
    <row r="433" spans="1:13" ht="15" x14ac:dyDescent="0.2">
      <c r="A433" s="25"/>
      <c r="B433" s="94">
        <v>30070</v>
      </c>
      <c r="C433" s="176" t="s">
        <v>244</v>
      </c>
      <c r="D433" s="87">
        <f>-109278+109278</f>
        <v>0</v>
      </c>
      <c r="E433" s="177">
        <f>-1311336+1305112.1</f>
        <v>-6223.8999999999069</v>
      </c>
      <c r="F433" s="33" t="s">
        <v>146</v>
      </c>
      <c r="G433" s="25"/>
      <c r="J433" s="25"/>
      <c r="K433" s="25"/>
      <c r="L433" s="25"/>
      <c r="M433" s="25"/>
    </row>
    <row r="434" spans="1:13" ht="15" x14ac:dyDescent="0.2">
      <c r="A434" s="25"/>
      <c r="B434" s="94">
        <v>30047</v>
      </c>
      <c r="C434" s="25"/>
      <c r="D434" s="93"/>
      <c r="E434" s="177">
        <f>-576550.73+576550.73</f>
        <v>0</v>
      </c>
      <c r="F434" s="33" t="s">
        <v>147</v>
      </c>
      <c r="G434" s="25"/>
      <c r="J434" s="24"/>
      <c r="K434" s="25"/>
      <c r="L434" s="25"/>
      <c r="M434" s="25"/>
    </row>
    <row r="435" spans="1:13" ht="15" x14ac:dyDescent="0.2">
      <c r="A435" s="25"/>
      <c r="B435" s="94">
        <v>30074</v>
      </c>
      <c r="C435" s="176" t="s">
        <v>245</v>
      </c>
      <c r="D435" s="87">
        <f>-123165.02+123966.32</f>
        <v>801.30000000000291</v>
      </c>
      <c r="E435" s="177">
        <f>-1564195.75+1570432.42</f>
        <v>6236.6699999999255</v>
      </c>
      <c r="F435" s="33" t="s">
        <v>146</v>
      </c>
      <c r="G435" s="25"/>
      <c r="J435" s="25"/>
      <c r="K435" s="25"/>
      <c r="L435" s="25"/>
      <c r="M435" s="25"/>
    </row>
    <row r="436" spans="1:13" ht="15" x14ac:dyDescent="0.2">
      <c r="A436" s="25"/>
      <c r="B436" s="94">
        <v>30047</v>
      </c>
      <c r="C436" s="25"/>
      <c r="D436" s="93"/>
      <c r="E436" s="177">
        <f>-649818.65+654063.2-0.01</f>
        <v>4244.5399999999299</v>
      </c>
      <c r="F436" s="33" t="s">
        <v>147</v>
      </c>
      <c r="G436" s="25"/>
      <c r="J436" s="25"/>
      <c r="K436" s="25"/>
      <c r="L436" s="25"/>
      <c r="M436" s="25"/>
    </row>
    <row r="437" spans="1:13" ht="15" x14ac:dyDescent="0.2">
      <c r="A437" s="25"/>
      <c r="B437" s="94">
        <v>30073</v>
      </c>
      <c r="C437" s="176" t="s">
        <v>246</v>
      </c>
      <c r="D437" s="87">
        <f>-30731.25+30731.25</f>
        <v>0</v>
      </c>
      <c r="E437" s="177">
        <f>-387213.75+389150.51</f>
        <v>1936.7600000000093</v>
      </c>
      <c r="F437" s="33" t="s">
        <v>146</v>
      </c>
      <c r="G437" s="25"/>
      <c r="J437" s="25"/>
      <c r="K437" s="25"/>
      <c r="L437" s="25"/>
      <c r="M437" s="25"/>
    </row>
    <row r="438" spans="1:13" ht="15" x14ac:dyDescent="0.2">
      <c r="A438" s="25"/>
      <c r="B438" s="94">
        <v>30047</v>
      </c>
      <c r="C438" s="25"/>
      <c r="D438" s="93"/>
      <c r="E438" s="177">
        <f>-162138.08+162138.08</f>
        <v>0</v>
      </c>
      <c r="F438" s="33" t="s">
        <v>147</v>
      </c>
      <c r="G438" s="25"/>
      <c r="J438" s="25"/>
      <c r="K438" s="25"/>
      <c r="L438" s="25"/>
      <c r="M438" s="25"/>
    </row>
    <row r="439" spans="1:13" ht="15" x14ac:dyDescent="0.2">
      <c r="A439" s="32"/>
      <c r="B439" s="94">
        <v>30075</v>
      </c>
      <c r="C439" s="176" t="s">
        <v>247</v>
      </c>
      <c r="D439" s="87">
        <f>-30045.18+30045.175</f>
        <v>-5.0000000010186341E-3</v>
      </c>
      <c r="E439" s="177">
        <f>-274913.4+274913.35</f>
        <v>-5.0000000046566129E-2</v>
      </c>
      <c r="F439" s="33" t="s">
        <v>146</v>
      </c>
      <c r="G439" s="25"/>
      <c r="J439" s="25"/>
      <c r="K439" s="25"/>
      <c r="L439" s="25"/>
      <c r="M439" s="25"/>
    </row>
    <row r="440" spans="1:13" ht="15" x14ac:dyDescent="0.2">
      <c r="A440" s="32"/>
      <c r="B440" s="94">
        <v>30047</v>
      </c>
      <c r="C440" s="25"/>
      <c r="D440" s="93"/>
      <c r="E440" s="177">
        <f>-158518.37+158518.34</f>
        <v>-2.9999999998835847E-2</v>
      </c>
      <c r="F440" s="33" t="s">
        <v>147</v>
      </c>
      <c r="G440" s="174"/>
      <c r="J440" s="25"/>
      <c r="K440" s="25"/>
      <c r="L440" s="25"/>
      <c r="M440" s="25"/>
    </row>
    <row r="441" spans="1:13" ht="15" x14ac:dyDescent="0.2">
      <c r="A441" s="32"/>
      <c r="B441" s="94">
        <v>30047</v>
      </c>
      <c r="C441" s="176" t="s">
        <v>249</v>
      </c>
      <c r="D441" s="93"/>
      <c r="E441" s="177">
        <f>-20000+20000-11867.3</f>
        <v>-11867.3</v>
      </c>
      <c r="F441" s="33" t="s">
        <v>147</v>
      </c>
      <c r="G441" s="90"/>
      <c r="J441" s="25"/>
      <c r="K441" s="25"/>
      <c r="L441" s="25"/>
      <c r="M441" s="25"/>
    </row>
    <row r="442" spans="1:13" ht="15" x14ac:dyDescent="0.2">
      <c r="A442" s="32"/>
      <c r="B442" s="94">
        <v>30047</v>
      </c>
      <c r="C442" s="176" t="s">
        <v>188</v>
      </c>
      <c r="D442" s="87"/>
      <c r="E442" s="177">
        <f>2885.94-2885.94</f>
        <v>0</v>
      </c>
      <c r="F442" s="33" t="s">
        <v>147</v>
      </c>
      <c r="G442" s="90"/>
      <c r="J442" s="25"/>
      <c r="K442" s="25"/>
      <c r="L442" s="25"/>
      <c r="M442" s="25"/>
    </row>
    <row r="443" spans="1:13" ht="15" x14ac:dyDescent="0.2">
      <c r="A443" s="32"/>
      <c r="B443" s="94">
        <v>30074</v>
      </c>
      <c r="C443" s="176" t="s">
        <v>250</v>
      </c>
      <c r="D443" s="87"/>
      <c r="E443" s="177">
        <v>8401</v>
      </c>
      <c r="F443" s="33" t="s">
        <v>146</v>
      </c>
      <c r="G443" s="25"/>
      <c r="J443" s="25"/>
      <c r="K443" s="25"/>
      <c r="L443" s="25"/>
      <c r="M443" s="25"/>
    </row>
    <row r="444" spans="1:13" ht="15" x14ac:dyDescent="0.2">
      <c r="A444" s="32"/>
      <c r="B444" s="94">
        <v>30047</v>
      </c>
      <c r="C444" s="176" t="s">
        <v>251</v>
      </c>
      <c r="D444" s="93"/>
      <c r="E444" s="177">
        <v>198.09</v>
      </c>
      <c r="F444" s="33" t="s">
        <v>147</v>
      </c>
      <c r="G444" s="90"/>
      <c r="J444" s="25"/>
      <c r="K444" s="25"/>
      <c r="L444" s="25"/>
      <c r="M444" s="25"/>
    </row>
    <row r="445" spans="1:13" ht="15" x14ac:dyDescent="0.2">
      <c r="A445" s="32"/>
      <c r="B445" s="144"/>
      <c r="C445" s="25" t="s">
        <v>153</v>
      </c>
      <c r="D445" s="104">
        <f>SUM(D433:D444)</f>
        <v>801.29500000000189</v>
      </c>
      <c r="E445" s="179">
        <f>SUM(E433:E444)</f>
        <v>2925.7799999999133</v>
      </c>
      <c r="F445" s="33"/>
      <c r="G445" s="90"/>
      <c r="J445" s="25"/>
      <c r="K445" s="25"/>
      <c r="L445" s="25"/>
      <c r="M445" s="25"/>
    </row>
    <row r="446" spans="1:13" ht="15" x14ac:dyDescent="0.2">
      <c r="A446" s="25"/>
      <c r="B446" s="144"/>
      <c r="C446" s="95" t="s">
        <v>157</v>
      </c>
      <c r="D446" s="51">
        <f>+D431+D445</f>
        <v>288023.63499999995</v>
      </c>
      <c r="E446" s="52">
        <f>+E431+E445</f>
        <v>4982069.37</v>
      </c>
      <c r="F446" s="89">
        <f>IF(D446=0,0,ROUND(E446/D446,5))</f>
        <v>17.297429999999999</v>
      </c>
      <c r="G446" s="174"/>
      <c r="J446" s="25"/>
      <c r="K446" s="25"/>
      <c r="L446" s="25"/>
      <c r="M446" s="25"/>
    </row>
    <row r="447" spans="1:13" ht="15" x14ac:dyDescent="0.2">
      <c r="A447" s="25"/>
      <c r="B447" s="144"/>
      <c r="C447" s="90"/>
      <c r="D447" s="138"/>
      <c r="E447" s="116"/>
      <c r="F447" s="90"/>
      <c r="G447" s="90"/>
      <c r="J447" s="25"/>
      <c r="K447" s="25"/>
      <c r="L447" s="25"/>
      <c r="M447" s="25"/>
    </row>
    <row r="448" spans="1:13" ht="15" x14ac:dyDescent="0.2">
      <c r="A448" s="25"/>
      <c r="B448" s="144"/>
      <c r="C448" s="95" t="s">
        <v>252</v>
      </c>
      <c r="D448" s="87">
        <v>429234.02500000002</v>
      </c>
      <c r="E448" s="155">
        <v>4983180.38</v>
      </c>
      <c r="F448" s="90"/>
      <c r="G448" s="90"/>
      <c r="J448" s="25"/>
      <c r="K448" s="25"/>
      <c r="L448" s="25"/>
      <c r="M448" s="25"/>
    </row>
    <row r="449" spans="1:13" ht="15" x14ac:dyDescent="0.2">
      <c r="A449" s="25"/>
      <c r="B449" s="144"/>
      <c r="C449" s="90"/>
      <c r="D449" s="40"/>
      <c r="E449" s="40"/>
      <c r="F449" s="89"/>
      <c r="G449" s="90"/>
      <c r="J449" s="25"/>
      <c r="K449" s="25"/>
      <c r="L449" s="25"/>
      <c r="M449" s="25"/>
    </row>
    <row r="450" spans="1:13" ht="15" x14ac:dyDescent="0.2">
      <c r="A450" s="32"/>
      <c r="B450" s="144"/>
      <c r="C450" s="119" t="s">
        <v>158</v>
      </c>
      <c r="D450" s="51">
        <f>D417+D446+D448</f>
        <v>849168.19000000006</v>
      </c>
      <c r="E450" s="52">
        <f>E417+E446+E448</f>
        <v>12273966.499999989</v>
      </c>
      <c r="F450" s="114">
        <f>ROUND(E450/D450,5)</f>
        <v>14.45411</v>
      </c>
      <c r="G450" s="25"/>
      <c r="J450" s="25"/>
      <c r="K450" s="25"/>
      <c r="L450" s="25"/>
      <c r="M450" s="25"/>
    </row>
    <row r="451" spans="1:13" ht="15" x14ac:dyDescent="0.2">
      <c r="A451" s="32"/>
      <c r="B451" s="144"/>
      <c r="C451" s="98" t="s">
        <v>189</v>
      </c>
      <c r="D451" s="25"/>
      <c r="E451" s="32">
        <f>+H458</f>
        <v>0</v>
      </c>
      <c r="F451" s="147"/>
      <c r="G451" s="90"/>
      <c r="H451" s="25" t="s">
        <v>253</v>
      </c>
      <c r="J451" s="25"/>
      <c r="K451" s="25"/>
      <c r="L451" s="25"/>
      <c r="M451" s="25"/>
    </row>
    <row r="452" spans="1:13" ht="15.75" x14ac:dyDescent="0.25">
      <c r="A452" s="25"/>
      <c r="B452" s="25"/>
      <c r="C452" s="92" t="s">
        <v>162</v>
      </c>
      <c r="D452" s="90"/>
      <c r="E452" s="40"/>
      <c r="F452" s="89"/>
      <c r="G452" s="90"/>
      <c r="H452" s="90" t="s">
        <v>161</v>
      </c>
      <c r="J452" s="25"/>
      <c r="K452" s="25"/>
      <c r="L452" s="25"/>
      <c r="M452" s="25"/>
    </row>
    <row r="453" spans="1:13" ht="15" x14ac:dyDescent="0.2">
      <c r="A453" s="25" t="s">
        <v>254</v>
      </c>
      <c r="B453" s="25"/>
      <c r="C453" s="119" t="s">
        <v>167</v>
      </c>
      <c r="D453" s="87">
        <f>-47102.4+46980</f>
        <v>-122.40000000000146</v>
      </c>
      <c r="E453" s="57">
        <f>-821634.01+819147.52</f>
        <v>-2486.4899999999907</v>
      </c>
      <c r="F453" s="89"/>
      <c r="G453" s="174"/>
      <c r="H453" s="117">
        <v>0</v>
      </c>
      <c r="J453" s="24"/>
      <c r="K453" s="25"/>
      <c r="L453" s="25"/>
      <c r="M453" s="25"/>
    </row>
    <row r="454" spans="1:13" ht="15" x14ac:dyDescent="0.2">
      <c r="A454" s="25" t="s">
        <v>255</v>
      </c>
      <c r="B454" s="27"/>
      <c r="C454" s="122" t="s">
        <v>169</v>
      </c>
      <c r="D454" s="87">
        <v>0</v>
      </c>
      <c r="E454" s="57">
        <v>0</v>
      </c>
      <c r="F454" s="89"/>
      <c r="G454" s="90"/>
      <c r="H454" s="117">
        <v>0</v>
      </c>
      <c r="J454" s="24"/>
      <c r="K454" s="25"/>
      <c r="L454" s="25"/>
      <c r="M454" s="25"/>
    </row>
    <row r="455" spans="1:13" ht="15" x14ac:dyDescent="0.2">
      <c r="A455" s="25" t="s">
        <v>256</v>
      </c>
      <c r="B455" s="27"/>
      <c r="C455" s="119" t="s">
        <v>193</v>
      </c>
      <c r="D455" s="87">
        <v>0</v>
      </c>
      <c r="E455" s="57">
        <v>0</v>
      </c>
      <c r="F455" s="90"/>
      <c r="G455" s="90"/>
      <c r="H455" s="117">
        <v>0</v>
      </c>
      <c r="J455" s="25"/>
      <c r="K455" s="25"/>
      <c r="L455" s="25"/>
      <c r="M455" s="25"/>
    </row>
    <row r="456" spans="1:13" ht="15" x14ac:dyDescent="0.2">
      <c r="A456" s="25"/>
      <c r="B456" s="25"/>
      <c r="C456" s="119" t="s">
        <v>170</v>
      </c>
      <c r="D456" s="87">
        <v>51377.144</v>
      </c>
      <c r="E456" s="32">
        <f>ROUND(+D456*F450,2)</f>
        <v>742610.89</v>
      </c>
      <c r="F456" s="40"/>
      <c r="G456" s="174"/>
      <c r="H456" s="117">
        <v>0</v>
      </c>
      <c r="J456" s="25"/>
      <c r="K456" s="25"/>
      <c r="L456" s="25"/>
      <c r="M456" s="25"/>
    </row>
    <row r="457" spans="1:13" ht="15" x14ac:dyDescent="0.2">
      <c r="A457" s="25"/>
      <c r="B457" s="25"/>
      <c r="C457" s="113" t="s">
        <v>171</v>
      </c>
      <c r="D457" s="51">
        <f>SUM(D453:D456)</f>
        <v>51254.743999999999</v>
      </c>
      <c r="E457" s="52">
        <f>SUM(E453:E456)</f>
        <v>740124.4</v>
      </c>
      <c r="F457" s="40"/>
      <c r="G457" s="174"/>
      <c r="H457" s="123">
        <v>0</v>
      </c>
      <c r="J457" s="25"/>
      <c r="K457" s="25"/>
      <c r="L457" s="25"/>
      <c r="M457" s="25"/>
    </row>
    <row r="458" spans="1:13" ht="15.75" thickBot="1" x14ac:dyDescent="0.25">
      <c r="A458" s="25"/>
      <c r="B458" s="25"/>
      <c r="C458" s="90"/>
      <c r="D458" s="127"/>
      <c r="E458" s="128"/>
      <c r="F458" s="40"/>
      <c r="G458" s="174"/>
      <c r="H458" s="129">
        <f>SUM(H453:H457)</f>
        <v>0</v>
      </c>
      <c r="J458" s="25"/>
      <c r="K458" s="25"/>
      <c r="L458" s="25"/>
      <c r="M458" s="25"/>
    </row>
    <row r="459" spans="1:13" ht="15.75" thickTop="1" x14ac:dyDescent="0.2">
      <c r="A459" s="25" t="s">
        <v>257</v>
      </c>
      <c r="B459" s="25"/>
      <c r="C459" s="119" t="s">
        <v>167</v>
      </c>
      <c r="D459" s="87">
        <f>-47130.3479999999+47380</f>
        <v>249.65200000009645</v>
      </c>
      <c r="E459" s="57">
        <f>-822121.52+826121.97</f>
        <v>4000.4499999999534</v>
      </c>
      <c r="F459" s="40"/>
      <c r="G459" s="174"/>
      <c r="J459" s="25"/>
      <c r="K459" s="25"/>
      <c r="L459" s="25"/>
      <c r="M459" s="25"/>
    </row>
    <row r="460" spans="1:13" ht="15" x14ac:dyDescent="0.2">
      <c r="A460" s="25" t="s">
        <v>258</v>
      </c>
      <c r="B460" s="25"/>
      <c r="C460" s="122" t="s">
        <v>169</v>
      </c>
      <c r="D460" s="87">
        <v>0</v>
      </c>
      <c r="E460" s="57">
        <v>0</v>
      </c>
      <c r="F460" s="40"/>
      <c r="G460" s="90"/>
      <c r="J460" s="25"/>
      <c r="K460" s="25"/>
      <c r="L460" s="25"/>
      <c r="M460" s="25"/>
    </row>
    <row r="461" spans="1:13" ht="15" x14ac:dyDescent="0.2">
      <c r="A461" s="25" t="s">
        <v>259</v>
      </c>
      <c r="B461" s="25"/>
      <c r="C461" s="119" t="s">
        <v>193</v>
      </c>
      <c r="D461" s="87">
        <v>0</v>
      </c>
      <c r="E461" s="57">
        <v>0</v>
      </c>
      <c r="F461" s="90"/>
      <c r="G461" s="90"/>
      <c r="J461" s="25"/>
      <c r="K461" s="25"/>
      <c r="L461" s="25"/>
      <c r="M461" s="25"/>
    </row>
    <row r="462" spans="1:13" ht="15" x14ac:dyDescent="0.2">
      <c r="A462" s="25"/>
      <c r="B462" s="25"/>
      <c r="C462" s="119" t="s">
        <v>170</v>
      </c>
      <c r="D462" s="87">
        <v>45144.133000000002</v>
      </c>
      <c r="E462" s="32">
        <f>ROUND(+D462*F450,2)</f>
        <v>652518.26</v>
      </c>
      <c r="F462" s="40"/>
      <c r="G462" s="40"/>
      <c r="J462" s="25"/>
      <c r="K462" s="25"/>
      <c r="L462" s="25"/>
      <c r="M462" s="25"/>
    </row>
    <row r="463" spans="1:13" ht="15" x14ac:dyDescent="0.2">
      <c r="A463" s="25"/>
      <c r="B463" s="25"/>
      <c r="C463" s="113" t="s">
        <v>175</v>
      </c>
      <c r="D463" s="51">
        <f>SUM(D459:D462)</f>
        <v>45393.785000000098</v>
      </c>
      <c r="E463" s="52">
        <f>SUM(E459:E462)</f>
        <v>656518.71</v>
      </c>
      <c r="F463" s="40"/>
      <c r="G463" s="90"/>
      <c r="J463" s="25"/>
      <c r="K463" s="25"/>
      <c r="L463" s="25"/>
      <c r="M463" s="25"/>
    </row>
    <row r="464" spans="1:13" ht="15" x14ac:dyDescent="0.2">
      <c r="A464" s="25"/>
      <c r="B464" s="25"/>
      <c r="C464" s="90"/>
      <c r="D464" s="127"/>
      <c r="E464" s="128"/>
      <c r="F464" s="40"/>
      <c r="G464" s="90"/>
      <c r="J464" s="25"/>
      <c r="K464" s="25"/>
      <c r="L464" s="25"/>
      <c r="M464" s="25"/>
    </row>
    <row r="465" spans="1:13" ht="15" x14ac:dyDescent="0.2">
      <c r="A465" s="25" t="s">
        <v>260</v>
      </c>
      <c r="B465" s="25"/>
      <c r="C465" s="119" t="s">
        <v>167</v>
      </c>
      <c r="D465" s="87">
        <f>-88464.095+89700</f>
        <v>1235.9049999999988</v>
      </c>
      <c r="E465" s="57">
        <f>-1543129.63+1564017.27</f>
        <v>20887.64000000013</v>
      </c>
      <c r="F465" s="40"/>
      <c r="G465" s="90"/>
      <c r="J465" s="25"/>
      <c r="K465" s="25"/>
      <c r="L465" s="25"/>
      <c r="M465" s="25"/>
    </row>
    <row r="466" spans="1:13" ht="15" x14ac:dyDescent="0.2">
      <c r="A466" s="25" t="s">
        <v>261</v>
      </c>
      <c r="B466" s="25"/>
      <c r="C466" s="122" t="s">
        <v>169</v>
      </c>
      <c r="D466" s="87">
        <v>0</v>
      </c>
      <c r="E466" s="57">
        <v>0</v>
      </c>
      <c r="F466" s="40"/>
      <c r="G466" s="174"/>
      <c r="J466" s="25"/>
      <c r="K466" s="25"/>
      <c r="L466" s="25"/>
      <c r="M466" s="25"/>
    </row>
    <row r="467" spans="1:13" ht="15" x14ac:dyDescent="0.2">
      <c r="A467" s="25" t="s">
        <v>262</v>
      </c>
      <c r="B467" s="25"/>
      <c r="C467" s="119" t="s">
        <v>193</v>
      </c>
      <c r="D467" s="87">
        <v>0</v>
      </c>
      <c r="E467" s="57">
        <v>0</v>
      </c>
      <c r="F467" s="90"/>
      <c r="G467" s="174"/>
      <c r="J467" s="25"/>
      <c r="K467" s="25"/>
      <c r="L467" s="25"/>
      <c r="M467" s="25"/>
    </row>
    <row r="468" spans="1:13" ht="15" x14ac:dyDescent="0.2">
      <c r="A468" s="25"/>
      <c r="B468" s="25"/>
      <c r="C468" s="119" t="s">
        <v>170</v>
      </c>
      <c r="D468" s="87">
        <v>88778.85</v>
      </c>
      <c r="E468" s="32">
        <f>ROUND(+D468*F450,2)</f>
        <v>1283219.26</v>
      </c>
      <c r="F468" s="40"/>
      <c r="G468" s="174"/>
      <c r="J468" s="25"/>
      <c r="K468" s="25"/>
      <c r="L468" s="25"/>
      <c r="M468" s="25"/>
    </row>
    <row r="469" spans="1:13" ht="15" x14ac:dyDescent="0.2">
      <c r="A469" s="25"/>
      <c r="B469" s="25"/>
      <c r="C469" s="124" t="s">
        <v>263</v>
      </c>
      <c r="D469" s="51">
        <f>SUM(D465:D468)</f>
        <v>90014.755000000005</v>
      </c>
      <c r="E469" s="52">
        <f>SUM(E465:E468)</f>
        <v>1304106.9000000001</v>
      </c>
      <c r="F469" s="40"/>
      <c r="G469" s="90"/>
      <c r="J469" s="24"/>
      <c r="K469" s="25"/>
      <c r="L469" s="25"/>
      <c r="M469" s="25"/>
    </row>
    <row r="470" spans="1:13" ht="15" x14ac:dyDescent="0.2">
      <c r="A470" s="25"/>
      <c r="B470" s="25"/>
      <c r="C470" s="90"/>
      <c r="D470" s="127"/>
      <c r="E470" s="128"/>
      <c r="F470" s="40"/>
      <c r="G470" s="174"/>
      <c r="J470" s="24"/>
      <c r="K470" s="25"/>
      <c r="L470" s="25"/>
      <c r="M470" s="25"/>
    </row>
    <row r="471" spans="1:13" ht="15" x14ac:dyDescent="0.2">
      <c r="A471" s="25" t="s">
        <v>264</v>
      </c>
      <c r="B471" s="25"/>
      <c r="C471" s="119" t="s">
        <v>167</v>
      </c>
      <c r="D471" s="87">
        <f>-129332.293+129631</f>
        <v>298.70699999999488</v>
      </c>
      <c r="E471" s="57">
        <f>-2256016.91+2260257.79</f>
        <v>4240.8799999998882</v>
      </c>
      <c r="F471" s="40"/>
      <c r="G471" s="174"/>
      <c r="J471" s="25"/>
      <c r="K471" s="25"/>
      <c r="L471" s="25"/>
      <c r="M471" s="25"/>
    </row>
    <row r="472" spans="1:13" ht="15" x14ac:dyDescent="0.2">
      <c r="A472" s="25" t="s">
        <v>265</v>
      </c>
      <c r="B472" s="25"/>
      <c r="C472" s="122" t="s">
        <v>169</v>
      </c>
      <c r="D472" s="87">
        <v>0</v>
      </c>
      <c r="E472" s="57">
        <v>0</v>
      </c>
      <c r="F472" s="40"/>
      <c r="G472" s="90"/>
      <c r="J472" s="25"/>
      <c r="K472" s="25"/>
      <c r="L472" s="25"/>
      <c r="M472" s="25"/>
    </row>
    <row r="473" spans="1:13" ht="15" x14ac:dyDescent="0.2">
      <c r="A473" s="25" t="s">
        <v>266</v>
      </c>
      <c r="B473" s="25"/>
      <c r="C473" s="119" t="s">
        <v>193</v>
      </c>
      <c r="D473" s="87">
        <v>0</v>
      </c>
      <c r="E473" s="57">
        <v>0</v>
      </c>
      <c r="F473" s="90"/>
      <c r="G473" s="90"/>
      <c r="J473" s="25"/>
      <c r="K473" s="25"/>
      <c r="L473" s="25"/>
      <c r="M473" s="25"/>
    </row>
    <row r="474" spans="1:13" ht="15" x14ac:dyDescent="0.2">
      <c r="A474" s="32"/>
      <c r="B474" s="25"/>
      <c r="C474" s="119" t="s">
        <v>170</v>
      </c>
      <c r="D474" s="87">
        <v>136375.47899999999</v>
      </c>
      <c r="E474" s="32">
        <f>ROUND(+D474*F450,2)</f>
        <v>1971186.17</v>
      </c>
      <c r="F474" s="40"/>
      <c r="G474" s="90"/>
      <c r="J474" s="25"/>
      <c r="K474" s="25"/>
      <c r="L474" s="25"/>
      <c r="M474" s="25"/>
    </row>
    <row r="475" spans="1:13" ht="15" x14ac:dyDescent="0.2">
      <c r="A475" s="25"/>
      <c r="B475" s="25"/>
      <c r="C475" s="113" t="s">
        <v>267</v>
      </c>
      <c r="D475" s="51">
        <f>SUM(D471:D474)</f>
        <v>136674.18599999999</v>
      </c>
      <c r="E475" s="52">
        <f>SUM(E471:E474)</f>
        <v>1975427.0499999998</v>
      </c>
      <c r="F475" s="89"/>
      <c r="G475" s="90"/>
      <c r="J475" s="25"/>
      <c r="K475" s="25"/>
      <c r="L475" s="25"/>
      <c r="M475" s="25"/>
    </row>
    <row r="476" spans="1:13" ht="15" x14ac:dyDescent="0.2">
      <c r="A476" s="25"/>
      <c r="B476" s="25"/>
      <c r="C476" s="90"/>
      <c r="D476" s="127"/>
      <c r="E476" s="128"/>
      <c r="F476" s="89"/>
      <c r="G476" s="90"/>
      <c r="J476" s="25"/>
      <c r="K476" s="25"/>
      <c r="L476" s="25"/>
      <c r="M476" s="25"/>
    </row>
    <row r="477" spans="1:13" ht="15" x14ac:dyDescent="0.2">
      <c r="A477" s="25"/>
      <c r="B477" s="25"/>
      <c r="C477" s="119" t="s">
        <v>167</v>
      </c>
      <c r="D477" s="39">
        <f>ROUND(D453+D459+D465+D471,3)</f>
        <v>1661.864</v>
      </c>
      <c r="E477" s="40">
        <f>ROUND(E453+E459+E465+E471,3)</f>
        <v>26642.48</v>
      </c>
      <c r="F477" s="89"/>
      <c r="G477" s="174"/>
      <c r="J477" s="25"/>
      <c r="K477" s="25"/>
      <c r="L477" s="25"/>
      <c r="M477" s="25"/>
    </row>
    <row r="478" spans="1:13" ht="15" x14ac:dyDescent="0.2">
      <c r="A478" s="25"/>
      <c r="B478" s="25"/>
      <c r="C478" s="122" t="s">
        <v>169</v>
      </c>
      <c r="D478" s="39">
        <f>ROUND(D454+D460+D466+D472,3)</f>
        <v>0</v>
      </c>
      <c r="E478" s="40">
        <f>ROUND(E454+E460+E466+E472,2)</f>
        <v>0</v>
      </c>
      <c r="F478" s="89"/>
      <c r="G478" s="90"/>
      <c r="J478" s="25"/>
      <c r="K478" s="25"/>
      <c r="L478" s="25"/>
      <c r="M478" s="25"/>
    </row>
    <row r="479" spans="1:13" ht="15" x14ac:dyDescent="0.2">
      <c r="A479" s="25"/>
      <c r="B479" s="25"/>
      <c r="C479" s="119" t="s">
        <v>193</v>
      </c>
      <c r="D479" s="39">
        <f>ROUND(D455+D461+D467+D473,3)</f>
        <v>0</v>
      </c>
      <c r="E479" s="40">
        <f>E473+E467+E461+E455</f>
        <v>0</v>
      </c>
      <c r="F479" s="90"/>
      <c r="G479" s="90"/>
      <c r="J479" s="25"/>
      <c r="K479" s="25"/>
      <c r="L479" s="25"/>
      <c r="M479" s="25"/>
    </row>
    <row r="480" spans="1:13" ht="15" x14ac:dyDescent="0.2">
      <c r="A480" s="25"/>
      <c r="B480" s="25"/>
      <c r="C480" s="119" t="s">
        <v>176</v>
      </c>
      <c r="D480" s="36">
        <f>ROUND(D456+D462+D468+D474,3)</f>
        <v>321675.60600000003</v>
      </c>
      <c r="E480" s="32">
        <f>ROUND(E456+E462+E468+E474,2)</f>
        <v>4649534.58</v>
      </c>
      <c r="F480" s="89">
        <f>IF(E480=0,0,E480/D480)</f>
        <v>14.454109958216725</v>
      </c>
      <c r="G480" s="90"/>
      <c r="J480" s="25"/>
      <c r="K480" s="25"/>
      <c r="L480" s="25"/>
      <c r="M480" s="25"/>
    </row>
    <row r="481" spans="1:13" ht="15" x14ac:dyDescent="0.2">
      <c r="A481" s="25"/>
      <c r="B481" s="25"/>
      <c r="C481" s="95" t="s">
        <v>177</v>
      </c>
      <c r="D481" s="51">
        <f>SUM(D477:D480)</f>
        <v>323337.47000000003</v>
      </c>
      <c r="E481" s="52">
        <f>SUM(E477:E480)</f>
        <v>4676177.0600000005</v>
      </c>
      <c r="F481" s="89">
        <f>ROUND(E481/D481,5)</f>
        <v>14.46222</v>
      </c>
      <c r="G481" s="90"/>
      <c r="J481" s="25"/>
      <c r="K481" s="25"/>
      <c r="L481" s="25"/>
      <c r="M481" s="25"/>
    </row>
    <row r="482" spans="1:13" ht="15" x14ac:dyDescent="0.2">
      <c r="A482" s="32"/>
      <c r="B482" s="25"/>
      <c r="C482" s="90"/>
      <c r="D482" s="127"/>
      <c r="E482" s="180"/>
      <c r="F482" s="89"/>
      <c r="G482" s="90"/>
      <c r="J482" s="25"/>
      <c r="K482" s="25"/>
      <c r="L482" s="25"/>
      <c r="M482" s="25"/>
    </row>
    <row r="483" spans="1:13" ht="15.75" thickBot="1" x14ac:dyDescent="0.25">
      <c r="A483" s="32"/>
      <c r="B483" s="25"/>
      <c r="C483" s="25" t="s">
        <v>178</v>
      </c>
      <c r="D483" s="133">
        <f>D450-D481</f>
        <v>525830.72</v>
      </c>
      <c r="E483" s="134">
        <f>E450+E451-E481</f>
        <v>7597789.4399999883</v>
      </c>
      <c r="F483" s="89">
        <f>ROUND(E483/D483,5)</f>
        <v>14.449120000000001</v>
      </c>
      <c r="G483" s="181"/>
      <c r="J483" s="25"/>
      <c r="K483" s="25"/>
      <c r="L483" s="25"/>
      <c r="M483" s="25"/>
    </row>
    <row r="484" spans="1:13" ht="15.75" thickTop="1" x14ac:dyDescent="0.2">
      <c r="A484" s="32"/>
      <c r="B484" s="25"/>
      <c r="C484" s="25"/>
      <c r="D484" s="48"/>
      <c r="E484" s="182"/>
      <c r="F484" s="89"/>
      <c r="G484" s="181"/>
      <c r="J484" s="25"/>
      <c r="K484" s="25"/>
      <c r="L484" s="25"/>
      <c r="M484" s="25"/>
    </row>
    <row r="485" spans="1:13" ht="15" x14ac:dyDescent="0.2">
      <c r="A485" s="32"/>
      <c r="B485" s="70"/>
      <c r="C485" s="90" t="s">
        <v>268</v>
      </c>
      <c r="D485" s="135"/>
      <c r="E485" s="150"/>
      <c r="F485" s="90"/>
      <c r="G485" s="90"/>
      <c r="H485" s="70"/>
      <c r="J485" s="25"/>
      <c r="K485" s="25"/>
      <c r="L485" s="25"/>
      <c r="M485" s="25"/>
    </row>
    <row r="486" spans="1:13" ht="15" x14ac:dyDescent="0.2">
      <c r="A486" s="32"/>
      <c r="B486" s="24" t="s">
        <v>269</v>
      </c>
      <c r="C486" s="90"/>
      <c r="D486" s="90"/>
      <c r="E486" s="151"/>
      <c r="F486" s="90"/>
      <c r="G486" s="90"/>
      <c r="H486" s="24" t="s">
        <v>117</v>
      </c>
      <c r="J486" s="25"/>
      <c r="K486" s="25"/>
      <c r="L486" s="25"/>
      <c r="M486" s="25"/>
    </row>
    <row r="487" spans="1:13" ht="15.75" x14ac:dyDescent="0.25">
      <c r="A487" s="25"/>
      <c r="B487" s="25"/>
      <c r="C487" s="240" t="s">
        <v>270</v>
      </c>
      <c r="D487" s="240"/>
      <c r="E487" s="240"/>
      <c r="F487" s="240"/>
      <c r="G487" s="90"/>
      <c r="H487" s="25"/>
      <c r="I487" s="25"/>
      <c r="J487" s="25"/>
      <c r="K487" s="25"/>
      <c r="L487" s="25"/>
      <c r="M487" s="25"/>
    </row>
    <row r="488" spans="1:13" ht="15" x14ac:dyDescent="0.2">
      <c r="A488" s="25"/>
      <c r="B488" s="25"/>
      <c r="C488" s="90"/>
      <c r="D488" s="90"/>
      <c r="E488" s="90"/>
      <c r="F488" s="90"/>
      <c r="G488" s="113"/>
      <c r="H488" s="25"/>
      <c r="I488" s="25"/>
      <c r="J488" s="25"/>
      <c r="K488" s="25"/>
      <c r="L488" s="25"/>
      <c r="M488" s="25"/>
    </row>
    <row r="489" spans="1:13" ht="15" x14ac:dyDescent="0.2">
      <c r="A489" s="25"/>
      <c r="B489" s="25"/>
      <c r="C489" s="25" t="str">
        <f>+C116</f>
        <v>PRELIMINARY</v>
      </c>
      <c r="D489" s="119"/>
      <c r="E489" s="119" t="s">
        <v>138</v>
      </c>
      <c r="F489" s="153" t="str">
        <f>+C4</f>
        <v>AUGUST 2013</v>
      </c>
      <c r="G489" s="128"/>
      <c r="H489" s="25"/>
      <c r="I489" s="25"/>
      <c r="J489" s="25"/>
      <c r="K489" s="25"/>
      <c r="L489" s="25"/>
      <c r="M489" s="25"/>
    </row>
    <row r="490" spans="1:13" ht="15" x14ac:dyDescent="0.2">
      <c r="A490" s="25"/>
      <c r="B490" s="25"/>
      <c r="C490" s="90" t="s">
        <v>271</v>
      </c>
      <c r="D490" s="90"/>
      <c r="E490" s="90"/>
      <c r="F490" s="90"/>
      <c r="G490" s="174"/>
      <c r="H490" s="25"/>
      <c r="I490" s="25"/>
      <c r="J490" s="25"/>
      <c r="K490" s="25"/>
      <c r="L490" s="25"/>
      <c r="M490" s="25"/>
    </row>
    <row r="491" spans="1:13" ht="15" x14ac:dyDescent="0.2">
      <c r="A491" s="25"/>
      <c r="B491" s="25"/>
      <c r="C491" s="90"/>
      <c r="D491" s="90"/>
      <c r="E491" s="90"/>
      <c r="F491" s="90"/>
      <c r="G491" s="90"/>
      <c r="H491" s="25"/>
      <c r="I491" s="25"/>
      <c r="J491" s="25"/>
      <c r="K491" s="25"/>
      <c r="L491" s="25"/>
      <c r="M491" s="25"/>
    </row>
    <row r="492" spans="1:13" ht="15" x14ac:dyDescent="0.2">
      <c r="A492" s="25"/>
      <c r="B492" s="25"/>
      <c r="C492" s="90"/>
      <c r="D492" s="140" t="s">
        <v>140</v>
      </c>
      <c r="E492" s="140" t="s">
        <v>141</v>
      </c>
      <c r="F492" s="140" t="s">
        <v>142</v>
      </c>
      <c r="G492" s="40"/>
      <c r="H492" s="25"/>
      <c r="I492" s="25"/>
      <c r="J492" s="25"/>
      <c r="K492" s="25"/>
      <c r="L492" s="25"/>
      <c r="M492" s="25"/>
    </row>
    <row r="493" spans="1:13" ht="15" x14ac:dyDescent="0.2">
      <c r="A493" s="25"/>
      <c r="B493" s="25"/>
      <c r="C493" s="90"/>
      <c r="D493" s="128"/>
      <c r="E493" s="128"/>
      <c r="F493" s="128"/>
      <c r="G493" s="174"/>
      <c r="H493" s="25"/>
      <c r="I493" s="25"/>
      <c r="J493" s="25"/>
      <c r="K493" s="25"/>
      <c r="L493" s="25"/>
      <c r="M493" s="25"/>
    </row>
    <row r="494" spans="1:13" ht="15" x14ac:dyDescent="0.2">
      <c r="A494" s="25"/>
      <c r="B494" s="25"/>
      <c r="C494" s="90" t="s">
        <v>143</v>
      </c>
      <c r="D494" s="87">
        <v>429234.02500000002</v>
      </c>
      <c r="E494" s="88">
        <v>4983180.3800000008</v>
      </c>
      <c r="F494" s="89">
        <v>11.60947</v>
      </c>
      <c r="G494" s="174"/>
      <c r="H494" s="25"/>
      <c r="I494" s="25"/>
      <c r="J494" s="25"/>
      <c r="K494" s="25"/>
      <c r="L494" s="25"/>
      <c r="M494" s="25"/>
    </row>
    <row r="495" spans="1:13" ht="15" x14ac:dyDescent="0.2">
      <c r="A495" s="25"/>
      <c r="B495" s="25"/>
      <c r="C495" s="90"/>
      <c r="D495" s="57"/>
      <c r="E495" s="57"/>
      <c r="F495" s="89"/>
      <c r="G495" s="174"/>
      <c r="H495" s="25"/>
      <c r="I495" s="25"/>
      <c r="J495" s="25"/>
      <c r="K495" s="25"/>
      <c r="L495" s="25"/>
      <c r="M495" s="25"/>
    </row>
    <row r="496" spans="1:13" ht="15" x14ac:dyDescent="0.2">
      <c r="A496" s="25"/>
      <c r="B496" s="25"/>
      <c r="C496" s="90"/>
      <c r="D496" s="93"/>
      <c r="E496" s="93"/>
      <c r="F496" s="89"/>
      <c r="G496" s="174"/>
      <c r="H496" s="25"/>
      <c r="I496" s="25"/>
      <c r="J496" s="25"/>
      <c r="K496" s="25"/>
      <c r="L496" s="25"/>
      <c r="M496" s="25"/>
    </row>
    <row r="497" spans="1:13" ht="15.75" x14ac:dyDescent="0.25">
      <c r="A497" s="32"/>
      <c r="B497" s="25"/>
      <c r="C497" s="92" t="s">
        <v>144</v>
      </c>
      <c r="D497" s="57"/>
      <c r="E497" s="57"/>
      <c r="F497" s="89"/>
      <c r="G497" s="174"/>
      <c r="H497" s="25"/>
      <c r="I497" s="25"/>
      <c r="J497" s="25"/>
      <c r="K497" s="25"/>
      <c r="L497" s="25"/>
      <c r="M497" s="25"/>
    </row>
    <row r="498" spans="1:13" ht="15" x14ac:dyDescent="0.2">
      <c r="A498" s="32"/>
      <c r="B498" s="25"/>
      <c r="C498" s="90"/>
      <c r="D498" s="57"/>
      <c r="E498" s="57"/>
      <c r="F498" s="89"/>
      <c r="G498" s="174"/>
      <c r="H498" s="25"/>
      <c r="I498" s="25"/>
      <c r="J498" s="25"/>
      <c r="K498" s="25"/>
      <c r="L498" s="25"/>
      <c r="M498" s="25"/>
    </row>
    <row r="499" spans="1:13" ht="15" x14ac:dyDescent="0.2">
      <c r="A499" s="32"/>
      <c r="B499" s="25"/>
      <c r="C499" s="90" t="s">
        <v>272</v>
      </c>
      <c r="D499" s="57">
        <v>0</v>
      </c>
      <c r="E499" s="57">
        <v>0</v>
      </c>
      <c r="F499" s="89" t="s">
        <v>146</v>
      </c>
      <c r="G499" s="174"/>
      <c r="H499" s="25"/>
      <c r="I499" s="25"/>
      <c r="J499" s="25"/>
      <c r="K499" s="25"/>
      <c r="L499" s="25"/>
      <c r="M499" s="25"/>
    </row>
    <row r="500" spans="1:13" ht="15" x14ac:dyDescent="0.2">
      <c r="A500" s="32"/>
      <c r="B500" s="25"/>
      <c r="C500" s="90"/>
      <c r="D500" s="57"/>
      <c r="E500" s="57"/>
      <c r="F500" s="89"/>
      <c r="G500" s="174"/>
      <c r="H500" s="25"/>
      <c r="I500" s="25"/>
      <c r="J500" s="25"/>
      <c r="K500" s="25"/>
      <c r="L500" s="25"/>
      <c r="M500" s="25"/>
    </row>
    <row r="501" spans="1:13" ht="15" x14ac:dyDescent="0.2">
      <c r="A501" s="32"/>
      <c r="B501" s="25"/>
      <c r="C501" s="90"/>
      <c r="D501" s="57"/>
      <c r="E501" s="57"/>
      <c r="F501" s="89"/>
      <c r="G501" s="174"/>
      <c r="H501" s="25"/>
      <c r="I501" s="25"/>
      <c r="J501" s="25"/>
      <c r="K501" s="25"/>
      <c r="L501" s="25"/>
      <c r="M501" s="25"/>
    </row>
    <row r="502" spans="1:13" ht="15" x14ac:dyDescent="0.2">
      <c r="A502" s="25"/>
      <c r="B502" s="25"/>
      <c r="C502" s="90"/>
      <c r="D502" s="57"/>
      <c r="E502" s="57"/>
      <c r="F502" s="89"/>
      <c r="G502" s="174"/>
      <c r="H502" s="25"/>
      <c r="I502" s="25"/>
      <c r="J502" s="25"/>
      <c r="K502" s="25"/>
      <c r="L502" s="25"/>
      <c r="M502" s="25"/>
    </row>
    <row r="503" spans="1:13" ht="15" x14ac:dyDescent="0.2">
      <c r="A503" s="25"/>
      <c r="B503" s="25"/>
      <c r="C503" s="90"/>
      <c r="D503" s="57"/>
      <c r="E503" s="57"/>
      <c r="F503" s="89"/>
      <c r="G503" s="174"/>
      <c r="H503" s="25"/>
      <c r="I503" s="25"/>
      <c r="J503" s="25"/>
      <c r="K503" s="25"/>
      <c r="L503" s="25"/>
      <c r="M503" s="25"/>
    </row>
    <row r="504" spans="1:13" ht="15.75" x14ac:dyDescent="0.25">
      <c r="A504" s="25"/>
      <c r="B504" s="25"/>
      <c r="C504" s="102" t="s">
        <v>154</v>
      </c>
      <c r="D504" s="57"/>
      <c r="E504" s="57"/>
      <c r="F504" s="89"/>
      <c r="G504" s="174"/>
      <c r="H504" s="25"/>
      <c r="I504" s="25"/>
      <c r="J504" s="25"/>
      <c r="K504" s="25"/>
      <c r="L504" s="25"/>
      <c r="M504" s="25"/>
    </row>
    <row r="505" spans="1:13" ht="15" x14ac:dyDescent="0.2">
      <c r="A505" s="25"/>
      <c r="B505" s="25"/>
      <c r="C505" s="25"/>
      <c r="D505" s="93"/>
      <c r="E505" s="93"/>
      <c r="F505" s="25"/>
      <c r="G505" s="174"/>
      <c r="H505" s="25"/>
      <c r="I505" s="25"/>
      <c r="J505" s="25"/>
      <c r="K505" s="25"/>
      <c r="L505" s="25"/>
      <c r="M505" s="25"/>
    </row>
    <row r="506" spans="1:13" ht="15" x14ac:dyDescent="0.2">
      <c r="A506" s="25"/>
      <c r="B506" s="25"/>
      <c r="C506" s="90" t="s">
        <v>272</v>
      </c>
      <c r="D506" s="57">
        <v>0</v>
      </c>
      <c r="E506" s="57">
        <v>0</v>
      </c>
      <c r="F506" s="89" t="s">
        <v>146</v>
      </c>
      <c r="G506" s="90"/>
      <c r="H506" s="25"/>
      <c r="I506" s="25"/>
      <c r="J506" s="25"/>
      <c r="K506" s="25"/>
      <c r="L506" s="25"/>
      <c r="M506" s="25"/>
    </row>
    <row r="507" spans="1:13" ht="15" x14ac:dyDescent="0.2">
      <c r="A507" s="32"/>
      <c r="B507" s="25"/>
      <c r="C507" s="90"/>
      <c r="D507" s="57"/>
      <c r="E507" s="57"/>
      <c r="F507" s="89"/>
      <c r="G507" s="174"/>
      <c r="H507" s="25"/>
      <c r="I507" s="25"/>
      <c r="J507" s="25"/>
      <c r="K507" s="25"/>
      <c r="L507" s="25"/>
      <c r="M507" s="25"/>
    </row>
    <row r="508" spans="1:13" ht="15" x14ac:dyDescent="0.2">
      <c r="A508" s="32"/>
      <c r="B508" s="25"/>
      <c r="C508" s="90"/>
      <c r="D508" s="57"/>
      <c r="E508" s="57"/>
      <c r="F508" s="89"/>
      <c r="G508" s="90"/>
      <c r="H508" s="25"/>
      <c r="I508" s="25"/>
      <c r="J508" s="25"/>
      <c r="K508" s="25"/>
      <c r="L508" s="25"/>
      <c r="M508" s="25"/>
    </row>
    <row r="509" spans="1:13" ht="15" x14ac:dyDescent="0.2">
      <c r="A509" s="25"/>
      <c r="B509" s="25"/>
      <c r="C509" s="90"/>
      <c r="D509" s="40"/>
      <c r="E509" s="40"/>
      <c r="F509" s="89"/>
      <c r="G509" s="174"/>
      <c r="H509" s="25"/>
      <c r="I509" s="25"/>
      <c r="J509" s="25"/>
      <c r="K509" s="25"/>
      <c r="L509" s="25"/>
      <c r="M509" s="25"/>
    </row>
    <row r="510" spans="1:13" ht="15" x14ac:dyDescent="0.2">
      <c r="A510" s="25"/>
      <c r="B510" s="25"/>
      <c r="C510" s="90"/>
      <c r="D510" s="90"/>
      <c r="E510" s="90"/>
      <c r="F510" s="89"/>
      <c r="G510" s="90"/>
      <c r="H510" s="25"/>
      <c r="I510" s="25"/>
      <c r="J510" s="25"/>
      <c r="K510" s="25"/>
      <c r="L510" s="25"/>
      <c r="M510" s="25"/>
    </row>
    <row r="511" spans="1:13" ht="15" x14ac:dyDescent="0.2">
      <c r="A511" s="25"/>
      <c r="B511" s="25"/>
      <c r="C511" s="95" t="s">
        <v>157</v>
      </c>
      <c r="D511" s="183">
        <f>SUM(D499:D510)</f>
        <v>0</v>
      </c>
      <c r="E511" s="184">
        <f>SUM(E499:E510)</f>
        <v>0</v>
      </c>
      <c r="F511" s="37">
        <f>IF(E511=0,0,ROUND(E511/D511,5))</f>
        <v>0</v>
      </c>
      <c r="G511" s="174"/>
      <c r="H511" s="25"/>
      <c r="I511" s="25"/>
      <c r="J511" s="25"/>
      <c r="K511" s="25"/>
      <c r="L511" s="25"/>
      <c r="M511" s="25"/>
    </row>
    <row r="512" spans="1:13" ht="15" x14ac:dyDescent="0.2">
      <c r="A512" s="25"/>
      <c r="B512" s="25"/>
      <c r="C512" s="90"/>
      <c r="D512" s="185"/>
      <c r="E512" s="185"/>
      <c r="F512" s="89"/>
      <c r="G512" s="90"/>
      <c r="H512" s="25"/>
      <c r="I512" s="25"/>
      <c r="J512" s="25"/>
      <c r="K512" s="25"/>
      <c r="L512" s="25"/>
      <c r="M512" s="25"/>
    </row>
    <row r="513" spans="1:13" ht="15" x14ac:dyDescent="0.2">
      <c r="A513" s="25"/>
      <c r="B513" s="25"/>
      <c r="C513" s="119" t="s">
        <v>158</v>
      </c>
      <c r="D513" s="109">
        <f>D494+D511</f>
        <v>429234.02500000002</v>
      </c>
      <c r="E513" s="110">
        <f>E511+E494</f>
        <v>4983180.3800000008</v>
      </c>
      <c r="F513" s="114">
        <f>ROUND(E513/D513,5)</f>
        <v>11.60947</v>
      </c>
      <c r="G513" s="90"/>
      <c r="H513" s="25"/>
      <c r="I513" s="25"/>
      <c r="J513" s="25"/>
      <c r="K513" s="25"/>
      <c r="L513" s="25"/>
      <c r="M513" s="25"/>
    </row>
    <row r="514" spans="1:13" ht="15" x14ac:dyDescent="0.2">
      <c r="A514" s="25"/>
      <c r="B514" s="25"/>
      <c r="C514" s="90"/>
      <c r="D514" s="185"/>
      <c r="E514" s="185"/>
      <c r="F514" s="89"/>
      <c r="G514" s="90"/>
      <c r="H514" s="25"/>
      <c r="I514" s="25"/>
      <c r="J514" s="25"/>
      <c r="K514" s="25"/>
      <c r="L514" s="25"/>
      <c r="M514" s="25"/>
    </row>
    <row r="515" spans="1:13" ht="15" x14ac:dyDescent="0.2">
      <c r="A515" s="38"/>
      <c r="B515" s="25"/>
      <c r="C515" s="90"/>
      <c r="D515" s="40"/>
      <c r="E515" s="40"/>
      <c r="F515" s="89"/>
      <c r="G515" s="174"/>
      <c r="H515" s="25"/>
      <c r="I515" s="25"/>
      <c r="J515" s="25"/>
      <c r="K515" s="25"/>
      <c r="L515" s="25"/>
      <c r="M515" s="25"/>
    </row>
    <row r="516" spans="1:13" ht="15" x14ac:dyDescent="0.2">
      <c r="A516" s="25"/>
      <c r="B516" s="27"/>
      <c r="C516" s="90" t="s">
        <v>273</v>
      </c>
      <c r="D516" s="145">
        <v>429234.02500000002</v>
      </c>
      <c r="E516" s="155">
        <v>4983180.38</v>
      </c>
      <c r="F516" s="89"/>
      <c r="G516" s="90"/>
      <c r="H516" s="25"/>
      <c r="I516" s="25"/>
      <c r="J516" s="25"/>
      <c r="K516" s="25"/>
      <c r="L516" s="25"/>
      <c r="M516" s="25"/>
    </row>
    <row r="517" spans="1:13" ht="15" x14ac:dyDescent="0.2">
      <c r="A517" s="25"/>
      <c r="B517" s="27"/>
      <c r="C517" s="90"/>
      <c r="D517" s="40"/>
      <c r="E517" s="40"/>
      <c r="F517" s="89"/>
      <c r="G517" s="90"/>
      <c r="H517" s="25"/>
      <c r="I517" s="25"/>
      <c r="J517" s="25"/>
      <c r="K517" s="25"/>
      <c r="L517" s="25"/>
      <c r="M517" s="25"/>
    </row>
    <row r="518" spans="1:13" ht="15" x14ac:dyDescent="0.2">
      <c r="A518" s="25"/>
      <c r="B518" s="25"/>
      <c r="C518" s="90"/>
      <c r="D518" s="90"/>
      <c r="E518" s="90"/>
      <c r="F518" s="89"/>
      <c r="G518" s="90"/>
      <c r="H518" s="25"/>
      <c r="I518" s="25"/>
      <c r="J518" s="25"/>
      <c r="K518" s="25"/>
      <c r="L518" s="25"/>
      <c r="M518" s="25"/>
    </row>
    <row r="519" spans="1:13" ht="15" x14ac:dyDescent="0.2">
      <c r="A519" s="25"/>
      <c r="B519" s="25"/>
      <c r="C519" s="25"/>
      <c r="D519" s="32"/>
      <c r="E519" s="32"/>
      <c r="F519" s="37"/>
      <c r="G519" s="90"/>
      <c r="H519" s="25"/>
      <c r="I519" s="25"/>
      <c r="J519" s="25"/>
      <c r="K519" s="25"/>
      <c r="L519" s="25"/>
      <c r="M519" s="25"/>
    </row>
    <row r="520" spans="1:13" ht="15" x14ac:dyDescent="0.2">
      <c r="A520" s="25"/>
      <c r="B520" s="25"/>
      <c r="C520" s="25"/>
      <c r="D520" s="32"/>
      <c r="E520" s="32"/>
      <c r="F520" s="37"/>
      <c r="G520" s="90"/>
      <c r="H520" s="25"/>
      <c r="I520" s="25"/>
      <c r="J520" s="25"/>
      <c r="K520" s="25"/>
      <c r="L520" s="25"/>
      <c r="M520" s="25"/>
    </row>
    <row r="521" spans="1:13" ht="15.75" thickBot="1" x14ac:dyDescent="0.25">
      <c r="A521" s="25"/>
      <c r="B521" s="25"/>
      <c r="C521" s="25" t="s">
        <v>178</v>
      </c>
      <c r="D521" s="76">
        <f>D513-D516</f>
        <v>0</v>
      </c>
      <c r="E521" s="186">
        <f>E513-E516</f>
        <v>0</v>
      </c>
      <c r="F521" s="37">
        <f>IF(E521=0,0,ROUND(E521/D521,5))</f>
        <v>0</v>
      </c>
      <c r="G521" s="90"/>
      <c r="H521" s="25"/>
      <c r="I521" s="25"/>
      <c r="J521" s="25"/>
      <c r="K521" s="25"/>
      <c r="L521" s="25"/>
      <c r="M521" s="25"/>
    </row>
    <row r="522" spans="1:13" ht="15.75" thickTop="1" x14ac:dyDescent="0.2">
      <c r="A522" s="25"/>
      <c r="B522" s="44"/>
      <c r="C522" s="90"/>
      <c r="D522" s="128"/>
      <c r="E522" s="128"/>
      <c r="F522" s="90"/>
      <c r="G522" s="90"/>
      <c r="H522" s="25"/>
      <c r="I522" s="25"/>
      <c r="J522" s="25"/>
      <c r="K522" s="25"/>
      <c r="L522" s="25"/>
      <c r="M522" s="25"/>
    </row>
    <row r="523" spans="1:13" ht="15" x14ac:dyDescent="0.2">
      <c r="A523" s="25"/>
      <c r="B523" s="25"/>
      <c r="C523" s="90"/>
      <c r="D523" s="90"/>
      <c r="E523" s="90"/>
      <c r="F523" s="90"/>
      <c r="G523" s="90"/>
      <c r="H523" s="25"/>
      <c r="I523" s="25"/>
      <c r="J523" s="25"/>
      <c r="K523" s="25"/>
      <c r="L523" s="25"/>
      <c r="M523" s="25"/>
    </row>
    <row r="524" spans="1:13" ht="15" x14ac:dyDescent="0.2">
      <c r="B524" s="24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</row>
    <row r="525" spans="1:13" ht="15" x14ac:dyDescent="0.2">
      <c r="B525" s="24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</row>
    <row r="526" spans="1:13" ht="15" x14ac:dyDescent="0.2">
      <c r="B526" s="24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</row>
    <row r="527" spans="1:13" ht="15" x14ac:dyDescent="0.2">
      <c r="B527" s="70"/>
      <c r="C527" s="25"/>
      <c r="D527" s="25"/>
      <c r="E527" s="25"/>
      <c r="F527" s="25"/>
      <c r="G527" s="25"/>
      <c r="H527" s="70"/>
      <c r="I527" s="25"/>
      <c r="J527" s="25"/>
      <c r="K527" s="25"/>
      <c r="L527" s="25"/>
      <c r="M527" s="25"/>
    </row>
    <row r="528" spans="1:13" ht="15" x14ac:dyDescent="0.2">
      <c r="B528" s="24" t="s">
        <v>274</v>
      </c>
      <c r="C528" s="25"/>
      <c r="D528" s="25"/>
      <c r="E528" s="25"/>
      <c r="F528" s="25"/>
      <c r="G528" s="25"/>
      <c r="H528" s="24" t="s">
        <v>117</v>
      </c>
      <c r="I528" s="25"/>
      <c r="J528" s="25"/>
      <c r="K528" s="25"/>
      <c r="L528" s="25"/>
      <c r="M528" s="25"/>
    </row>
    <row r="529" spans="1:13" ht="15.75" x14ac:dyDescent="0.25">
      <c r="A529" s="25"/>
      <c r="B529" s="25"/>
      <c r="C529" s="240" t="s">
        <v>275</v>
      </c>
      <c r="D529" s="240"/>
      <c r="E529" s="240"/>
      <c r="F529" s="240"/>
      <c r="G529" s="25"/>
      <c r="H529" s="25"/>
      <c r="I529" s="25"/>
      <c r="J529" s="25"/>
      <c r="K529" s="25"/>
      <c r="L529" s="25"/>
      <c r="M529" s="25"/>
    </row>
    <row r="530" spans="1:13" ht="15" x14ac:dyDescent="0.2">
      <c r="A530" s="25"/>
      <c r="B530" s="25"/>
      <c r="C530" s="90"/>
      <c r="D530" s="90"/>
      <c r="E530" s="90"/>
      <c r="F530" s="90"/>
      <c r="G530" s="25"/>
      <c r="H530" s="25"/>
      <c r="I530" s="25"/>
      <c r="J530" s="25"/>
      <c r="K530" s="25"/>
      <c r="L530" s="25"/>
      <c r="M530" s="25"/>
    </row>
    <row r="531" spans="1:13" ht="15" x14ac:dyDescent="0.2">
      <c r="A531" s="25"/>
      <c r="B531" s="25"/>
      <c r="C531" s="25" t="str">
        <f>+C116</f>
        <v>PRELIMINARY</v>
      </c>
      <c r="D531" s="90"/>
      <c r="E531" s="119" t="s">
        <v>182</v>
      </c>
      <c r="F531" s="90" t="str">
        <f>C4</f>
        <v>AUGUST 2013</v>
      </c>
      <c r="G531" s="25"/>
      <c r="H531" s="25"/>
      <c r="I531" s="25"/>
      <c r="J531" s="25"/>
      <c r="K531" s="25"/>
      <c r="L531" s="25"/>
      <c r="M531" s="25"/>
    </row>
    <row r="532" spans="1:13" ht="15" x14ac:dyDescent="0.2">
      <c r="A532" s="25"/>
      <c r="B532" s="25"/>
      <c r="C532" s="90" t="s">
        <v>276</v>
      </c>
      <c r="D532" s="90"/>
      <c r="E532" s="90"/>
      <c r="F532" s="90"/>
      <c r="G532" s="25"/>
      <c r="H532" s="25"/>
      <c r="I532" s="25"/>
      <c r="J532" s="25"/>
      <c r="K532" s="25"/>
      <c r="L532" s="25"/>
      <c r="M532" s="25"/>
    </row>
    <row r="533" spans="1:13" ht="15" x14ac:dyDescent="0.2">
      <c r="A533" s="25"/>
      <c r="B533" s="25"/>
      <c r="C533" s="90"/>
      <c r="D533" s="90"/>
      <c r="E533" s="90"/>
      <c r="F533" s="90"/>
      <c r="G533" s="25"/>
      <c r="H533" s="25"/>
      <c r="I533" s="25"/>
      <c r="J533" s="25"/>
      <c r="K533" s="25"/>
      <c r="L533" s="25"/>
      <c r="M533" s="25"/>
    </row>
    <row r="534" spans="1:13" ht="15" x14ac:dyDescent="0.2">
      <c r="A534" s="25"/>
      <c r="B534" s="25"/>
      <c r="C534" s="90"/>
      <c r="D534" s="140" t="s">
        <v>140</v>
      </c>
      <c r="E534" s="140" t="s">
        <v>141</v>
      </c>
      <c r="F534" s="140" t="s">
        <v>142</v>
      </c>
      <c r="G534" s="25"/>
      <c r="H534" s="25"/>
      <c r="I534" s="25"/>
      <c r="J534" s="25"/>
      <c r="K534" s="25"/>
      <c r="L534" s="25"/>
      <c r="M534" s="25"/>
    </row>
    <row r="535" spans="1:13" ht="15" x14ac:dyDescent="0.2">
      <c r="A535" s="25"/>
      <c r="B535" s="25"/>
      <c r="C535" s="90"/>
      <c r="D535" s="128"/>
      <c r="E535" s="128"/>
      <c r="F535" s="128"/>
      <c r="G535" s="25"/>
      <c r="H535" s="25"/>
      <c r="I535" s="25"/>
      <c r="J535" s="25"/>
      <c r="K535" s="25"/>
      <c r="L535" s="25"/>
      <c r="M535" s="25"/>
    </row>
    <row r="536" spans="1:13" ht="15" x14ac:dyDescent="0.2">
      <c r="A536" s="25"/>
      <c r="B536" s="25"/>
      <c r="C536" s="33" t="s">
        <v>143</v>
      </c>
      <c r="D536" s="87">
        <v>50836.995999999985</v>
      </c>
      <c r="E536" s="88">
        <v>2557207.5799999996</v>
      </c>
      <c r="F536" s="89">
        <v>50.302100000000003</v>
      </c>
      <c r="G536" s="25"/>
      <c r="H536" s="25"/>
      <c r="I536" s="25"/>
      <c r="J536" s="25"/>
      <c r="K536" s="25"/>
      <c r="L536" s="25"/>
      <c r="M536" s="25"/>
    </row>
    <row r="537" spans="1:13" ht="15" x14ac:dyDescent="0.2">
      <c r="A537" s="25"/>
      <c r="B537" s="25"/>
      <c r="C537" s="33"/>
      <c r="D537" s="87"/>
      <c r="E537" s="88"/>
      <c r="F537" s="89"/>
      <c r="G537" s="25"/>
      <c r="H537" s="25"/>
      <c r="I537" s="25"/>
      <c r="J537" s="25"/>
      <c r="K537" s="25"/>
      <c r="L537" s="25"/>
      <c r="M537" s="25"/>
    </row>
    <row r="538" spans="1:13" ht="15.75" x14ac:dyDescent="0.25">
      <c r="A538" s="25"/>
      <c r="B538" s="25"/>
      <c r="C538" s="92" t="s">
        <v>144</v>
      </c>
      <c r="D538" s="93"/>
      <c r="E538" s="93"/>
      <c r="F538" s="89"/>
      <c r="G538" s="25"/>
      <c r="H538" s="25"/>
      <c r="I538" s="25"/>
      <c r="J538" s="25"/>
      <c r="K538" s="25"/>
      <c r="L538" s="25"/>
      <c r="M538" s="25"/>
    </row>
    <row r="539" spans="1:13" ht="15" x14ac:dyDescent="0.2">
      <c r="A539" s="25"/>
      <c r="B539" s="25">
        <v>75002</v>
      </c>
      <c r="C539" s="33" t="s">
        <v>277</v>
      </c>
      <c r="D539" s="87">
        <v>21091.585999999999</v>
      </c>
      <c r="E539" s="57">
        <v>941022.21</v>
      </c>
      <c r="F539" s="89" t="s">
        <v>155</v>
      </c>
      <c r="G539" s="25"/>
      <c r="H539" s="25"/>
      <c r="I539" s="25"/>
      <c r="J539" s="25"/>
      <c r="K539" s="25"/>
      <c r="L539" s="25"/>
      <c r="M539" s="25"/>
    </row>
    <row r="540" spans="1:13" ht="15" x14ac:dyDescent="0.2">
      <c r="A540" s="25"/>
      <c r="B540" s="25">
        <v>75002</v>
      </c>
      <c r="C540" s="33"/>
      <c r="D540" s="87"/>
      <c r="E540" s="57">
        <v>108579.49</v>
      </c>
      <c r="F540" s="89" t="s">
        <v>156</v>
      </c>
      <c r="G540" s="25"/>
      <c r="H540" s="25"/>
      <c r="I540" s="25"/>
      <c r="J540" s="25"/>
      <c r="K540" s="25"/>
      <c r="L540" s="25"/>
      <c r="M540" s="25"/>
    </row>
    <row r="541" spans="1:13" ht="15" x14ac:dyDescent="0.2">
      <c r="A541" s="25"/>
      <c r="B541" s="25">
        <v>75002</v>
      </c>
      <c r="C541" s="33" t="s">
        <v>278</v>
      </c>
      <c r="D541" s="87"/>
      <c r="E541" s="57">
        <v>8399.41</v>
      </c>
      <c r="F541" s="89" t="s">
        <v>156</v>
      </c>
      <c r="G541" s="25"/>
      <c r="H541" s="25"/>
      <c r="I541" s="25"/>
      <c r="J541" s="25"/>
      <c r="K541" s="25"/>
      <c r="L541" s="25"/>
      <c r="M541" s="25"/>
    </row>
    <row r="542" spans="1:13" ht="15" x14ac:dyDescent="0.2">
      <c r="A542" s="24"/>
      <c r="B542" s="25">
        <v>75004</v>
      </c>
      <c r="C542" s="63" t="s">
        <v>279</v>
      </c>
      <c r="D542" s="87">
        <v>0</v>
      </c>
      <c r="E542" s="57">
        <v>0</v>
      </c>
      <c r="F542" s="89" t="s">
        <v>155</v>
      </c>
      <c r="G542" s="25"/>
      <c r="H542" s="25"/>
      <c r="I542" s="25"/>
      <c r="J542" s="25"/>
      <c r="K542" s="25"/>
      <c r="L542" s="25"/>
      <c r="M542" s="25"/>
    </row>
    <row r="543" spans="1:13" ht="15" x14ac:dyDescent="0.2">
      <c r="A543" s="25"/>
      <c r="B543" s="25">
        <v>75004</v>
      </c>
      <c r="C543" s="33"/>
      <c r="D543" s="87"/>
      <c r="E543" s="57">
        <v>0</v>
      </c>
      <c r="F543" s="89" t="s">
        <v>156</v>
      </c>
      <c r="G543" s="25"/>
      <c r="H543" s="25"/>
      <c r="I543" s="25"/>
      <c r="J543" s="25"/>
      <c r="K543" s="25"/>
      <c r="L543" s="25"/>
      <c r="M543" s="25"/>
    </row>
    <row r="544" spans="1:13" ht="15" x14ac:dyDescent="0.2">
      <c r="A544" s="25"/>
      <c r="B544" s="25"/>
      <c r="C544" s="33"/>
      <c r="D544" s="87"/>
      <c r="E544" s="57"/>
      <c r="F544" s="89"/>
      <c r="G544" s="25"/>
      <c r="H544" s="25"/>
      <c r="I544" s="25"/>
      <c r="J544" s="25"/>
      <c r="K544" s="25"/>
      <c r="L544" s="25"/>
      <c r="M544" s="25"/>
    </row>
    <row r="545" spans="1:13" ht="15" x14ac:dyDescent="0.2">
      <c r="A545" s="25"/>
      <c r="B545" s="25"/>
      <c r="C545" s="33"/>
      <c r="D545" s="87"/>
      <c r="E545" s="57"/>
      <c r="F545" s="89"/>
      <c r="G545" s="25"/>
      <c r="H545" s="25"/>
      <c r="I545" s="25"/>
      <c r="J545" s="25"/>
      <c r="K545" s="25"/>
      <c r="L545" s="25"/>
      <c r="M545" s="25"/>
    </row>
    <row r="546" spans="1:13" ht="15" x14ac:dyDescent="0.2">
      <c r="A546" s="25"/>
      <c r="B546" s="25">
        <v>75002</v>
      </c>
      <c r="C546" s="33" t="s">
        <v>280</v>
      </c>
      <c r="D546" s="24"/>
      <c r="E546" s="57">
        <v>-38.880000000000003</v>
      </c>
      <c r="F546" s="89" t="s">
        <v>155</v>
      </c>
      <c r="G546" s="25"/>
      <c r="H546" s="25"/>
      <c r="I546" s="25"/>
      <c r="J546" s="25"/>
      <c r="K546" s="25"/>
      <c r="L546" s="25"/>
      <c r="M546" s="25"/>
    </row>
    <row r="547" spans="1:13" ht="15" x14ac:dyDescent="0.2">
      <c r="A547" s="25"/>
      <c r="B547" s="25"/>
      <c r="C547" s="33"/>
      <c r="D547" s="99"/>
      <c r="E547" s="64"/>
      <c r="F547" s="89"/>
      <c r="G547" s="25"/>
      <c r="H547" s="25"/>
      <c r="I547" s="25"/>
      <c r="J547" s="25"/>
      <c r="K547" s="25"/>
      <c r="L547" s="25"/>
      <c r="M547" s="25"/>
    </row>
    <row r="548" spans="1:13" ht="15" x14ac:dyDescent="0.2">
      <c r="A548" s="25"/>
      <c r="B548" s="25"/>
      <c r="C548" s="63" t="s">
        <v>153</v>
      </c>
      <c r="D548" s="187">
        <f>SUM(D539:D547)</f>
        <v>21091.585999999999</v>
      </c>
      <c r="E548" s="146">
        <f>SUM(E539:E547)</f>
        <v>1057962.23</v>
      </c>
      <c r="F548" s="89"/>
      <c r="G548" s="25"/>
      <c r="H548" s="25"/>
      <c r="I548" s="25"/>
      <c r="J548" s="25"/>
      <c r="K548" s="25"/>
      <c r="L548" s="25"/>
      <c r="M548" s="25"/>
    </row>
    <row r="549" spans="1:13" ht="15" x14ac:dyDescent="0.2">
      <c r="A549" s="25"/>
      <c r="B549" s="25"/>
      <c r="C549" s="63"/>
      <c r="D549" s="187"/>
      <c r="E549" s="146"/>
      <c r="F549" s="89"/>
      <c r="G549" s="25"/>
      <c r="H549" s="25"/>
      <c r="I549" s="25"/>
      <c r="J549" s="25"/>
      <c r="K549" s="25"/>
      <c r="L549" s="25"/>
      <c r="M549" s="25"/>
    </row>
    <row r="550" spans="1:13" ht="15.75" x14ac:dyDescent="0.25">
      <c r="A550" s="25"/>
      <c r="B550" s="25"/>
      <c r="C550" s="102" t="s">
        <v>154</v>
      </c>
      <c r="D550" s="25"/>
      <c r="E550" s="56"/>
      <c r="F550" s="25"/>
      <c r="G550" s="25"/>
      <c r="H550" s="25"/>
      <c r="I550" s="25"/>
      <c r="J550" s="25"/>
      <c r="K550" s="25"/>
      <c r="L550" s="25"/>
      <c r="M550" s="25"/>
    </row>
    <row r="551" spans="1:13" ht="15" x14ac:dyDescent="0.2">
      <c r="A551" s="25"/>
      <c r="B551" s="25">
        <v>75002</v>
      </c>
      <c r="C551" s="33" t="s">
        <v>277</v>
      </c>
      <c r="D551" s="120">
        <f>-21302.524+21302.52</f>
        <v>-4.0000000008149073E-3</v>
      </c>
      <c r="E551" s="121">
        <f>-950433.42+949112.66</f>
        <v>-1320.7600000000093</v>
      </c>
      <c r="F551" s="89" t="s">
        <v>155</v>
      </c>
      <c r="G551" s="25"/>
      <c r="H551" s="25"/>
      <c r="I551" s="25"/>
      <c r="J551" s="25"/>
      <c r="K551" s="25"/>
      <c r="L551" s="25"/>
      <c r="M551" s="25"/>
    </row>
    <row r="552" spans="1:13" ht="15" x14ac:dyDescent="0.2">
      <c r="A552" s="25"/>
      <c r="B552" s="25">
        <v>75002</v>
      </c>
      <c r="C552" s="33"/>
      <c r="D552" s="120"/>
      <c r="E552" s="121">
        <f>-109708+97592.28</f>
        <v>-12115.720000000001</v>
      </c>
      <c r="F552" s="89" t="s">
        <v>156</v>
      </c>
      <c r="G552" s="25"/>
      <c r="H552" s="25"/>
      <c r="I552" s="25"/>
      <c r="J552" s="25"/>
      <c r="K552" s="25"/>
      <c r="L552" s="25"/>
      <c r="M552" s="25"/>
    </row>
    <row r="553" spans="1:13" ht="15" x14ac:dyDescent="0.2">
      <c r="A553" s="25"/>
      <c r="B553" s="25">
        <v>75002</v>
      </c>
      <c r="C553" s="33" t="s">
        <v>278</v>
      </c>
      <c r="D553" s="24"/>
      <c r="E553" s="57">
        <f>-8409.92+8409.92</f>
        <v>0</v>
      </c>
      <c r="F553" s="89" t="s">
        <v>156</v>
      </c>
      <c r="G553" s="25"/>
      <c r="H553" s="25"/>
      <c r="I553" s="25"/>
      <c r="J553" s="25"/>
      <c r="K553" s="25"/>
      <c r="L553" s="25"/>
      <c r="M553" s="25"/>
    </row>
    <row r="554" spans="1:13" ht="15" x14ac:dyDescent="0.2">
      <c r="A554" s="25"/>
      <c r="B554" s="25">
        <v>75004</v>
      </c>
      <c r="C554" s="63" t="s">
        <v>279</v>
      </c>
      <c r="D554" s="120">
        <v>0</v>
      </c>
      <c r="E554" s="121">
        <v>0</v>
      </c>
      <c r="F554" s="89" t="s">
        <v>155</v>
      </c>
      <c r="G554" s="25"/>
      <c r="H554" s="25"/>
      <c r="I554" s="25"/>
      <c r="J554" s="25"/>
      <c r="K554" s="25"/>
      <c r="L554" s="25"/>
      <c r="M554" s="25"/>
    </row>
    <row r="555" spans="1:13" ht="15" x14ac:dyDescent="0.2">
      <c r="A555" s="25"/>
      <c r="B555" s="25">
        <v>75004</v>
      </c>
      <c r="C555" s="33"/>
      <c r="D555" s="120"/>
      <c r="E555" s="121">
        <v>0</v>
      </c>
      <c r="F555" s="89" t="s">
        <v>156</v>
      </c>
      <c r="G555" s="25"/>
      <c r="H555" s="25"/>
      <c r="I555" s="25"/>
      <c r="J555" s="25"/>
      <c r="K555" s="25"/>
      <c r="L555" s="25"/>
      <c r="M555" s="25"/>
    </row>
    <row r="556" spans="1:13" ht="15" x14ac:dyDescent="0.2">
      <c r="A556" s="25"/>
      <c r="B556" s="25"/>
      <c r="C556" s="33"/>
      <c r="D556" s="120"/>
      <c r="E556" s="121"/>
      <c r="F556" s="89"/>
      <c r="G556" s="25"/>
      <c r="H556" s="25"/>
      <c r="I556" s="25"/>
      <c r="J556" s="25"/>
      <c r="K556" s="25"/>
      <c r="L556" s="25"/>
      <c r="M556" s="25"/>
    </row>
    <row r="557" spans="1:13" ht="15" x14ac:dyDescent="0.2">
      <c r="A557" s="25"/>
      <c r="B557" s="25"/>
      <c r="C557" s="33"/>
      <c r="D557" s="24"/>
      <c r="E557" s="57"/>
      <c r="F557" s="89"/>
      <c r="G557" s="25"/>
      <c r="H557" s="25"/>
      <c r="I557" s="25"/>
      <c r="J557" s="25"/>
      <c r="K557" s="25"/>
      <c r="L557" s="25"/>
      <c r="M557" s="25"/>
    </row>
    <row r="558" spans="1:13" ht="15" x14ac:dyDescent="0.2">
      <c r="A558" s="25"/>
      <c r="B558" s="25">
        <v>75002</v>
      </c>
      <c r="C558" s="33" t="s">
        <v>280</v>
      </c>
      <c r="D558" s="87"/>
      <c r="E558" s="57">
        <f>17.58-17.58</f>
        <v>0</v>
      </c>
      <c r="F558" s="89" t="s">
        <v>155</v>
      </c>
      <c r="G558" s="25"/>
      <c r="H558" s="25"/>
      <c r="I558" s="25"/>
      <c r="J558" s="25"/>
      <c r="K558" s="25"/>
      <c r="L558" s="25"/>
      <c r="M558" s="25"/>
    </row>
    <row r="559" spans="1:13" ht="15" x14ac:dyDescent="0.2">
      <c r="A559" s="25"/>
      <c r="B559" s="25"/>
      <c r="C559" s="63" t="s">
        <v>153</v>
      </c>
      <c r="D559" s="104">
        <f>SUM(D551:D558)</f>
        <v>-4.0000000008149073E-3</v>
      </c>
      <c r="E559" s="179">
        <f>SUM(E551:E558)</f>
        <v>-13436.48000000001</v>
      </c>
      <c r="F559" s="25"/>
      <c r="G559" s="25"/>
      <c r="H559" s="25"/>
      <c r="I559" s="25"/>
      <c r="J559" s="25"/>
      <c r="K559" s="25"/>
      <c r="L559" s="25"/>
      <c r="M559" s="25"/>
    </row>
    <row r="560" spans="1:13" ht="15" x14ac:dyDescent="0.2">
      <c r="A560" s="25"/>
      <c r="B560" s="25"/>
      <c r="C560" s="63"/>
      <c r="D560" s="106"/>
      <c r="E560" s="188"/>
      <c r="F560" s="25"/>
      <c r="G560" s="25"/>
      <c r="H560" s="25"/>
      <c r="I560" s="25"/>
      <c r="J560" s="25"/>
      <c r="K560" s="25"/>
      <c r="L560" s="25"/>
      <c r="M560" s="25"/>
    </row>
    <row r="561" spans="1:13" ht="15" x14ac:dyDescent="0.2">
      <c r="A561" s="25"/>
      <c r="B561" s="25"/>
      <c r="C561" s="33" t="s">
        <v>157</v>
      </c>
      <c r="D561" s="51">
        <f>+D548+D559</f>
        <v>21091.581999999999</v>
      </c>
      <c r="E561" s="52">
        <f>+E548+E559</f>
        <v>1044525.75</v>
      </c>
      <c r="F561" s="37">
        <f>ROUND(E561/D561,5)</f>
        <v>49.523350000000001</v>
      </c>
      <c r="G561" s="25"/>
      <c r="H561" s="25"/>
      <c r="I561" s="25"/>
      <c r="J561" s="25"/>
      <c r="K561" s="25"/>
      <c r="L561" s="25"/>
      <c r="M561" s="25"/>
    </row>
    <row r="562" spans="1:13" ht="15" x14ac:dyDescent="0.2">
      <c r="A562" s="25"/>
      <c r="B562" s="25"/>
      <c r="C562" s="33"/>
      <c r="D562" s="48"/>
      <c r="E562" s="50"/>
      <c r="F562" s="37"/>
      <c r="G562" s="25"/>
      <c r="H562" s="25"/>
      <c r="I562" s="25"/>
      <c r="J562" s="25"/>
      <c r="K562" s="25"/>
      <c r="L562" s="25"/>
      <c r="M562" s="25"/>
    </row>
    <row r="563" spans="1:13" ht="15" x14ac:dyDescent="0.2">
      <c r="A563" s="25"/>
      <c r="B563" s="25"/>
      <c r="C563" s="159" t="s">
        <v>158</v>
      </c>
      <c r="D563" s="51">
        <f>D536+D561</f>
        <v>71928.57799999998</v>
      </c>
      <c r="E563" s="52">
        <f>E536+E561</f>
        <v>3601733.3299999996</v>
      </c>
      <c r="F563" s="160">
        <f>ROUND(E563/D563,5)</f>
        <v>50.073749999999997</v>
      </c>
      <c r="G563" s="25"/>
      <c r="H563" s="25"/>
      <c r="I563" s="25"/>
      <c r="J563" s="25"/>
      <c r="K563" s="25"/>
      <c r="L563" s="25"/>
      <c r="M563" s="25"/>
    </row>
    <row r="564" spans="1:13" ht="15" x14ac:dyDescent="0.2">
      <c r="A564" s="25"/>
      <c r="B564" s="25"/>
      <c r="C564" s="159"/>
      <c r="D564" s="36"/>
      <c r="E564" s="32"/>
      <c r="F564" s="49"/>
      <c r="G564" s="25"/>
      <c r="H564" s="25"/>
      <c r="I564" s="25"/>
      <c r="J564" s="25"/>
      <c r="K564" s="25"/>
      <c r="L564" s="25"/>
      <c r="M564" s="25"/>
    </row>
    <row r="565" spans="1:13" ht="15" x14ac:dyDescent="0.2">
      <c r="A565" s="25"/>
      <c r="B565" s="25"/>
      <c r="C565" s="98" t="s">
        <v>233</v>
      </c>
      <c r="D565" s="36"/>
      <c r="E565" s="32">
        <f>+H572</f>
        <v>0</v>
      </c>
      <c r="F565" s="161"/>
      <c r="G565" s="25"/>
      <c r="H565" s="56" t="s">
        <v>281</v>
      </c>
      <c r="I565" s="25"/>
      <c r="J565" s="25"/>
      <c r="K565" s="25"/>
      <c r="L565" s="25"/>
      <c r="M565" s="25"/>
    </row>
    <row r="566" spans="1:13" ht="15" x14ac:dyDescent="0.2">
      <c r="A566" s="25"/>
      <c r="B566" s="25"/>
      <c r="C566" s="83"/>
      <c r="D566" s="36"/>
      <c r="E566" s="57"/>
      <c r="F566" s="37"/>
      <c r="G566" s="25"/>
      <c r="H566" s="90" t="s">
        <v>161</v>
      </c>
      <c r="I566" s="25"/>
      <c r="J566" s="25"/>
      <c r="K566" s="25"/>
      <c r="L566" s="25"/>
      <c r="M566" s="25"/>
    </row>
    <row r="567" spans="1:13" ht="15.75" x14ac:dyDescent="0.25">
      <c r="A567" s="25"/>
      <c r="B567" s="25"/>
      <c r="C567" s="162" t="s">
        <v>162</v>
      </c>
      <c r="D567" s="36"/>
      <c r="E567" s="25"/>
      <c r="F567" s="37"/>
      <c r="G567" s="25"/>
      <c r="H567" s="57">
        <v>0</v>
      </c>
      <c r="I567" s="25"/>
      <c r="J567" s="25"/>
      <c r="K567" s="25"/>
      <c r="L567" s="25"/>
      <c r="M567" s="25"/>
    </row>
    <row r="568" spans="1:13" ht="15" x14ac:dyDescent="0.2">
      <c r="A568" s="25" t="s">
        <v>282</v>
      </c>
      <c r="B568" s="25"/>
      <c r="C568" s="119" t="s">
        <v>193</v>
      </c>
      <c r="D568" s="87">
        <v>0</v>
      </c>
      <c r="E568" s="57">
        <v>0</v>
      </c>
      <c r="F568" s="37"/>
      <c r="G568" s="25"/>
      <c r="H568" s="57">
        <v>0</v>
      </c>
      <c r="I568" s="25"/>
      <c r="J568" s="25"/>
      <c r="K568" s="25"/>
      <c r="L568" s="25"/>
      <c r="M568" s="25"/>
    </row>
    <row r="569" spans="1:13" ht="15" x14ac:dyDescent="0.2">
      <c r="A569" s="25" t="s">
        <v>283</v>
      </c>
      <c r="B569" s="25"/>
      <c r="C569" s="159" t="s">
        <v>167</v>
      </c>
      <c r="D569" s="87">
        <f>-15525.61+15926.99</f>
        <v>401.3799999999992</v>
      </c>
      <c r="E569" s="57">
        <f>-781607.03+798590.43</f>
        <v>16983.400000000023</v>
      </c>
      <c r="F569" s="37"/>
      <c r="G569" s="25"/>
      <c r="H569" s="117">
        <v>0</v>
      </c>
      <c r="I569" s="25"/>
      <c r="J569" s="25"/>
      <c r="K569" s="25"/>
      <c r="L569" s="25"/>
      <c r="M569" s="25"/>
    </row>
    <row r="570" spans="1:13" ht="15" x14ac:dyDescent="0.2">
      <c r="A570" s="25" t="s">
        <v>284</v>
      </c>
      <c r="B570" s="25"/>
      <c r="C570" s="122" t="s">
        <v>169</v>
      </c>
      <c r="D570" s="87">
        <f>4250.99-4250.99</f>
        <v>0</v>
      </c>
      <c r="E570" s="57">
        <f>214365.01-214365.01</f>
        <v>0</v>
      </c>
      <c r="F570" s="37"/>
      <c r="G570" s="25"/>
      <c r="H570" s="117">
        <v>0</v>
      </c>
      <c r="I570" s="25"/>
      <c r="J570" s="25"/>
      <c r="K570" s="25"/>
      <c r="L570" s="25"/>
      <c r="M570" s="25"/>
    </row>
    <row r="571" spans="1:13" ht="15" x14ac:dyDescent="0.2">
      <c r="A571" s="25"/>
      <c r="B571" s="25"/>
      <c r="C571" s="119" t="s">
        <v>170</v>
      </c>
      <c r="D571" s="87">
        <v>15447.874</v>
      </c>
      <c r="E571" s="32">
        <f>ROUND(+D571*F563,2)</f>
        <v>773532.98</v>
      </c>
      <c r="F571" s="89">
        <f>IF(E571=0,0,E571/D571)</f>
        <v>50.073749954200814</v>
      </c>
      <c r="G571" s="25"/>
      <c r="H571" s="123">
        <v>0</v>
      </c>
      <c r="I571" s="25"/>
      <c r="J571" s="25"/>
      <c r="K571" s="25"/>
      <c r="L571" s="25"/>
      <c r="M571" s="25"/>
    </row>
    <row r="572" spans="1:13" ht="15.75" thickBot="1" x14ac:dyDescent="0.25">
      <c r="A572" s="25"/>
      <c r="B572" s="25"/>
      <c r="C572" s="164" t="s">
        <v>285</v>
      </c>
      <c r="D572" s="51">
        <f>SUM(D568:D571)</f>
        <v>15849.253999999999</v>
      </c>
      <c r="E572" s="52">
        <f>SUM(E568:E571)</f>
        <v>790516.38</v>
      </c>
      <c r="F572" s="37"/>
      <c r="G572" s="25"/>
      <c r="H572" s="129">
        <f>SUM(H567:H571)</f>
        <v>0</v>
      </c>
      <c r="I572" s="25"/>
      <c r="J572" s="25"/>
      <c r="K572" s="25"/>
      <c r="L572" s="25"/>
      <c r="M572" s="25"/>
    </row>
    <row r="573" spans="1:13" ht="15.75" thickTop="1" x14ac:dyDescent="0.2">
      <c r="A573" s="25"/>
      <c r="B573" s="25"/>
      <c r="C573" s="25"/>
      <c r="D573" s="47"/>
      <c r="E573" s="38"/>
      <c r="F573" s="37"/>
      <c r="G573" s="25"/>
      <c r="H573" s="25"/>
      <c r="I573" s="25"/>
      <c r="J573" s="25"/>
      <c r="K573" s="25"/>
      <c r="L573" s="25"/>
      <c r="M573" s="25"/>
    </row>
    <row r="574" spans="1:13" ht="15" x14ac:dyDescent="0.2">
      <c r="A574" s="25" t="s">
        <v>286</v>
      </c>
      <c r="B574" s="25"/>
      <c r="C574" s="119" t="s">
        <v>193</v>
      </c>
      <c r="D574" s="87">
        <v>0</v>
      </c>
      <c r="E574" s="57">
        <v>0</v>
      </c>
      <c r="F574" s="37"/>
      <c r="G574" s="25"/>
      <c r="H574" s="25"/>
      <c r="I574" s="25"/>
      <c r="J574" s="25"/>
      <c r="K574" s="25"/>
      <c r="L574" s="25"/>
      <c r="M574" s="25"/>
    </row>
    <row r="575" spans="1:13" ht="15" x14ac:dyDescent="0.2">
      <c r="A575" s="25" t="s">
        <v>287</v>
      </c>
      <c r="B575" s="25"/>
      <c r="C575" s="159" t="s">
        <v>167</v>
      </c>
      <c r="D575" s="87">
        <f>-10324.748+10201.22</f>
        <v>-123.52800000000025</v>
      </c>
      <c r="E575" s="57">
        <f>-519779.61+511496.31</f>
        <v>-8283.2999999999884</v>
      </c>
      <c r="F575" s="37"/>
      <c r="G575" s="25"/>
      <c r="H575" s="25"/>
      <c r="I575" s="25"/>
      <c r="J575" s="25"/>
      <c r="K575" s="25"/>
      <c r="L575" s="25"/>
      <c r="M575" s="25"/>
    </row>
    <row r="576" spans="1:13" ht="15" x14ac:dyDescent="0.2">
      <c r="A576" s="25" t="s">
        <v>288</v>
      </c>
      <c r="B576" s="25"/>
      <c r="C576" s="122" t="s">
        <v>169</v>
      </c>
      <c r="D576" s="87">
        <f>3114.59-3114.59</f>
        <v>0</v>
      </c>
      <c r="E576" s="57">
        <f>157059.68-157059.68</f>
        <v>0</v>
      </c>
      <c r="F576" s="37"/>
      <c r="G576" s="25"/>
      <c r="H576" s="25"/>
      <c r="I576" s="25"/>
      <c r="J576" s="25"/>
      <c r="K576" s="25"/>
      <c r="L576" s="25"/>
      <c r="M576" s="25"/>
    </row>
    <row r="577" spans="1:13" ht="15" x14ac:dyDescent="0.2">
      <c r="A577" s="25"/>
      <c r="B577" s="25"/>
      <c r="C577" s="119" t="s">
        <v>170</v>
      </c>
      <c r="D577" s="87">
        <v>11229.021000000001</v>
      </c>
      <c r="E577" s="32">
        <f>ROUND(+D577*F563,2)</f>
        <v>562279.18999999994</v>
      </c>
      <c r="F577" s="89">
        <f>IF(E577=0,0,E577/D577)</f>
        <v>50.073749973394825</v>
      </c>
      <c r="G577" s="25"/>
      <c r="H577" s="25"/>
      <c r="I577" s="25"/>
      <c r="J577" s="25"/>
      <c r="K577" s="25"/>
      <c r="L577" s="25"/>
      <c r="M577" s="25"/>
    </row>
    <row r="578" spans="1:13" ht="15" x14ac:dyDescent="0.2">
      <c r="A578" s="25"/>
      <c r="B578" s="25"/>
      <c r="C578" s="164" t="s">
        <v>289</v>
      </c>
      <c r="D578" s="51">
        <f>SUM(D574:D577)</f>
        <v>11105.493</v>
      </c>
      <c r="E578" s="52">
        <f>SUM(E574:E577)</f>
        <v>553995.8899999999</v>
      </c>
      <c r="F578" s="37"/>
      <c r="G578" s="25"/>
      <c r="H578" s="25"/>
      <c r="I578" s="25"/>
      <c r="J578" s="25"/>
      <c r="K578" s="25"/>
      <c r="L578" s="25"/>
      <c r="M578" s="25"/>
    </row>
    <row r="579" spans="1:13" ht="15" x14ac:dyDescent="0.2">
      <c r="A579" s="24"/>
      <c r="B579" s="24"/>
      <c r="C579" s="24"/>
      <c r="D579" s="24"/>
      <c r="E579" s="24"/>
      <c r="F579" s="24"/>
      <c r="G579" s="25"/>
      <c r="H579" s="25"/>
      <c r="I579" s="25"/>
      <c r="J579" s="25"/>
      <c r="K579" s="25"/>
      <c r="L579" s="25"/>
      <c r="M579" s="25"/>
    </row>
    <row r="580" spans="1:13" ht="15" x14ac:dyDescent="0.2">
      <c r="A580" s="24"/>
      <c r="B580" s="24"/>
      <c r="C580" s="119" t="s">
        <v>193</v>
      </c>
      <c r="D580" s="36">
        <f t="shared" ref="D580:E583" si="3">+D568+D574</f>
        <v>0</v>
      </c>
      <c r="E580" s="32">
        <f t="shared" si="3"/>
        <v>0</v>
      </c>
      <c r="F580" s="37"/>
      <c r="G580" s="25"/>
      <c r="H580" s="25"/>
      <c r="I580" s="25"/>
      <c r="J580" s="25"/>
      <c r="K580" s="25"/>
      <c r="L580" s="25"/>
      <c r="M580" s="25"/>
    </row>
    <row r="581" spans="1:13" ht="15" x14ac:dyDescent="0.2">
      <c r="A581" s="25"/>
      <c r="B581" s="25"/>
      <c r="C581" s="159" t="s">
        <v>167</v>
      </c>
      <c r="D581" s="36">
        <f t="shared" si="3"/>
        <v>277.85199999999895</v>
      </c>
      <c r="E581" s="32">
        <f t="shared" si="3"/>
        <v>8700.1000000000349</v>
      </c>
      <c r="F581" s="37"/>
      <c r="G581" s="25"/>
      <c r="H581" s="25"/>
      <c r="I581" s="25"/>
      <c r="J581" s="25"/>
      <c r="K581" s="25"/>
      <c r="L581" s="25"/>
      <c r="M581" s="25"/>
    </row>
    <row r="582" spans="1:13" ht="15" x14ac:dyDescent="0.2">
      <c r="A582" s="25"/>
      <c r="B582" s="25"/>
      <c r="C582" s="122" t="s">
        <v>169</v>
      </c>
      <c r="D582" s="36">
        <f t="shared" si="3"/>
        <v>0</v>
      </c>
      <c r="E582" s="32">
        <f t="shared" si="3"/>
        <v>0</v>
      </c>
      <c r="F582" s="37"/>
      <c r="G582" s="25"/>
      <c r="H582" s="25"/>
      <c r="I582" s="25"/>
      <c r="J582" s="25"/>
      <c r="K582" s="25"/>
      <c r="L582" s="25"/>
      <c r="M582" s="25"/>
    </row>
    <row r="583" spans="1:13" ht="15" x14ac:dyDescent="0.2">
      <c r="A583" s="25"/>
      <c r="B583" s="25"/>
      <c r="C583" s="119" t="s">
        <v>176</v>
      </c>
      <c r="D583" s="36">
        <f t="shared" si="3"/>
        <v>26676.895</v>
      </c>
      <c r="E583" s="32">
        <f t="shared" si="3"/>
        <v>1335812.17</v>
      </c>
      <c r="F583" s="89">
        <f>IF(E583=0,0,E583/D583)</f>
        <v>50.07374996228009</v>
      </c>
      <c r="G583" s="25"/>
      <c r="H583" s="25"/>
      <c r="I583" s="25"/>
      <c r="J583" s="25"/>
      <c r="K583" s="25"/>
      <c r="L583" s="25"/>
      <c r="M583" s="25"/>
    </row>
    <row r="584" spans="1:13" ht="15" x14ac:dyDescent="0.2">
      <c r="A584" s="25"/>
      <c r="B584" s="25"/>
      <c r="C584" s="33" t="s">
        <v>218</v>
      </c>
      <c r="D584" s="51">
        <f>SUM(D580:D583)</f>
        <v>26954.746999999999</v>
      </c>
      <c r="E584" s="52">
        <f>SUM(E580:E583)</f>
        <v>1344512.27</v>
      </c>
      <c r="F584" s="37">
        <f>ROUND(E584/D584,5)</f>
        <v>49.88035</v>
      </c>
      <c r="G584" s="25"/>
      <c r="H584" s="25"/>
      <c r="I584" s="25"/>
      <c r="J584" s="25"/>
      <c r="K584" s="25"/>
      <c r="L584" s="25"/>
      <c r="M584" s="25"/>
    </row>
    <row r="585" spans="1:13" ht="15" x14ac:dyDescent="0.2">
      <c r="A585" s="25"/>
      <c r="B585" s="25"/>
      <c r="C585" s="25"/>
      <c r="D585" s="36"/>
      <c r="E585" s="25"/>
      <c r="F585" s="37"/>
      <c r="G585" s="25"/>
      <c r="H585" s="25"/>
      <c r="I585" s="25"/>
      <c r="J585" s="25"/>
      <c r="K585" s="25"/>
      <c r="L585" s="25"/>
      <c r="M585" s="25"/>
    </row>
    <row r="586" spans="1:13" ht="15" x14ac:dyDescent="0.2">
      <c r="A586" s="25"/>
      <c r="B586" s="25"/>
      <c r="C586" s="25"/>
      <c r="D586" s="36"/>
      <c r="E586" s="25"/>
      <c r="F586" s="37"/>
      <c r="G586" s="25"/>
      <c r="H586" s="25"/>
      <c r="I586" s="25"/>
      <c r="J586" s="25"/>
      <c r="K586" s="25"/>
      <c r="L586" s="25"/>
      <c r="M586" s="25"/>
    </row>
    <row r="587" spans="1:13" ht="15.75" thickBot="1" x14ac:dyDescent="0.25">
      <c r="A587" s="25"/>
      <c r="B587" s="25"/>
      <c r="C587" s="25" t="s">
        <v>178</v>
      </c>
      <c r="D587" s="133">
        <f>D563-D584</f>
        <v>44973.830999999976</v>
      </c>
      <c r="E587" s="134">
        <f>E563-E584+E565</f>
        <v>2257221.0599999996</v>
      </c>
      <c r="F587" s="37">
        <f>ROUND(E587/D587,5)</f>
        <v>50.18965</v>
      </c>
      <c r="G587" s="25"/>
      <c r="H587" s="25"/>
      <c r="I587" s="25"/>
      <c r="J587" s="25"/>
      <c r="K587" s="25"/>
      <c r="L587" s="25"/>
      <c r="M587" s="25"/>
    </row>
    <row r="588" spans="1:13" ht="15.75" thickTop="1" x14ac:dyDescent="0.2">
      <c r="A588" s="25"/>
      <c r="B588" s="25"/>
      <c r="C588" s="90"/>
      <c r="D588" s="127"/>
      <c r="E588" s="189"/>
      <c r="F588" s="90"/>
      <c r="G588" s="25"/>
      <c r="H588" s="25"/>
      <c r="I588" s="25"/>
      <c r="J588" s="25"/>
      <c r="K588" s="25"/>
      <c r="L588" s="25"/>
      <c r="M588" s="25"/>
    </row>
    <row r="589" spans="1:13" ht="15" x14ac:dyDescent="0.2">
      <c r="A589" s="25"/>
      <c r="B589" s="25"/>
      <c r="C589" s="95" t="s">
        <v>196</v>
      </c>
      <c r="D589" s="90"/>
      <c r="E589" s="151"/>
      <c r="F589" s="90"/>
      <c r="G589" s="25"/>
      <c r="H589" s="25"/>
      <c r="I589" s="25"/>
      <c r="J589" s="25"/>
      <c r="K589" s="25"/>
      <c r="L589" s="25"/>
      <c r="M589" s="25"/>
    </row>
    <row r="590" spans="1:13" ht="15" x14ac:dyDescent="0.2">
      <c r="G590" s="25"/>
      <c r="H590" s="25"/>
      <c r="I590" s="25"/>
      <c r="J590" s="25"/>
      <c r="K590" s="25"/>
      <c r="L590" s="25"/>
      <c r="M590" s="25"/>
    </row>
    <row r="591" spans="1:13" ht="15" x14ac:dyDescent="0.2">
      <c r="B591" s="24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</row>
    <row r="592" spans="1:13" ht="15" x14ac:dyDescent="0.2">
      <c r="B592" s="70"/>
      <c r="C592" s="25"/>
      <c r="D592" s="25"/>
      <c r="E592" s="25"/>
      <c r="F592" s="25"/>
      <c r="G592" s="25"/>
      <c r="H592" s="70"/>
      <c r="I592" s="25"/>
      <c r="J592" s="25"/>
      <c r="K592" s="25"/>
      <c r="L592" s="25"/>
      <c r="M592" s="25"/>
    </row>
    <row r="593" spans="1:13" ht="15" x14ac:dyDescent="0.2">
      <c r="B593" s="24" t="s">
        <v>290</v>
      </c>
      <c r="C593" s="25"/>
      <c r="D593" s="25"/>
      <c r="E593" s="25"/>
      <c r="F593" s="25"/>
      <c r="G593" s="25"/>
      <c r="H593" s="24" t="s">
        <v>117</v>
      </c>
      <c r="I593" s="25"/>
      <c r="J593" s="25"/>
      <c r="K593" s="25"/>
      <c r="L593" s="25"/>
      <c r="M593" s="25"/>
    </row>
    <row r="594" spans="1:13" ht="15.75" x14ac:dyDescent="0.25">
      <c r="A594" s="25"/>
      <c r="B594" s="44"/>
      <c r="C594" s="240" t="s">
        <v>291</v>
      </c>
      <c r="D594" s="240"/>
      <c r="E594" s="240"/>
      <c r="F594" s="240"/>
      <c r="G594" s="25"/>
      <c r="H594" s="25"/>
      <c r="I594" s="25"/>
      <c r="J594" s="25"/>
      <c r="K594" s="25"/>
      <c r="L594" s="25"/>
      <c r="M594" s="25"/>
    </row>
    <row r="595" spans="1:13" ht="15.75" x14ac:dyDescent="0.25">
      <c r="A595" s="25"/>
      <c r="B595" s="44"/>
      <c r="C595" s="190"/>
      <c r="D595" s="190"/>
      <c r="E595" s="190"/>
      <c r="F595" s="190"/>
      <c r="G595" s="25"/>
      <c r="H595" s="25"/>
      <c r="I595" s="25"/>
      <c r="J595" s="25"/>
      <c r="K595" s="25"/>
      <c r="L595" s="25"/>
      <c r="M595" s="25"/>
    </row>
    <row r="596" spans="1:13" ht="15" x14ac:dyDescent="0.2">
      <c r="A596" s="25"/>
      <c r="B596" s="44"/>
      <c r="C596" s="25" t="str">
        <f>+C116</f>
        <v>PRELIMINARY</v>
      </c>
      <c r="D596" s="119"/>
      <c r="E596" s="191" t="s">
        <v>138</v>
      </c>
      <c r="F596" s="153" t="str">
        <f>+C4</f>
        <v>AUGUST 2013</v>
      </c>
      <c r="G596" s="25"/>
      <c r="H596" s="25"/>
      <c r="I596" s="25"/>
      <c r="J596" s="25"/>
      <c r="K596" s="25"/>
      <c r="L596" s="25"/>
      <c r="M596" s="25"/>
    </row>
    <row r="597" spans="1:13" ht="15" x14ac:dyDescent="0.2">
      <c r="A597" s="25"/>
      <c r="B597" s="44"/>
      <c r="C597" s="90" t="s">
        <v>292</v>
      </c>
      <c r="D597" s="119"/>
      <c r="E597" s="191"/>
      <c r="F597" s="153"/>
      <c r="G597" s="25"/>
      <c r="H597" s="25"/>
      <c r="I597" s="25"/>
      <c r="J597" s="25"/>
      <c r="K597" s="25"/>
      <c r="L597" s="25"/>
      <c r="M597" s="25"/>
    </row>
    <row r="598" spans="1:13" ht="15" x14ac:dyDescent="0.2">
      <c r="A598" s="25"/>
      <c r="B598" s="44"/>
      <c r="C598" s="90"/>
      <c r="D598" s="140" t="s">
        <v>140</v>
      </c>
      <c r="E598" s="140" t="s">
        <v>293</v>
      </c>
      <c r="F598" s="140" t="s">
        <v>142</v>
      </c>
      <c r="G598" s="25"/>
      <c r="H598" s="25"/>
      <c r="I598" s="25"/>
      <c r="J598" s="25"/>
      <c r="K598" s="25"/>
      <c r="L598" s="25"/>
      <c r="M598" s="25"/>
    </row>
    <row r="599" spans="1:13" ht="15" x14ac:dyDescent="0.2">
      <c r="A599" s="25"/>
      <c r="B599" s="44"/>
      <c r="C599" s="90"/>
      <c r="D599" s="192"/>
      <c r="E599" s="192"/>
      <c r="F599" s="192"/>
      <c r="G599" s="25"/>
      <c r="H599" s="25"/>
      <c r="I599" s="25"/>
      <c r="J599" s="25"/>
      <c r="K599" s="25"/>
      <c r="L599" s="25"/>
      <c r="M599" s="25"/>
    </row>
    <row r="600" spans="1:13" ht="15" x14ac:dyDescent="0.2">
      <c r="A600" s="25"/>
      <c r="B600" s="44"/>
      <c r="C600" s="95" t="s">
        <v>143</v>
      </c>
      <c r="D600" s="87">
        <v>1791834.4260000028</v>
      </c>
      <c r="E600" s="88">
        <v>75572976.419999987</v>
      </c>
      <c r="F600" s="89">
        <v>42.176319999999997</v>
      </c>
      <c r="G600" s="25"/>
      <c r="H600" s="25"/>
      <c r="I600" s="25"/>
      <c r="J600" s="25"/>
      <c r="K600" s="25"/>
      <c r="L600" s="25"/>
      <c r="M600" s="25"/>
    </row>
    <row r="601" spans="1:13" ht="15" x14ac:dyDescent="0.2">
      <c r="A601" s="25"/>
      <c r="B601" s="44"/>
      <c r="C601" s="95"/>
      <c r="D601" s="87"/>
      <c r="E601" s="88"/>
      <c r="F601" s="89"/>
      <c r="G601" s="25"/>
      <c r="H601" s="25"/>
      <c r="I601" s="25"/>
      <c r="J601" s="25"/>
      <c r="K601" s="25"/>
      <c r="L601" s="25"/>
      <c r="M601" s="25"/>
    </row>
    <row r="602" spans="1:13" ht="15.75" x14ac:dyDescent="0.25">
      <c r="A602" s="25"/>
      <c r="B602" s="44"/>
      <c r="C602" s="92" t="s">
        <v>144</v>
      </c>
      <c r="D602" s="87"/>
      <c r="E602" s="57"/>
      <c r="F602" s="89"/>
      <c r="G602" s="25"/>
      <c r="H602" s="25"/>
      <c r="I602" s="25"/>
      <c r="J602" s="25"/>
      <c r="K602" s="25"/>
      <c r="L602" s="25"/>
      <c r="M602" s="25"/>
    </row>
    <row r="603" spans="1:13" ht="15" x14ac:dyDescent="0.2">
      <c r="A603" s="25"/>
      <c r="B603" s="44"/>
      <c r="C603" s="95" t="s">
        <v>294</v>
      </c>
      <c r="D603" s="87">
        <f>162500+5944</f>
        <v>168444</v>
      </c>
      <c r="E603" s="57">
        <v>6491531.1500000004</v>
      </c>
      <c r="F603" s="89" t="s">
        <v>155</v>
      </c>
      <c r="G603" s="25"/>
      <c r="H603" s="25"/>
      <c r="I603" s="25" t="s">
        <v>295</v>
      </c>
      <c r="J603" s="25"/>
      <c r="K603" s="25"/>
      <c r="L603" s="25"/>
      <c r="M603" s="25"/>
    </row>
    <row r="604" spans="1:13" ht="15" x14ac:dyDescent="0.2">
      <c r="A604" s="25"/>
      <c r="B604" s="44"/>
      <c r="C604" s="95"/>
      <c r="D604" s="87"/>
      <c r="E604" s="57">
        <v>1013207.33</v>
      </c>
      <c r="F604" s="89" t="s">
        <v>156</v>
      </c>
      <c r="G604" s="128"/>
      <c r="H604" s="193">
        <f>+E603+E624</f>
        <v>6396678.79</v>
      </c>
      <c r="I604" s="25" t="s">
        <v>296</v>
      </c>
      <c r="J604" s="25"/>
      <c r="K604" s="25"/>
      <c r="L604" s="25"/>
      <c r="M604" s="25"/>
    </row>
    <row r="605" spans="1:13" ht="15" x14ac:dyDescent="0.2">
      <c r="A605" s="25"/>
      <c r="B605" s="44"/>
      <c r="C605" s="95" t="s">
        <v>297</v>
      </c>
      <c r="D605" s="24"/>
      <c r="E605" s="57">
        <v>0</v>
      </c>
      <c r="F605" s="89" t="s">
        <v>156</v>
      </c>
      <c r="G605" s="128"/>
      <c r="H605" s="193">
        <f>+E604+E625</f>
        <v>1013067.6</v>
      </c>
      <c r="I605" s="25" t="s">
        <v>298</v>
      </c>
      <c r="J605" s="25"/>
      <c r="K605" s="25"/>
      <c r="L605" s="25"/>
      <c r="M605" s="25"/>
    </row>
    <row r="606" spans="1:13" ht="15" x14ac:dyDescent="0.2">
      <c r="A606" s="25"/>
      <c r="B606" s="44"/>
      <c r="C606" s="95" t="s">
        <v>299</v>
      </c>
      <c r="D606" s="87"/>
      <c r="E606" s="57">
        <v>155.66</v>
      </c>
      <c r="F606" s="89" t="s">
        <v>155</v>
      </c>
      <c r="G606" s="174"/>
      <c r="H606" s="116">
        <f>+H604+H605</f>
        <v>7409746.3899999997</v>
      </c>
      <c r="I606" s="25" t="s">
        <v>17</v>
      </c>
      <c r="J606" s="25"/>
      <c r="K606" s="25"/>
      <c r="L606" s="25"/>
      <c r="M606" s="25"/>
    </row>
    <row r="607" spans="1:13" ht="15" x14ac:dyDescent="0.2">
      <c r="A607" s="25"/>
      <c r="B607" s="44"/>
      <c r="C607" s="95" t="s">
        <v>145</v>
      </c>
      <c r="D607" s="87">
        <v>28000</v>
      </c>
      <c r="E607" s="57">
        <f>1312328.65+22624</f>
        <v>1334952.6499999999</v>
      </c>
      <c r="F607" s="89" t="s">
        <v>155</v>
      </c>
      <c r="G607" s="174"/>
      <c r="H607" s="116"/>
      <c r="I607" s="25"/>
      <c r="J607" s="25"/>
      <c r="K607" s="25"/>
      <c r="L607" s="25"/>
      <c r="M607" s="25"/>
    </row>
    <row r="608" spans="1:13" ht="15" x14ac:dyDescent="0.2">
      <c r="A608" s="25"/>
      <c r="B608" s="44"/>
      <c r="C608" s="95"/>
      <c r="D608" s="87"/>
      <c r="E608" s="57">
        <v>62300</v>
      </c>
      <c r="F608" s="89" t="s">
        <v>156</v>
      </c>
      <c r="G608" s="174"/>
      <c r="H608" s="116"/>
      <c r="I608" s="25"/>
      <c r="J608" s="25"/>
      <c r="K608" s="25"/>
      <c r="L608" s="25"/>
      <c r="M608" s="25"/>
    </row>
    <row r="609" spans="1:13" ht="15" x14ac:dyDescent="0.2">
      <c r="A609" s="25"/>
      <c r="B609" s="44"/>
      <c r="C609" s="33" t="s">
        <v>300</v>
      </c>
      <c r="D609" s="87">
        <v>0</v>
      </c>
      <c r="E609" s="57">
        <v>0</v>
      </c>
      <c r="F609" s="89" t="s">
        <v>155</v>
      </c>
      <c r="G609" s="174"/>
      <c r="H609" s="24"/>
      <c r="I609" s="25"/>
      <c r="J609" s="25"/>
      <c r="K609" s="25"/>
      <c r="L609" s="25"/>
      <c r="M609" s="25"/>
    </row>
    <row r="610" spans="1:13" ht="15" x14ac:dyDescent="0.2">
      <c r="A610" s="25"/>
      <c r="B610" s="44"/>
      <c r="C610" s="25"/>
      <c r="D610" s="87"/>
      <c r="E610" s="57">
        <v>0</v>
      </c>
      <c r="F610" s="89" t="s">
        <v>156</v>
      </c>
      <c r="G610" s="174"/>
      <c r="H610" s="193"/>
      <c r="I610" s="25"/>
      <c r="J610" s="25"/>
      <c r="K610" s="25"/>
      <c r="L610" s="25"/>
      <c r="M610" s="25"/>
    </row>
    <row r="611" spans="1:13" ht="15" x14ac:dyDescent="0.2">
      <c r="A611" s="25"/>
      <c r="B611" s="44"/>
      <c r="C611" s="33" t="s">
        <v>301</v>
      </c>
      <c r="D611" s="87"/>
      <c r="E611" s="57">
        <v>0</v>
      </c>
      <c r="F611" s="89" t="s">
        <v>155</v>
      </c>
      <c r="G611" s="174"/>
      <c r="H611" s="122"/>
      <c r="I611" s="25"/>
      <c r="J611" s="25"/>
      <c r="K611" s="25"/>
      <c r="L611" s="25"/>
      <c r="M611" s="25"/>
    </row>
    <row r="612" spans="1:13" ht="15" x14ac:dyDescent="0.2">
      <c r="A612" s="25"/>
      <c r="B612" s="44"/>
      <c r="C612" s="63" t="s">
        <v>302</v>
      </c>
      <c r="D612" s="87">
        <v>0</v>
      </c>
      <c r="E612" s="57">
        <v>0</v>
      </c>
      <c r="F612" s="89" t="s">
        <v>155</v>
      </c>
      <c r="G612" s="174"/>
      <c r="H612" s="194"/>
      <c r="I612" s="25"/>
      <c r="J612" s="25"/>
      <c r="K612" s="25"/>
      <c r="L612" s="25"/>
      <c r="M612" s="25"/>
    </row>
    <row r="613" spans="1:13" ht="15" x14ac:dyDescent="0.2">
      <c r="A613" s="25"/>
      <c r="B613" s="44"/>
      <c r="C613" s="63" t="s">
        <v>303</v>
      </c>
      <c r="D613" s="87">
        <v>111000</v>
      </c>
      <c r="E613" s="57">
        <v>3646350</v>
      </c>
      <c r="F613" s="89" t="s">
        <v>155</v>
      </c>
      <c r="G613" s="24"/>
      <c r="H613" s="24"/>
      <c r="I613" s="25"/>
      <c r="J613" s="25"/>
      <c r="K613" s="25"/>
      <c r="L613" s="25"/>
      <c r="M613" s="25"/>
    </row>
    <row r="614" spans="1:13" ht="15" x14ac:dyDescent="0.2">
      <c r="A614" s="25"/>
      <c r="B614" s="44"/>
      <c r="C614" s="63" t="s">
        <v>304</v>
      </c>
      <c r="D614" s="87"/>
      <c r="E614" s="57">
        <v>828060</v>
      </c>
      <c r="F614" s="89" t="s">
        <v>156</v>
      </c>
      <c r="G614" s="24"/>
      <c r="H614" s="59"/>
      <c r="I614" s="25"/>
      <c r="J614" s="25"/>
      <c r="K614" s="25"/>
      <c r="L614" s="25"/>
      <c r="M614" s="25"/>
    </row>
    <row r="615" spans="1:13" ht="15" x14ac:dyDescent="0.2">
      <c r="A615" s="25"/>
      <c r="B615" s="44"/>
      <c r="C615" s="63" t="s">
        <v>305</v>
      </c>
      <c r="D615" s="87"/>
      <c r="E615" s="57">
        <v>5550</v>
      </c>
      <c r="F615" s="89" t="s">
        <v>155</v>
      </c>
      <c r="G615" s="24"/>
      <c r="H615" s="24"/>
      <c r="I615" s="25"/>
      <c r="J615" s="25"/>
      <c r="K615" s="25"/>
      <c r="L615" s="25"/>
      <c r="M615" s="25"/>
    </row>
    <row r="616" spans="1:13" ht="15" x14ac:dyDescent="0.2">
      <c r="A616" s="25"/>
      <c r="B616" s="44"/>
      <c r="C616" s="63" t="s">
        <v>148</v>
      </c>
      <c r="D616" s="87">
        <f>2629.07+57000</f>
        <v>59629.07</v>
      </c>
      <c r="E616" s="57">
        <f>110973.04+2405970</f>
        <v>2516943.04</v>
      </c>
      <c r="F616" s="89" t="s">
        <v>155</v>
      </c>
      <c r="G616" s="24"/>
      <c r="H616" s="24"/>
      <c r="I616" s="24"/>
      <c r="J616" s="25"/>
      <c r="K616" s="25"/>
      <c r="L616" s="25"/>
      <c r="M616" s="25"/>
    </row>
    <row r="617" spans="1:13" ht="15" x14ac:dyDescent="0.2">
      <c r="A617" s="25"/>
      <c r="B617" s="44"/>
      <c r="C617" s="24"/>
      <c r="D617" s="145"/>
      <c r="E617" s="57">
        <f>7997.63+321537</f>
        <v>329534.63</v>
      </c>
      <c r="F617" s="115" t="s">
        <v>156</v>
      </c>
      <c r="G617" s="40"/>
      <c r="H617" s="193"/>
      <c r="I617" s="24"/>
      <c r="J617" s="25"/>
      <c r="K617" s="25"/>
      <c r="L617" s="25"/>
      <c r="M617" s="25"/>
    </row>
    <row r="618" spans="1:13" ht="15" x14ac:dyDescent="0.2">
      <c r="A618" s="25"/>
      <c r="B618" s="44"/>
      <c r="C618" s="24"/>
      <c r="D618" s="145"/>
      <c r="E618" s="57"/>
      <c r="F618" s="115"/>
      <c r="G618" s="174"/>
      <c r="H618" s="195"/>
      <c r="I618" s="24"/>
      <c r="J618" s="25"/>
      <c r="K618" s="25"/>
      <c r="L618" s="25"/>
      <c r="M618" s="25"/>
    </row>
    <row r="619" spans="1:13" ht="15" x14ac:dyDescent="0.2">
      <c r="A619" s="25"/>
      <c r="B619" s="44"/>
      <c r="C619" s="63" t="s">
        <v>306</v>
      </c>
      <c r="D619" s="145"/>
      <c r="E619" s="57">
        <v>3067.5</v>
      </c>
      <c r="F619" s="89" t="s">
        <v>155</v>
      </c>
      <c r="G619" s="56"/>
      <c r="H619" s="56"/>
      <c r="I619" s="25"/>
      <c r="J619" s="25"/>
      <c r="K619" s="25"/>
      <c r="L619" s="25"/>
      <c r="M619" s="25"/>
    </row>
    <row r="620" spans="1:13" ht="15.75" x14ac:dyDescent="0.25">
      <c r="A620" s="25"/>
      <c r="B620" s="44"/>
      <c r="C620" s="63" t="s">
        <v>152</v>
      </c>
      <c r="D620" s="196"/>
      <c r="E620" s="64">
        <v>-3686.73</v>
      </c>
      <c r="F620" s="115" t="s">
        <v>156</v>
      </c>
      <c r="G620" s="174"/>
      <c r="H620" s="195"/>
      <c r="I620" s="25"/>
      <c r="J620" s="25"/>
      <c r="K620" s="25"/>
      <c r="L620" s="25"/>
      <c r="M620" s="25"/>
    </row>
    <row r="621" spans="1:13" ht="15" x14ac:dyDescent="0.2">
      <c r="A621" s="25"/>
      <c r="B621" s="44"/>
      <c r="C621" s="118" t="s">
        <v>153</v>
      </c>
      <c r="D621" s="75">
        <f>SUM(D603:D620)</f>
        <v>367073.07</v>
      </c>
      <c r="E621" s="56">
        <f>SUM(E603:E620)</f>
        <v>16227965.230000002</v>
      </c>
      <c r="F621" s="56"/>
      <c r="G621" s="174"/>
      <c r="H621" s="195"/>
      <c r="I621" s="25"/>
      <c r="J621" s="25"/>
      <c r="K621" s="25"/>
      <c r="L621" s="25"/>
      <c r="M621" s="25"/>
    </row>
    <row r="622" spans="1:13" ht="15" x14ac:dyDescent="0.2">
      <c r="A622" s="25"/>
      <c r="B622" s="44"/>
      <c r="C622" s="118"/>
      <c r="D622" s="75"/>
      <c r="E622" s="56"/>
      <c r="F622" s="56"/>
      <c r="G622" s="174"/>
      <c r="H622" s="195"/>
      <c r="I622" s="25"/>
      <c r="J622" s="25"/>
      <c r="K622" s="25"/>
      <c r="L622" s="25"/>
      <c r="M622" s="25"/>
    </row>
    <row r="623" spans="1:13" ht="15.75" x14ac:dyDescent="0.25">
      <c r="A623" s="25"/>
      <c r="B623" s="44"/>
      <c r="C623" s="102" t="s">
        <v>154</v>
      </c>
      <c r="D623" s="75"/>
      <c r="E623" s="75"/>
      <c r="F623" s="25"/>
      <c r="G623" s="174"/>
      <c r="H623" s="57"/>
      <c r="I623" s="57"/>
      <c r="J623" s="155"/>
      <c r="K623" s="25"/>
      <c r="L623" s="25"/>
      <c r="M623" s="25"/>
    </row>
    <row r="624" spans="1:13" ht="15" x14ac:dyDescent="0.2">
      <c r="A624" s="25"/>
      <c r="B624" s="44"/>
      <c r="C624" s="95" t="s">
        <v>294</v>
      </c>
      <c r="D624" s="87">
        <f>-259450+215436.13+43167</f>
        <v>-846.86999999999534</v>
      </c>
      <c r="E624" s="57">
        <v>-94852.36</v>
      </c>
      <c r="F624" s="89" t="s">
        <v>155</v>
      </c>
      <c r="G624" s="59"/>
      <c r="H624" s="57"/>
      <c r="I624" s="57"/>
      <c r="J624" s="155"/>
      <c r="K624" s="25"/>
      <c r="L624" s="25"/>
      <c r="M624" s="25"/>
    </row>
    <row r="625" spans="1:13" ht="15" x14ac:dyDescent="0.2">
      <c r="A625" s="25"/>
      <c r="B625" s="44"/>
      <c r="C625" s="24"/>
      <c r="D625" s="24"/>
      <c r="E625" s="57">
        <v>-139.72999999999999</v>
      </c>
      <c r="F625" s="89" t="s">
        <v>156</v>
      </c>
      <c r="G625" s="24"/>
      <c r="H625" s="57"/>
      <c r="I625" s="57"/>
      <c r="J625" s="155"/>
      <c r="K625" s="25"/>
      <c r="L625" s="25"/>
      <c r="M625" s="25"/>
    </row>
    <row r="626" spans="1:13" ht="15" x14ac:dyDescent="0.2">
      <c r="A626" s="25"/>
      <c r="B626" s="44"/>
      <c r="C626" s="95" t="s">
        <v>297</v>
      </c>
      <c r="D626" s="24"/>
      <c r="E626" s="57">
        <v>0</v>
      </c>
      <c r="F626" s="89" t="s">
        <v>156</v>
      </c>
      <c r="G626" s="174"/>
      <c r="H626" s="57"/>
      <c r="I626" s="57"/>
      <c r="J626" s="155"/>
      <c r="K626" s="25"/>
      <c r="L626" s="25"/>
      <c r="M626" s="25"/>
    </row>
    <row r="627" spans="1:13" ht="15" x14ac:dyDescent="0.2">
      <c r="A627" s="25"/>
      <c r="B627" s="44"/>
      <c r="C627" s="95" t="s">
        <v>145</v>
      </c>
      <c r="D627" s="87">
        <f>-17000+17874.81</f>
        <v>874.81000000000131</v>
      </c>
      <c r="E627" s="57">
        <v>41692.47</v>
      </c>
      <c r="F627" s="89" t="s">
        <v>155</v>
      </c>
      <c r="G627" s="40"/>
      <c r="H627" s="57"/>
      <c r="I627" s="155"/>
      <c r="J627" s="155"/>
      <c r="K627" s="25"/>
      <c r="L627" s="25"/>
      <c r="M627" s="25"/>
    </row>
    <row r="628" spans="1:13" ht="15" x14ac:dyDescent="0.2">
      <c r="A628" s="25"/>
      <c r="B628" s="44"/>
      <c r="C628" s="95"/>
      <c r="D628" s="87"/>
      <c r="E628" s="57">
        <f>-38029+39985.95</f>
        <v>1956.9499999999971</v>
      </c>
      <c r="F628" s="89" t="s">
        <v>156</v>
      </c>
      <c r="G628" s="24"/>
      <c r="H628" s="57"/>
      <c r="I628" s="155"/>
      <c r="J628" s="57"/>
      <c r="K628" s="25"/>
      <c r="L628" s="25"/>
      <c r="M628" s="25"/>
    </row>
    <row r="629" spans="1:13" ht="15" x14ac:dyDescent="0.2">
      <c r="A629" s="25"/>
      <c r="B629" s="44"/>
      <c r="C629" s="33" t="s">
        <v>300</v>
      </c>
      <c r="D629" s="87">
        <v>0</v>
      </c>
      <c r="E629" s="57">
        <v>0</v>
      </c>
      <c r="F629" s="89" t="s">
        <v>155</v>
      </c>
      <c r="G629" s="174"/>
      <c r="H629" s="57"/>
      <c r="I629" s="155"/>
      <c r="J629" s="57"/>
      <c r="K629" s="25"/>
      <c r="L629" s="25"/>
      <c r="M629" s="25"/>
    </row>
    <row r="630" spans="1:13" ht="15" x14ac:dyDescent="0.2">
      <c r="A630" s="25"/>
      <c r="B630" s="44"/>
      <c r="C630" s="25"/>
      <c r="D630" s="87"/>
      <c r="E630" s="57">
        <v>0</v>
      </c>
      <c r="F630" s="89" t="s">
        <v>156</v>
      </c>
      <c r="G630" s="40"/>
      <c r="H630" s="57"/>
      <c r="I630" s="155"/>
      <c r="J630" s="25"/>
      <c r="K630" s="25"/>
      <c r="L630" s="25"/>
      <c r="M630" s="25"/>
    </row>
    <row r="631" spans="1:13" ht="15" x14ac:dyDescent="0.2">
      <c r="A631" s="25"/>
      <c r="B631" s="44"/>
      <c r="C631" s="33" t="s">
        <v>301</v>
      </c>
      <c r="D631" s="87"/>
      <c r="E631" s="57">
        <v>0</v>
      </c>
      <c r="F631" s="89" t="s">
        <v>155</v>
      </c>
      <c r="G631" s="174"/>
      <c r="H631" s="57"/>
      <c r="I631" s="155"/>
      <c r="J631" s="25"/>
      <c r="K631" s="25"/>
      <c r="L631" s="25"/>
      <c r="M631" s="25"/>
    </row>
    <row r="632" spans="1:13" ht="15" x14ac:dyDescent="0.2">
      <c r="A632" s="25"/>
      <c r="B632" s="44"/>
      <c r="C632" s="63" t="s">
        <v>303</v>
      </c>
      <c r="D632" s="87">
        <f>-13000+13142.23</f>
        <v>142.22999999999956</v>
      </c>
      <c r="E632" s="57">
        <f>-430820+434013.99-8106.1</f>
        <v>-4912.1100000000097</v>
      </c>
      <c r="F632" s="89" t="s">
        <v>155</v>
      </c>
      <c r="G632" s="174"/>
      <c r="H632" s="57"/>
      <c r="I632" s="155"/>
      <c r="J632" s="25"/>
      <c r="K632" s="25"/>
      <c r="L632" s="25"/>
      <c r="M632" s="25"/>
    </row>
    <row r="633" spans="1:13" ht="15" x14ac:dyDescent="0.2">
      <c r="A633" s="25"/>
      <c r="B633" s="44"/>
      <c r="C633" s="63" t="s">
        <v>304</v>
      </c>
      <c r="D633" s="87"/>
      <c r="E633" s="57">
        <f>-93210+95749.3</f>
        <v>2539.3000000000029</v>
      </c>
      <c r="F633" s="89" t="s">
        <v>156</v>
      </c>
      <c r="G633" s="174"/>
      <c r="H633" s="57"/>
      <c r="I633" s="155"/>
      <c r="J633" s="25"/>
      <c r="K633" s="25"/>
      <c r="L633" s="25"/>
      <c r="M633" s="25"/>
    </row>
    <row r="634" spans="1:13" ht="15" x14ac:dyDescent="0.2">
      <c r="A634" s="24"/>
      <c r="B634" s="24"/>
      <c r="C634" s="33" t="s">
        <v>305</v>
      </c>
      <c r="D634" s="87"/>
      <c r="E634" s="57">
        <f>-650+657.11</f>
        <v>7.1100000000000136</v>
      </c>
      <c r="F634" s="89" t="s">
        <v>155</v>
      </c>
      <c r="G634" s="174"/>
      <c r="H634" s="57"/>
      <c r="I634" s="155"/>
      <c r="J634" s="24"/>
      <c r="K634" s="25"/>
      <c r="L634" s="25"/>
      <c r="M634" s="25"/>
    </row>
    <row r="635" spans="1:13" ht="15" x14ac:dyDescent="0.2">
      <c r="A635" s="24"/>
      <c r="B635" s="24"/>
      <c r="C635" s="33" t="s">
        <v>307</v>
      </c>
      <c r="D635" s="87"/>
      <c r="E635" s="57">
        <v>-20</v>
      </c>
      <c r="F635" s="115" t="s">
        <v>156</v>
      </c>
      <c r="G635" s="24"/>
      <c r="H635" s="57"/>
      <c r="I635" s="155"/>
      <c r="J635" s="24"/>
      <c r="K635" s="25"/>
      <c r="L635" s="25"/>
      <c r="M635" s="25"/>
    </row>
    <row r="636" spans="1:13" ht="15" x14ac:dyDescent="0.2">
      <c r="A636" s="24"/>
      <c r="B636" s="24"/>
      <c r="C636" s="63" t="s">
        <v>148</v>
      </c>
      <c r="D636" s="87">
        <f>-75000+75094.81</f>
        <v>94.809999999997672</v>
      </c>
      <c r="E636" s="57">
        <f>-3165750+869905.88+2299846.06+28517.73+90529.51</f>
        <v>123049.17999999993</v>
      </c>
      <c r="F636" s="89" t="s">
        <v>155</v>
      </c>
      <c r="G636" s="25"/>
      <c r="H636" s="57"/>
      <c r="I636" s="24"/>
      <c r="J636" s="24"/>
      <c r="K636" s="25"/>
      <c r="L636" s="25"/>
      <c r="M636" s="25"/>
    </row>
    <row r="637" spans="1:13" ht="15" x14ac:dyDescent="0.2">
      <c r="A637" s="25"/>
      <c r="B637" s="44"/>
      <c r="C637" s="24"/>
      <c r="D637" s="87"/>
      <c r="E637" s="57">
        <f>-373725+63022.32+309642.86</f>
        <v>-1059.820000000007</v>
      </c>
      <c r="F637" s="115" t="s">
        <v>156</v>
      </c>
      <c r="G637" s="24"/>
      <c r="H637" s="57"/>
      <c r="I637" s="155"/>
      <c r="J637" s="25"/>
      <c r="K637" s="25"/>
      <c r="L637" s="25"/>
      <c r="M637" s="25"/>
    </row>
    <row r="638" spans="1:13" ht="15" x14ac:dyDescent="0.2">
      <c r="A638" s="25"/>
      <c r="B638" s="44"/>
      <c r="C638" s="24"/>
      <c r="D638" s="87"/>
      <c r="E638" s="57"/>
      <c r="F638" s="115"/>
      <c r="G638" s="59"/>
      <c r="H638" s="57"/>
      <c r="I638" s="24"/>
      <c r="J638" s="25"/>
      <c r="K638" s="25"/>
      <c r="L638" s="25"/>
      <c r="M638" s="25"/>
    </row>
    <row r="639" spans="1:13" ht="15" x14ac:dyDescent="0.2">
      <c r="A639" s="25"/>
      <c r="B639" s="44"/>
      <c r="C639" s="63" t="s">
        <v>153</v>
      </c>
      <c r="D639" s="104">
        <f>SUM(D624:D638)</f>
        <v>264.9800000000032</v>
      </c>
      <c r="E639" s="179">
        <f>SUM(E624:E638)</f>
        <v>68260.989999999932</v>
      </c>
      <c r="F639" s="56"/>
      <c r="G639" s="174"/>
      <c r="H639" s="179">
        <f>SUM(H623:H638)</f>
        <v>0</v>
      </c>
      <c r="I639" s="188"/>
      <c r="J639" s="25"/>
      <c r="K639" s="25"/>
      <c r="L639" s="25"/>
      <c r="M639" s="25"/>
    </row>
    <row r="640" spans="1:13" ht="15" x14ac:dyDescent="0.2">
      <c r="A640" s="25"/>
      <c r="B640" s="44"/>
      <c r="C640" s="95" t="s">
        <v>157</v>
      </c>
      <c r="D640" s="51">
        <f>+D621+D639</f>
        <v>367338.05</v>
      </c>
      <c r="E640" s="52">
        <f>+E621+E639</f>
        <v>16296226.220000003</v>
      </c>
      <c r="F640" s="89">
        <f>ROUND(E640/D640,5)</f>
        <v>44.363019999999999</v>
      </c>
      <c r="G640" s="116"/>
      <c r="H640" s="155"/>
      <c r="I640" s="155"/>
      <c r="J640" s="25"/>
      <c r="K640" s="25"/>
      <c r="L640" s="25"/>
      <c r="M640" s="25"/>
    </row>
    <row r="641" spans="1:13" ht="15" x14ac:dyDescent="0.2">
      <c r="A641" s="25"/>
      <c r="B641" s="44"/>
      <c r="C641" s="113" t="s">
        <v>158</v>
      </c>
      <c r="D641" s="168">
        <f>D600+D640</f>
        <v>2159172.4760000026</v>
      </c>
      <c r="E641" s="169">
        <f>E600+E640</f>
        <v>91869202.639999986</v>
      </c>
      <c r="F641" s="114">
        <f>ROUND(E641/D641,5)</f>
        <v>42.548340000000003</v>
      </c>
      <c r="G641" s="197"/>
      <c r="H641" s="116">
        <f>+E640+E643</f>
        <v>16154055.190000003</v>
      </c>
      <c r="I641" s="78" t="s">
        <v>308</v>
      </c>
      <c r="J641" s="25"/>
      <c r="K641" s="25"/>
      <c r="L641" s="25"/>
      <c r="M641" s="25"/>
    </row>
    <row r="642" spans="1:13" ht="15" x14ac:dyDescent="0.2">
      <c r="A642" s="25"/>
      <c r="B642" s="44"/>
      <c r="C642" s="113"/>
      <c r="D642" s="111"/>
      <c r="E642" s="112"/>
      <c r="F642" s="115"/>
      <c r="G642" s="197"/>
      <c r="H642" s="116"/>
      <c r="I642" s="78"/>
      <c r="J642" s="25"/>
      <c r="K642" s="25"/>
      <c r="L642" s="25"/>
      <c r="M642" s="25"/>
    </row>
    <row r="643" spans="1:13" ht="15" x14ac:dyDescent="0.2">
      <c r="A643" s="25"/>
      <c r="B643" s="44"/>
      <c r="C643" s="98" t="s">
        <v>159</v>
      </c>
      <c r="D643" s="198"/>
      <c r="E643" s="50">
        <f>+H653</f>
        <v>-142171.03</v>
      </c>
      <c r="F643" s="199"/>
      <c r="G643" s="174"/>
      <c r="H643" s="193">
        <f>+E641+E643</f>
        <v>91727031.609999985</v>
      </c>
      <c r="I643" s="56"/>
      <c r="J643" s="25"/>
      <c r="K643" s="25"/>
      <c r="L643" s="25"/>
      <c r="M643" s="25"/>
    </row>
    <row r="644" spans="1:13" ht="15" x14ac:dyDescent="0.2">
      <c r="A644" s="25"/>
      <c r="B644" s="44"/>
      <c r="C644" s="98"/>
      <c r="D644" s="198"/>
      <c r="E644" s="50"/>
      <c r="F644" s="199"/>
      <c r="G644" s="174"/>
      <c r="H644" s="193"/>
      <c r="I644" s="56"/>
      <c r="J644" s="25"/>
      <c r="K644" s="25"/>
      <c r="L644" s="25"/>
      <c r="M644" s="25"/>
    </row>
    <row r="645" spans="1:13" ht="15.75" x14ac:dyDescent="0.25">
      <c r="A645" s="25"/>
      <c r="B645" s="44"/>
      <c r="C645" s="200" t="s">
        <v>309</v>
      </c>
      <c r="D645" s="201">
        <f>-118125.297+120172.813</f>
        <v>2047.5159999999887</v>
      </c>
      <c r="E645" s="202">
        <f>ROUND(+D645*F641,2)</f>
        <v>87118.41</v>
      </c>
      <c r="F645" s="116"/>
      <c r="G645" s="174"/>
      <c r="H645" s="193">
        <f>+E643-E646-E652-E658</f>
        <v>0</v>
      </c>
      <c r="I645" s="25" t="s">
        <v>310</v>
      </c>
      <c r="J645" s="25"/>
      <c r="K645" s="25"/>
      <c r="L645" s="25"/>
      <c r="M645" s="25"/>
    </row>
    <row r="646" spans="1:13" ht="15" x14ac:dyDescent="0.2">
      <c r="A646" s="25"/>
      <c r="B646" s="44"/>
      <c r="C646" s="119" t="s">
        <v>165</v>
      </c>
      <c r="D646" s="201">
        <v>0</v>
      </c>
      <c r="E646" s="203">
        <v>-49938.42</v>
      </c>
      <c r="F646" s="90"/>
      <c r="G646" s="174"/>
      <c r="H646" s="116" t="s">
        <v>311</v>
      </c>
      <c r="I646" s="25"/>
      <c r="J646" s="25"/>
      <c r="K646" s="25"/>
      <c r="L646" s="25"/>
      <c r="M646" s="25"/>
    </row>
    <row r="647" spans="1:13" ht="15" x14ac:dyDescent="0.2">
      <c r="A647" s="25"/>
      <c r="B647" s="25"/>
      <c r="C647" s="122" t="s">
        <v>169</v>
      </c>
      <c r="D647" s="142">
        <v>0</v>
      </c>
      <c r="E647" s="57">
        <v>0</v>
      </c>
      <c r="F647" s="89"/>
      <c r="G647" s="174"/>
      <c r="H647" s="90" t="s">
        <v>161</v>
      </c>
      <c r="I647" s="56"/>
      <c r="J647" s="25"/>
      <c r="K647" s="25"/>
      <c r="L647" s="25"/>
      <c r="M647" s="25"/>
    </row>
    <row r="648" spans="1:13" ht="15" x14ac:dyDescent="0.2">
      <c r="A648" s="25"/>
      <c r="B648" s="25"/>
      <c r="C648" s="119" t="s">
        <v>170</v>
      </c>
      <c r="D648" s="87">
        <v>124381.181</v>
      </c>
      <c r="E648" s="40">
        <f>ROUND(+D648*F641,2)</f>
        <v>5292212.78</v>
      </c>
      <c r="F648" s="89">
        <f>IF(E648=0,0,E648/D648)</f>
        <v>42.548340009731859</v>
      </c>
      <c r="G648" s="204"/>
      <c r="H648" s="117">
        <v>-142171.03</v>
      </c>
      <c r="I648" s="98" t="s">
        <v>163</v>
      </c>
      <c r="J648" s="25"/>
      <c r="K648" s="25"/>
      <c r="L648" s="25"/>
      <c r="M648" s="25"/>
    </row>
    <row r="649" spans="1:13" ht="15" x14ac:dyDescent="0.2">
      <c r="A649" s="25"/>
      <c r="B649" s="25"/>
      <c r="C649" s="124" t="s">
        <v>171</v>
      </c>
      <c r="D649" s="51">
        <f>SUM(D645:D648)</f>
        <v>126428.69699999999</v>
      </c>
      <c r="E649" s="52">
        <f>SUM(E645:E648)</f>
        <v>5329392.7700000005</v>
      </c>
      <c r="F649" s="89"/>
      <c r="G649" s="25"/>
      <c r="H649" s="117">
        <v>0</v>
      </c>
      <c r="I649" s="98"/>
      <c r="J649" s="25"/>
      <c r="K649" s="25"/>
      <c r="L649" s="25"/>
      <c r="M649" s="25"/>
    </row>
    <row r="650" spans="1:13" ht="15" x14ac:dyDescent="0.2">
      <c r="A650" s="38"/>
      <c r="B650" s="25"/>
      <c r="C650" s="24"/>
      <c r="D650" s="24"/>
      <c r="E650" s="24"/>
      <c r="F650" s="24"/>
      <c r="G650" s="197"/>
      <c r="H650" s="117">
        <v>0</v>
      </c>
      <c r="I650" s="98"/>
      <c r="J650" s="25"/>
      <c r="K650" s="25"/>
      <c r="L650" s="25"/>
      <c r="M650" s="25"/>
    </row>
    <row r="651" spans="1:13" ht="15" x14ac:dyDescent="0.2">
      <c r="A651" s="25"/>
      <c r="B651" s="27"/>
      <c r="C651" s="122" t="s">
        <v>312</v>
      </c>
      <c r="D651" s="142">
        <f>-111409.67+116351</f>
        <v>4941.3300000000017</v>
      </c>
      <c r="E651" s="202">
        <f>ROUND(+D651*F641,2)</f>
        <v>210245.39</v>
      </c>
      <c r="F651" s="90"/>
      <c r="G651" s="174"/>
      <c r="H651" s="117">
        <v>0</v>
      </c>
      <c r="I651" s="98"/>
      <c r="J651" s="25"/>
      <c r="K651" s="25"/>
      <c r="L651" s="25"/>
      <c r="M651" s="25"/>
    </row>
    <row r="652" spans="1:13" ht="15" x14ac:dyDescent="0.2">
      <c r="A652" s="25"/>
      <c r="B652" s="27"/>
      <c r="C652" s="119" t="s">
        <v>165</v>
      </c>
      <c r="D652" s="201">
        <v>0</v>
      </c>
      <c r="E652" s="203">
        <v>-47799.55</v>
      </c>
      <c r="F652" s="90"/>
      <c r="G652" s="174"/>
      <c r="H652" s="117">
        <v>0</v>
      </c>
      <c r="I652" s="25"/>
      <c r="J652" s="25"/>
      <c r="K652" s="25"/>
      <c r="L652" s="25"/>
      <c r="M652" s="25"/>
    </row>
    <row r="653" spans="1:13" ht="15.75" thickBot="1" x14ac:dyDescent="0.25">
      <c r="A653" s="25"/>
      <c r="B653" s="25"/>
      <c r="C653" s="122" t="s">
        <v>169</v>
      </c>
      <c r="D653" s="142">
        <v>0</v>
      </c>
      <c r="E653" s="57">
        <v>0</v>
      </c>
      <c r="F653" s="89"/>
      <c r="G653" s="174"/>
      <c r="H653" s="205">
        <f>SUM(H648:H652)</f>
        <v>-142171.03</v>
      </c>
      <c r="I653" s="27"/>
      <c r="J653" s="25"/>
      <c r="K653" s="25"/>
      <c r="L653" s="25"/>
      <c r="M653" s="25"/>
    </row>
    <row r="654" spans="1:13" ht="15.75" thickTop="1" x14ac:dyDescent="0.2">
      <c r="A654" s="25"/>
      <c r="B654" s="25"/>
      <c r="C654" s="119" t="s">
        <v>170</v>
      </c>
      <c r="D654" s="87">
        <v>123178.614</v>
      </c>
      <c r="E654" s="40">
        <f>ROUND(+D654*F641,2)</f>
        <v>5241045.55</v>
      </c>
      <c r="F654" s="89">
        <f>IF(E654=0,0,E654/D654)</f>
        <v>42.548340006488459</v>
      </c>
      <c r="G654" s="174"/>
      <c r="H654" s="90"/>
      <c r="I654" s="27"/>
      <c r="J654" s="25"/>
      <c r="K654" s="25"/>
      <c r="L654" s="25"/>
      <c r="M654" s="25"/>
    </row>
    <row r="655" spans="1:13" ht="15" x14ac:dyDescent="0.2">
      <c r="A655" s="25"/>
      <c r="B655" s="25"/>
      <c r="C655" s="113" t="s">
        <v>175</v>
      </c>
      <c r="D655" s="51">
        <f>SUM(D651:D654)</f>
        <v>128119.944</v>
      </c>
      <c r="E655" s="52">
        <f>SUM(E651:E654)</f>
        <v>5403491.3899999997</v>
      </c>
      <c r="F655" s="89"/>
      <c r="G655" s="204"/>
      <c r="H655" s="90"/>
      <c r="I655" s="25"/>
      <c r="J655" s="25"/>
      <c r="K655" s="25"/>
      <c r="L655" s="25"/>
      <c r="M655" s="25"/>
    </row>
    <row r="656" spans="1:13" ht="15" x14ac:dyDescent="0.2">
      <c r="A656" s="25"/>
      <c r="B656" s="25"/>
      <c r="C656" s="24"/>
      <c r="D656" s="24"/>
      <c r="E656" s="24"/>
      <c r="F656" s="89"/>
      <c r="G656" s="25"/>
      <c r="H656" s="90"/>
      <c r="I656" s="56">
        <f>+E639-E645-E651-E657</f>
        <v>-246183.84000000008</v>
      </c>
      <c r="J656" s="25" t="s">
        <v>313</v>
      </c>
      <c r="K656" s="25"/>
      <c r="L656" s="25"/>
      <c r="M656" s="25"/>
    </row>
    <row r="657" spans="1:13" ht="15" x14ac:dyDescent="0.2">
      <c r="A657" s="25" t="s">
        <v>314</v>
      </c>
      <c r="B657" s="25"/>
      <c r="C657" s="122" t="s">
        <v>312</v>
      </c>
      <c r="D657" s="87">
        <f>-132183.55+132585</f>
        <v>401.45000000001164</v>
      </c>
      <c r="E657" s="202">
        <f>ROUND(+D657*F641,2)</f>
        <v>17081.03</v>
      </c>
      <c r="F657" s="90"/>
      <c r="G657" s="197"/>
      <c r="H657" s="90"/>
      <c r="I657" s="56">
        <f>+E645+E651+E657</f>
        <v>314444.83000000007</v>
      </c>
      <c r="J657" s="25" t="s">
        <v>315</v>
      </c>
      <c r="K657" s="25"/>
      <c r="L657" s="25"/>
      <c r="M657" s="25"/>
    </row>
    <row r="658" spans="1:13" ht="15" x14ac:dyDescent="0.2">
      <c r="A658" s="25" t="s">
        <v>316</v>
      </c>
      <c r="B658" s="25"/>
      <c r="C658" s="119" t="s">
        <v>165</v>
      </c>
      <c r="D658" s="201">
        <v>0</v>
      </c>
      <c r="E658" s="203">
        <v>-44433.06</v>
      </c>
      <c r="F658" s="90"/>
      <c r="G658" s="174"/>
      <c r="H658" s="90"/>
      <c r="I658" s="56">
        <f>+E684+E703+E730</f>
        <v>291888.58999999997</v>
      </c>
      <c r="J658" s="25" t="s">
        <v>317</v>
      </c>
      <c r="K658" s="25"/>
      <c r="L658" s="25"/>
      <c r="M658" s="25"/>
    </row>
    <row r="659" spans="1:13" ht="15" x14ac:dyDescent="0.2">
      <c r="A659" s="25" t="s">
        <v>318</v>
      </c>
      <c r="B659" s="25"/>
      <c r="C659" s="122" t="s">
        <v>169</v>
      </c>
      <c r="D659" s="87">
        <v>0</v>
      </c>
      <c r="E659" s="57">
        <v>0</v>
      </c>
      <c r="F659" s="89"/>
      <c r="G659" s="174"/>
      <c r="H659" s="116"/>
      <c r="I659" s="56">
        <f>+E692+E711+E719</f>
        <v>22556.240000000002</v>
      </c>
      <c r="J659" s="25" t="s">
        <v>319</v>
      </c>
      <c r="K659" s="25"/>
      <c r="L659" s="25"/>
      <c r="M659" s="25"/>
    </row>
    <row r="660" spans="1:13" ht="15" x14ac:dyDescent="0.2">
      <c r="A660" s="25"/>
      <c r="B660" s="25"/>
      <c r="C660" s="119" t="s">
        <v>170</v>
      </c>
      <c r="D660" s="87">
        <v>121208.16499999999</v>
      </c>
      <c r="E660" s="40">
        <f>ROUND(+D660*F641,2)</f>
        <v>5157206.22</v>
      </c>
      <c r="F660" s="89">
        <f>IF(E660=0,0,E660/D660)</f>
        <v>42.548340039633466</v>
      </c>
      <c r="G660" s="174"/>
      <c r="H660" s="90"/>
      <c r="I660" s="25"/>
      <c r="J660" s="25"/>
      <c r="K660" s="25"/>
      <c r="L660" s="25"/>
      <c r="M660" s="25"/>
    </row>
    <row r="661" spans="1:13" ht="15" x14ac:dyDescent="0.2">
      <c r="A661" s="25"/>
      <c r="B661" s="25"/>
      <c r="C661" s="27" t="s">
        <v>263</v>
      </c>
      <c r="D661" s="51">
        <f>SUM(D657:D660)</f>
        <v>121609.61500000001</v>
      </c>
      <c r="E661" s="52">
        <f>SUM(E657:E660)</f>
        <v>5129854.1899999995</v>
      </c>
      <c r="F661" s="37"/>
      <c r="G661" s="174"/>
      <c r="H661" s="90"/>
      <c r="I661" s="25"/>
      <c r="J661" s="25"/>
      <c r="K661" s="25"/>
      <c r="L661" s="25"/>
      <c r="M661" s="25"/>
    </row>
    <row r="662" spans="1:13" ht="15" x14ac:dyDescent="0.2">
      <c r="A662" s="25"/>
      <c r="B662" s="25"/>
      <c r="C662" s="27"/>
      <c r="D662" s="48"/>
      <c r="E662" s="50"/>
      <c r="F662" s="37"/>
      <c r="G662" s="174"/>
      <c r="H662" s="90"/>
      <c r="I662" s="25"/>
      <c r="J662" s="25"/>
      <c r="K662" s="25"/>
      <c r="L662" s="25"/>
      <c r="M662" s="25"/>
    </row>
    <row r="663" spans="1:13" ht="15" x14ac:dyDescent="0.2">
      <c r="A663" s="25"/>
      <c r="B663" s="25"/>
      <c r="C663" s="164" t="s">
        <v>320</v>
      </c>
      <c r="D663" s="51">
        <f>D649+D655+D661</f>
        <v>376158.25599999999</v>
      </c>
      <c r="E663" s="52">
        <f>E649+E655+E661</f>
        <v>15862738.35</v>
      </c>
      <c r="F663" s="37">
        <f>ROUND(E663/D663,5)</f>
        <v>42.170380000000002</v>
      </c>
      <c r="G663" s="25"/>
      <c r="H663" s="116"/>
      <c r="I663" s="206"/>
      <c r="J663" s="25"/>
      <c r="K663" s="25"/>
      <c r="L663" s="25"/>
      <c r="M663" s="25"/>
    </row>
    <row r="664" spans="1:13" ht="15" x14ac:dyDescent="0.2">
      <c r="A664" s="25"/>
      <c r="B664" s="25"/>
      <c r="C664" s="164"/>
      <c r="D664" s="48"/>
      <c r="E664" s="50"/>
      <c r="F664" s="37"/>
      <c r="G664" s="25"/>
      <c r="H664" s="116"/>
      <c r="I664" s="206"/>
      <c r="J664" s="25"/>
      <c r="K664" s="25"/>
      <c r="L664" s="25"/>
      <c r="M664" s="25"/>
    </row>
    <row r="665" spans="1:13" ht="15.75" thickBot="1" x14ac:dyDescent="0.25">
      <c r="A665" s="25"/>
      <c r="B665" s="25"/>
      <c r="C665" s="33" t="s">
        <v>178</v>
      </c>
      <c r="D665" s="133">
        <f>D641-D663</f>
        <v>1783014.2200000025</v>
      </c>
      <c r="E665" s="134">
        <f>E641+E643-E663</f>
        <v>75864293.25999999</v>
      </c>
      <c r="F665" s="37">
        <f>ROUND(E665/D665,5)</f>
        <v>42.548340000000003</v>
      </c>
      <c r="G665" s="174"/>
      <c r="H665" s="98" t="s">
        <v>321</v>
      </c>
      <c r="I665" s="25"/>
      <c r="J665" s="25"/>
      <c r="K665" s="25"/>
      <c r="L665" s="25"/>
      <c r="M665" s="25"/>
    </row>
    <row r="666" spans="1:13" ht="15.75" thickTop="1" x14ac:dyDescent="0.2">
      <c r="A666" s="25"/>
      <c r="B666" s="25"/>
      <c r="C666" s="33"/>
      <c r="D666" s="48"/>
      <c r="E666" s="182"/>
      <c r="F666" s="37"/>
      <c r="G666" s="174"/>
      <c r="H666" s="98"/>
      <c r="I666" s="25"/>
      <c r="J666" s="25"/>
      <c r="K666" s="25"/>
      <c r="L666" s="25"/>
      <c r="M666" s="25"/>
    </row>
    <row r="667" spans="1:13" ht="15" x14ac:dyDescent="0.2">
      <c r="A667" s="25"/>
      <c r="B667" s="25"/>
      <c r="C667" s="90" t="s">
        <v>322</v>
      </c>
      <c r="D667" s="207"/>
      <c r="E667" s="208"/>
      <c r="F667" s="209"/>
      <c r="G667" s="24"/>
      <c r="H667" s="90"/>
      <c r="I667" s="63"/>
      <c r="J667" s="24"/>
      <c r="K667" s="25"/>
      <c r="L667" s="25"/>
      <c r="M667" s="25"/>
    </row>
    <row r="668" spans="1:13" ht="15" x14ac:dyDescent="0.2">
      <c r="A668" s="25"/>
      <c r="B668" s="70"/>
      <c r="C668" s="128"/>
      <c r="D668" s="128"/>
      <c r="E668" s="128"/>
      <c r="F668" s="128"/>
      <c r="G668" s="25"/>
      <c r="H668" s="70"/>
      <c r="I668" s="25"/>
      <c r="J668" s="25"/>
      <c r="K668" s="25"/>
      <c r="L668" s="25"/>
      <c r="M668" s="25"/>
    </row>
    <row r="669" spans="1:13" ht="15" x14ac:dyDescent="0.2">
      <c r="A669" s="25"/>
      <c r="B669" s="24" t="s">
        <v>323</v>
      </c>
      <c r="C669" s="128"/>
      <c r="D669" s="128"/>
      <c r="E669" s="128"/>
      <c r="F669" s="128"/>
      <c r="G669" s="25"/>
      <c r="H669" s="24" t="s">
        <v>117</v>
      </c>
      <c r="I669" s="25"/>
      <c r="J669" s="25"/>
      <c r="K669" s="25"/>
      <c r="L669" s="25"/>
      <c r="M669" s="25"/>
    </row>
    <row r="670" spans="1:13" ht="15" customHeight="1" x14ac:dyDescent="0.25">
      <c r="A670" s="24"/>
      <c r="B670" s="25"/>
      <c r="C670" s="241" t="s">
        <v>324</v>
      </c>
      <c r="D670" s="241"/>
      <c r="E670" s="241"/>
      <c r="F670" s="241"/>
      <c r="G670" s="25"/>
      <c r="H670" s="25"/>
      <c r="I670" s="25"/>
      <c r="J670" s="25"/>
      <c r="K670" s="25"/>
      <c r="L670" s="25"/>
      <c r="M670" s="25"/>
    </row>
    <row r="671" spans="1:13" ht="15" x14ac:dyDescent="0.2">
      <c r="A671" s="24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</row>
    <row r="672" spans="1:13" ht="15" x14ac:dyDescent="0.2">
      <c r="A672" s="24"/>
      <c r="C672" s="25" t="str">
        <f>+C596</f>
        <v>PRELIMINARY</v>
      </c>
      <c r="D672" s="25"/>
      <c r="E672" s="210" t="str">
        <f>+E596</f>
        <v xml:space="preserve">MONTH OF </v>
      </c>
      <c r="F672" s="85" t="str">
        <f>+F596</f>
        <v>AUGUST 2013</v>
      </c>
      <c r="G672" s="25"/>
      <c r="H672" s="25"/>
      <c r="I672" s="25"/>
      <c r="J672" s="25"/>
      <c r="K672" s="25"/>
      <c r="L672" s="25"/>
      <c r="M672" s="25"/>
    </row>
    <row r="673" spans="1:13" ht="15" x14ac:dyDescent="0.2">
      <c r="A673" s="24"/>
      <c r="C673" s="25"/>
      <c r="D673" s="25"/>
      <c r="E673" s="210"/>
      <c r="F673" s="85"/>
      <c r="G673" s="25"/>
      <c r="H673" s="25"/>
      <c r="I673" s="25"/>
      <c r="J673" s="25"/>
      <c r="K673" s="25"/>
      <c r="L673" s="25"/>
      <c r="M673" s="25"/>
    </row>
    <row r="674" spans="1:13" ht="15" x14ac:dyDescent="0.2">
      <c r="A674" s="24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</row>
    <row r="675" spans="1:13" ht="15" x14ac:dyDescent="0.2">
      <c r="A675" s="24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</row>
    <row r="676" spans="1:13" ht="15" x14ac:dyDescent="0.2">
      <c r="A676" s="24"/>
      <c r="C676" s="211" t="s">
        <v>325</v>
      </c>
      <c r="D676" s="212" t="s">
        <v>326</v>
      </c>
      <c r="E676" s="212" t="s">
        <v>327</v>
      </c>
      <c r="G676" s="25"/>
      <c r="H676" s="25"/>
      <c r="I676" s="25"/>
      <c r="J676" s="25"/>
      <c r="K676" s="25"/>
      <c r="L676" s="25"/>
      <c r="M676" s="25"/>
    </row>
    <row r="677" spans="1:13" ht="15" x14ac:dyDescent="0.2">
      <c r="A677" s="24"/>
      <c r="C677" s="38"/>
      <c r="D677" s="38"/>
      <c r="E677" s="38"/>
      <c r="G677" s="25"/>
      <c r="H677" s="25"/>
      <c r="I677" s="25"/>
      <c r="J677" s="25"/>
      <c r="K677" s="25"/>
      <c r="L677" s="25"/>
      <c r="M677" s="25"/>
    </row>
    <row r="678" spans="1:13" ht="15.75" x14ac:dyDescent="0.25">
      <c r="A678" s="24"/>
      <c r="C678" s="213" t="s">
        <v>171</v>
      </c>
      <c r="D678" s="36"/>
      <c r="E678" s="32"/>
      <c r="G678" s="25"/>
      <c r="H678" s="25"/>
      <c r="I678" s="25"/>
      <c r="J678" s="25"/>
      <c r="K678" s="25"/>
      <c r="L678" s="25"/>
      <c r="M678" s="25"/>
    </row>
    <row r="679" spans="1:13" ht="15.75" x14ac:dyDescent="0.25">
      <c r="A679" s="24"/>
      <c r="C679" s="213" t="s">
        <v>328</v>
      </c>
      <c r="D679" s="36"/>
      <c r="E679" s="32"/>
      <c r="G679" s="25"/>
      <c r="H679" s="25"/>
      <c r="I679" s="25"/>
      <c r="J679" s="25"/>
      <c r="K679" s="25"/>
      <c r="L679" s="25"/>
      <c r="M679" s="25"/>
    </row>
    <row r="680" spans="1:13" ht="15" x14ac:dyDescent="0.2">
      <c r="A680" s="24"/>
      <c r="C680" s="214" t="s">
        <v>329</v>
      </c>
      <c r="D680" s="48">
        <f>+D648-D688</f>
        <v>114404.007</v>
      </c>
      <c r="E680" s="50">
        <f>ROUND(D680*F641,2)</f>
        <v>4867700.59</v>
      </c>
      <c r="G680" s="78"/>
      <c r="H680" s="25"/>
      <c r="I680" s="25"/>
      <c r="J680" s="25"/>
      <c r="K680" s="25"/>
      <c r="L680" s="25"/>
      <c r="M680" s="25"/>
    </row>
    <row r="681" spans="1:13" ht="15" x14ac:dyDescent="0.2">
      <c r="A681" s="24" t="s">
        <v>330</v>
      </c>
      <c r="C681" s="214" t="s">
        <v>331</v>
      </c>
      <c r="D681" s="215">
        <f>0-D689</f>
        <v>0</v>
      </c>
      <c r="E681" s="216">
        <f>0-E689</f>
        <v>0</v>
      </c>
      <c r="G681" s="78"/>
      <c r="H681" s="25"/>
      <c r="I681" s="25"/>
      <c r="J681" s="25"/>
      <c r="K681" s="25"/>
      <c r="L681" s="25"/>
      <c r="M681" s="25"/>
    </row>
    <row r="682" spans="1:13" ht="15" x14ac:dyDescent="0.2">
      <c r="A682" s="24" t="s">
        <v>332</v>
      </c>
      <c r="C682" s="98" t="s">
        <v>333</v>
      </c>
      <c r="D682" s="215">
        <v>0</v>
      </c>
      <c r="E682" s="203">
        <v>-46388.81</v>
      </c>
      <c r="G682" s="78"/>
      <c r="H682" s="25"/>
      <c r="I682" s="25"/>
      <c r="J682" s="25"/>
      <c r="K682" s="25"/>
      <c r="L682" s="25"/>
      <c r="M682" s="25"/>
    </row>
    <row r="683" spans="1:13" ht="15" x14ac:dyDescent="0.2">
      <c r="A683" s="24" t="s">
        <v>332</v>
      </c>
      <c r="C683" s="98" t="s">
        <v>334</v>
      </c>
      <c r="D683" s="215">
        <v>0</v>
      </c>
      <c r="E683" s="203">
        <v>0</v>
      </c>
      <c r="G683" s="24"/>
      <c r="H683" s="24"/>
      <c r="I683" s="25"/>
      <c r="J683" s="25"/>
      <c r="K683" s="25"/>
      <c r="L683" s="25"/>
      <c r="M683" s="25"/>
    </row>
    <row r="684" spans="1:13" ht="15" x14ac:dyDescent="0.2">
      <c r="A684" s="24" t="s">
        <v>335</v>
      </c>
      <c r="C684" s="78" t="s">
        <v>336</v>
      </c>
      <c r="D684" s="217">
        <f>-108429.687+110283.973</f>
        <v>1854.2859999999928</v>
      </c>
      <c r="E684" s="52">
        <f>ROUND(D684*F641,2)</f>
        <v>78896.789999999994</v>
      </c>
      <c r="G684" s="78"/>
      <c r="H684" s="25"/>
      <c r="I684" s="25"/>
      <c r="J684" s="25"/>
      <c r="K684" s="25"/>
      <c r="L684" s="25"/>
      <c r="M684" s="25"/>
    </row>
    <row r="685" spans="1:13" ht="15" x14ac:dyDescent="0.2">
      <c r="A685" s="24"/>
      <c r="C685" s="214" t="s">
        <v>337</v>
      </c>
      <c r="D685" s="106">
        <f>SUM(D679:D684)</f>
        <v>116258.29299999999</v>
      </c>
      <c r="E685" s="107">
        <f>SUM(E679:E684)</f>
        <v>4900208.57</v>
      </c>
      <c r="G685" s="78"/>
      <c r="H685" s="25"/>
      <c r="I685" s="25"/>
      <c r="J685" s="25"/>
      <c r="K685" s="25"/>
      <c r="L685" s="25"/>
      <c r="M685" s="25"/>
    </row>
    <row r="686" spans="1:13" ht="15" x14ac:dyDescent="0.2">
      <c r="A686" s="24"/>
      <c r="C686" s="78"/>
      <c r="D686" s="78"/>
      <c r="E686" s="78"/>
      <c r="G686" s="78"/>
      <c r="H686" s="25"/>
      <c r="I686" s="25" t="s">
        <v>338</v>
      </c>
      <c r="J686" s="25"/>
      <c r="K686" s="25"/>
      <c r="L686" s="25"/>
      <c r="M686" s="25"/>
    </row>
    <row r="687" spans="1:13" ht="15.75" x14ac:dyDescent="0.25">
      <c r="A687" s="24"/>
      <c r="C687" s="213" t="s">
        <v>339</v>
      </c>
      <c r="D687" s="78"/>
      <c r="E687" s="78"/>
      <c r="G687" s="78"/>
      <c r="H687" s="25"/>
      <c r="I687" s="25" t="s">
        <v>126</v>
      </c>
      <c r="J687" s="25"/>
      <c r="K687" s="25"/>
      <c r="L687" s="25"/>
      <c r="M687" s="25"/>
    </row>
    <row r="688" spans="1:13" ht="15" x14ac:dyDescent="0.2">
      <c r="A688" s="24"/>
      <c r="C688" s="214" t="s">
        <v>329</v>
      </c>
      <c r="D688" s="145">
        <v>9977.1740000000009</v>
      </c>
      <c r="E688" s="50">
        <f>ROUND(D688*F641,2)</f>
        <v>424512.19</v>
      </c>
      <c r="H688" s="107">
        <f>+E680+E688-E648</f>
        <v>0</v>
      </c>
      <c r="I688" s="214" t="s">
        <v>340</v>
      </c>
      <c r="J688" s="25"/>
      <c r="K688" s="25"/>
      <c r="L688" s="25"/>
      <c r="M688" s="25"/>
    </row>
    <row r="689" spans="1:13" ht="15" x14ac:dyDescent="0.2">
      <c r="A689" s="24"/>
      <c r="C689" s="214" t="s">
        <v>331</v>
      </c>
      <c r="D689" s="215">
        <v>0</v>
      </c>
      <c r="E689" s="216">
        <v>0</v>
      </c>
      <c r="H689" s="107">
        <f>+E681+E689-E647</f>
        <v>0</v>
      </c>
      <c r="I689" s="214" t="s">
        <v>341</v>
      </c>
      <c r="J689" s="25"/>
      <c r="K689" s="25"/>
      <c r="L689" s="25"/>
      <c r="M689" s="25"/>
    </row>
    <row r="690" spans="1:13" ht="15" x14ac:dyDescent="0.2">
      <c r="A690" s="24"/>
      <c r="C690" s="98" t="s">
        <v>333</v>
      </c>
      <c r="D690" s="215">
        <v>0</v>
      </c>
      <c r="E690" s="203">
        <v>-3549.61</v>
      </c>
      <c r="H690" s="107">
        <f>+E682+E690+E683+E691-E646</f>
        <v>0</v>
      </c>
      <c r="I690" s="218" t="s">
        <v>342</v>
      </c>
      <c r="J690" s="25"/>
      <c r="K690" s="25"/>
      <c r="L690" s="25"/>
      <c r="M690" s="25"/>
    </row>
    <row r="691" spans="1:13" ht="15" x14ac:dyDescent="0.2">
      <c r="A691" s="24"/>
      <c r="C691" s="98" t="s">
        <v>334</v>
      </c>
      <c r="D691" s="215">
        <v>0</v>
      </c>
      <c r="E691" s="203">
        <v>0</v>
      </c>
      <c r="H691" s="59"/>
      <c r="I691" s="218"/>
      <c r="J691" s="25"/>
      <c r="K691" s="25"/>
      <c r="L691" s="25"/>
      <c r="M691" s="25"/>
    </row>
    <row r="692" spans="1:13" ht="15" x14ac:dyDescent="0.2">
      <c r="A692" s="24"/>
      <c r="C692" s="78" t="s">
        <v>336</v>
      </c>
      <c r="D692" s="217">
        <f>-9695.61+9888.84</f>
        <v>193.22999999999956</v>
      </c>
      <c r="E692" s="52">
        <f>ROUND(D692*F641,2)</f>
        <v>8221.6200000000008</v>
      </c>
      <c r="H692" s="107">
        <f>+E684+E692-E645</f>
        <v>0</v>
      </c>
      <c r="I692" s="78" t="s">
        <v>343</v>
      </c>
      <c r="J692" s="25"/>
      <c r="K692" s="25"/>
      <c r="L692" s="25"/>
      <c r="M692" s="25"/>
    </row>
    <row r="693" spans="1:13" ht="15" x14ac:dyDescent="0.2">
      <c r="A693" s="24"/>
      <c r="C693" s="214" t="s">
        <v>344</v>
      </c>
      <c r="D693" s="106">
        <f>SUM(D687:D692)</f>
        <v>10170.404</v>
      </c>
      <c r="E693" s="107">
        <f>SUM(E687:E692)</f>
        <v>429184.2</v>
      </c>
      <c r="H693" s="78"/>
      <c r="I693" s="25"/>
      <c r="J693" s="25"/>
      <c r="K693" s="25"/>
      <c r="L693" s="25"/>
      <c r="M693" s="25"/>
    </row>
    <row r="694" spans="1:13" ht="15" x14ac:dyDescent="0.2">
      <c r="A694" s="24"/>
      <c r="C694" s="78"/>
      <c r="D694" s="48"/>
      <c r="E694" s="50"/>
      <c r="H694" s="106">
        <f>+D649-D695</f>
        <v>0</v>
      </c>
      <c r="I694" s="25" t="s">
        <v>345</v>
      </c>
      <c r="J694" s="25"/>
      <c r="K694" s="25"/>
      <c r="L694" s="25"/>
      <c r="M694" s="25"/>
    </row>
    <row r="695" spans="1:13" ht="15.75" thickBot="1" x14ac:dyDescent="0.25">
      <c r="A695" s="24"/>
      <c r="C695" s="214" t="s">
        <v>346</v>
      </c>
      <c r="D695" s="55">
        <f>+D685+D693</f>
        <v>126428.69699999999</v>
      </c>
      <c r="E695" s="67">
        <f>+E685+E693</f>
        <v>5329392.7700000005</v>
      </c>
      <c r="H695" s="107">
        <f>+E649-E695</f>
        <v>0</v>
      </c>
      <c r="I695" s="25" t="s">
        <v>347</v>
      </c>
      <c r="J695" s="25"/>
      <c r="K695" s="25"/>
      <c r="L695" s="25"/>
      <c r="M695" s="25"/>
    </row>
    <row r="696" spans="1:13" ht="15.75" thickTop="1" x14ac:dyDescent="0.2">
      <c r="A696" s="24"/>
      <c r="C696" s="78"/>
      <c r="D696" s="48"/>
      <c r="E696" s="50"/>
      <c r="G696" s="78"/>
      <c r="H696" s="25"/>
      <c r="I696" s="25"/>
      <c r="J696" s="25"/>
      <c r="K696" s="25"/>
      <c r="L696" s="25"/>
      <c r="M696" s="25"/>
    </row>
    <row r="697" spans="1:13" ht="15.75" x14ac:dyDescent="0.25">
      <c r="A697" s="24"/>
      <c r="C697" s="213" t="s">
        <v>175</v>
      </c>
      <c r="D697" s="219"/>
      <c r="E697" s="220"/>
      <c r="G697" s="78"/>
      <c r="H697" s="25"/>
      <c r="I697" s="25"/>
      <c r="J697" s="25"/>
      <c r="K697" s="25"/>
      <c r="L697" s="25"/>
      <c r="M697" s="25"/>
    </row>
    <row r="698" spans="1:13" ht="15.75" x14ac:dyDescent="0.25">
      <c r="A698" s="24"/>
      <c r="C698" s="213" t="s">
        <v>328</v>
      </c>
      <c r="D698" s="36"/>
      <c r="E698" s="32"/>
      <c r="G698" s="25"/>
      <c r="H698" s="25"/>
      <c r="I698" s="25"/>
      <c r="J698" s="25"/>
      <c r="K698" s="25"/>
      <c r="L698" s="25"/>
      <c r="M698" s="25"/>
    </row>
    <row r="699" spans="1:13" ht="15" x14ac:dyDescent="0.2">
      <c r="A699" s="24"/>
      <c r="C699" s="214" t="s">
        <v>329</v>
      </c>
      <c r="D699" s="48">
        <f>+D654-D707-D715</f>
        <v>67608.181000000011</v>
      </c>
      <c r="E699" s="50">
        <f>ROUND(D699*F641,2)</f>
        <v>2876615.87</v>
      </c>
      <c r="G699" s="25"/>
      <c r="H699" s="25"/>
      <c r="I699" s="25"/>
      <c r="J699" s="25"/>
      <c r="K699" s="25"/>
      <c r="L699" s="25"/>
      <c r="M699" s="25"/>
    </row>
    <row r="700" spans="1:13" ht="15" x14ac:dyDescent="0.2">
      <c r="A700" s="24" t="s">
        <v>348</v>
      </c>
      <c r="C700" s="214" t="s">
        <v>331</v>
      </c>
      <c r="D700" s="215">
        <f>0-D708-D716</f>
        <v>0</v>
      </c>
      <c r="E700" s="216">
        <f>0-E708-E716</f>
        <v>0</v>
      </c>
      <c r="G700" s="25"/>
      <c r="H700" s="25"/>
      <c r="I700" s="25"/>
      <c r="J700" s="25"/>
      <c r="K700" s="25"/>
      <c r="L700" s="25"/>
      <c r="M700" s="25"/>
    </row>
    <row r="701" spans="1:13" ht="15" x14ac:dyDescent="0.2">
      <c r="A701" s="24" t="s">
        <v>349</v>
      </c>
      <c r="C701" s="98" t="s">
        <v>333</v>
      </c>
      <c r="D701" s="215">
        <v>0</v>
      </c>
      <c r="E701" s="203">
        <v>-27727.69</v>
      </c>
      <c r="G701" s="78"/>
      <c r="H701" s="25"/>
      <c r="I701" s="25"/>
      <c r="J701" s="25"/>
      <c r="K701" s="25"/>
      <c r="L701" s="25"/>
      <c r="M701" s="25"/>
    </row>
    <row r="702" spans="1:13" ht="15" x14ac:dyDescent="0.2">
      <c r="A702" s="24" t="s">
        <v>349</v>
      </c>
      <c r="C702" s="98" t="s">
        <v>334</v>
      </c>
      <c r="D702" s="215">
        <v>0</v>
      </c>
      <c r="E702" s="203">
        <v>0</v>
      </c>
      <c r="G702" s="24"/>
      <c r="H702" s="24"/>
      <c r="I702" s="25"/>
      <c r="J702" s="25"/>
      <c r="K702" s="25"/>
      <c r="L702" s="25"/>
      <c r="M702" s="25"/>
    </row>
    <row r="703" spans="1:13" ht="15" x14ac:dyDescent="0.2">
      <c r="A703" s="24" t="s">
        <v>350</v>
      </c>
      <c r="C703" s="78" t="s">
        <v>336</v>
      </c>
      <c r="D703" s="217">
        <f>-61198.771+65803.199</f>
        <v>4604.4279999999926</v>
      </c>
      <c r="E703" s="52">
        <f>ROUND(D703*F641,2)</f>
        <v>195910.77</v>
      </c>
      <c r="G703" s="25"/>
      <c r="H703" s="25"/>
      <c r="I703" s="25"/>
      <c r="J703" s="25"/>
      <c r="K703" s="25"/>
      <c r="L703" s="25"/>
      <c r="M703" s="25"/>
    </row>
    <row r="704" spans="1:13" ht="15" x14ac:dyDescent="0.2">
      <c r="A704" s="24"/>
      <c r="C704" s="214" t="s">
        <v>351</v>
      </c>
      <c r="D704" s="106">
        <f>SUM(D698:D703)</f>
        <v>72212.608999999997</v>
      </c>
      <c r="E704" s="107">
        <f>SUM(E698:E703)</f>
        <v>3044798.95</v>
      </c>
      <c r="G704" s="25"/>
      <c r="H704" s="25"/>
      <c r="I704" s="25"/>
      <c r="J704" s="25"/>
      <c r="K704" s="25"/>
      <c r="L704" s="25"/>
      <c r="M704" s="25"/>
    </row>
    <row r="705" spans="1:13" ht="15" x14ac:dyDescent="0.2">
      <c r="A705" s="24"/>
      <c r="C705" s="25"/>
      <c r="D705" s="25"/>
      <c r="E705" s="25"/>
      <c r="G705" s="25"/>
      <c r="H705" s="25"/>
      <c r="I705" s="25"/>
      <c r="J705" s="25"/>
      <c r="K705" s="25"/>
      <c r="L705" s="25"/>
      <c r="M705" s="25"/>
    </row>
    <row r="706" spans="1:13" ht="15.75" x14ac:dyDescent="0.25">
      <c r="A706" s="24"/>
      <c r="C706" s="213" t="s">
        <v>352</v>
      </c>
      <c r="D706" s="25"/>
      <c r="E706" s="25"/>
      <c r="G706" s="25"/>
      <c r="H706" s="25"/>
      <c r="I706" s="25"/>
      <c r="J706" s="25"/>
      <c r="K706" s="25"/>
      <c r="L706" s="25"/>
      <c r="M706" s="25"/>
    </row>
    <row r="707" spans="1:13" ht="15" x14ac:dyDescent="0.2">
      <c r="A707" s="24"/>
      <c r="C707" s="214" t="s">
        <v>329</v>
      </c>
      <c r="D707" s="145">
        <v>35567.131999999998</v>
      </c>
      <c r="E707" s="50">
        <f>ROUND(D707*F641,2)</f>
        <v>1513322.43</v>
      </c>
      <c r="G707" s="25"/>
      <c r="H707" s="25"/>
      <c r="I707" s="25"/>
      <c r="J707" s="25"/>
      <c r="K707" s="25"/>
      <c r="L707" s="25"/>
      <c r="M707" s="25"/>
    </row>
    <row r="708" spans="1:13" ht="15" x14ac:dyDescent="0.2">
      <c r="A708" s="24"/>
      <c r="C708" s="214" t="s">
        <v>331</v>
      </c>
      <c r="D708" s="215">
        <v>0</v>
      </c>
      <c r="E708" s="216">
        <v>0</v>
      </c>
      <c r="G708" s="25"/>
      <c r="H708" s="25"/>
      <c r="I708" s="25"/>
      <c r="J708" s="25"/>
      <c r="K708" s="25"/>
      <c r="L708" s="25"/>
      <c r="M708" s="25"/>
    </row>
    <row r="709" spans="1:13" ht="15" x14ac:dyDescent="0.2">
      <c r="A709" s="24"/>
      <c r="C709" s="98" t="s">
        <v>333</v>
      </c>
      <c r="D709" s="215">
        <v>0</v>
      </c>
      <c r="E709" s="203">
        <v>-12519.78</v>
      </c>
      <c r="G709" s="78"/>
      <c r="H709" s="25"/>
      <c r="I709" s="25"/>
      <c r="J709" s="25"/>
      <c r="K709" s="25"/>
      <c r="L709" s="25"/>
      <c r="M709" s="25"/>
    </row>
    <row r="710" spans="1:13" ht="15" x14ac:dyDescent="0.2">
      <c r="A710" s="24"/>
      <c r="C710" s="98" t="s">
        <v>334</v>
      </c>
      <c r="D710" s="215">
        <v>0</v>
      </c>
      <c r="E710" s="203">
        <v>0</v>
      </c>
      <c r="G710" s="24"/>
      <c r="H710" s="24"/>
      <c r="I710" s="25"/>
      <c r="J710" s="25"/>
      <c r="K710" s="25"/>
      <c r="L710" s="25"/>
      <c r="M710" s="25"/>
    </row>
    <row r="711" spans="1:13" ht="15" x14ac:dyDescent="0.2">
      <c r="A711" s="24"/>
      <c r="C711" s="78" t="s">
        <v>336</v>
      </c>
      <c r="D711" s="217">
        <f>-31604.25+31475.699</f>
        <v>-128.55099999999948</v>
      </c>
      <c r="E711" s="52">
        <f>ROUND(D711*F641,2)</f>
        <v>-5469.63</v>
      </c>
      <c r="G711" s="25"/>
      <c r="H711" s="25"/>
      <c r="I711" s="25"/>
      <c r="J711" s="25"/>
      <c r="K711" s="25"/>
      <c r="L711" s="25"/>
      <c r="M711" s="25"/>
    </row>
    <row r="712" spans="1:13" ht="15" x14ac:dyDescent="0.2">
      <c r="A712" s="24"/>
      <c r="C712" s="214" t="s">
        <v>353</v>
      </c>
      <c r="D712" s="106">
        <f>SUM(D706:D711)</f>
        <v>35438.580999999998</v>
      </c>
      <c r="E712" s="107">
        <f>SUM(E706:E711)</f>
        <v>1495333.02</v>
      </c>
      <c r="G712" s="25"/>
      <c r="H712" s="25"/>
      <c r="I712" s="25"/>
      <c r="J712" s="25"/>
      <c r="K712" s="25"/>
      <c r="L712" s="25"/>
      <c r="M712" s="25"/>
    </row>
    <row r="713" spans="1:13" ht="15" x14ac:dyDescent="0.2">
      <c r="A713" s="24"/>
      <c r="C713" s="25"/>
      <c r="D713" s="25"/>
      <c r="E713" s="25"/>
      <c r="G713" s="25"/>
      <c r="H713" s="25"/>
      <c r="I713" s="25" t="s">
        <v>354</v>
      </c>
      <c r="J713" s="25"/>
      <c r="K713" s="25"/>
      <c r="L713" s="25"/>
      <c r="M713" s="25"/>
    </row>
    <row r="714" spans="1:13" ht="15.75" x14ac:dyDescent="0.25">
      <c r="A714" s="24"/>
      <c r="C714" s="213" t="s">
        <v>355</v>
      </c>
      <c r="D714" s="25"/>
      <c r="E714" s="25"/>
      <c r="G714" s="25"/>
      <c r="H714" s="25"/>
      <c r="I714" s="25" t="s">
        <v>126</v>
      </c>
      <c r="J714" s="25"/>
      <c r="K714" s="25"/>
      <c r="L714" s="25"/>
      <c r="M714" s="25"/>
    </row>
    <row r="715" spans="1:13" ht="15" x14ac:dyDescent="0.2">
      <c r="A715" s="24"/>
      <c r="C715" s="214" t="s">
        <v>329</v>
      </c>
      <c r="D715" s="145">
        <v>20003.300999999999</v>
      </c>
      <c r="E715" s="50">
        <f>ROUND(D715*F641,2)</f>
        <v>851107.25</v>
      </c>
      <c r="G715" s="25"/>
      <c r="H715" s="56">
        <f>+E699+E707+E715-E654</f>
        <v>0</v>
      </c>
      <c r="I715" s="214" t="s">
        <v>340</v>
      </c>
      <c r="J715" s="25"/>
      <c r="K715" s="25"/>
      <c r="L715" s="25"/>
      <c r="M715" s="25"/>
    </row>
    <row r="716" spans="1:13" ht="15" x14ac:dyDescent="0.2">
      <c r="A716" s="24"/>
      <c r="C716" s="214" t="s">
        <v>331</v>
      </c>
      <c r="D716" s="215">
        <v>0</v>
      </c>
      <c r="E716" s="216">
        <v>0</v>
      </c>
      <c r="G716" s="56"/>
      <c r="H716" s="56">
        <f>+E700+E708+E716-E653</f>
        <v>0</v>
      </c>
      <c r="I716" s="214" t="s">
        <v>341</v>
      </c>
      <c r="J716" s="25"/>
      <c r="K716" s="25"/>
      <c r="L716" s="25"/>
      <c r="M716" s="25"/>
    </row>
    <row r="717" spans="1:13" ht="15" x14ac:dyDescent="0.2">
      <c r="A717" s="24"/>
      <c r="C717" s="98" t="s">
        <v>333</v>
      </c>
      <c r="D717" s="215">
        <v>0</v>
      </c>
      <c r="E717" s="221">
        <v>-7552.08</v>
      </c>
      <c r="G717" s="78"/>
      <c r="H717" s="146">
        <f>+E701+E702+E709+E710+E717+E718-E652</f>
        <v>0</v>
      </c>
      <c r="I717" s="218" t="s">
        <v>342</v>
      </c>
      <c r="J717" s="25"/>
      <c r="K717" s="25"/>
      <c r="L717" s="25"/>
      <c r="M717" s="25"/>
    </row>
    <row r="718" spans="1:13" ht="15" x14ac:dyDescent="0.2">
      <c r="A718" s="24"/>
      <c r="C718" s="98" t="s">
        <v>334</v>
      </c>
      <c r="D718" s="215">
        <v>0</v>
      </c>
      <c r="E718" s="221">
        <v>0</v>
      </c>
      <c r="G718" s="24"/>
      <c r="H718" s="146"/>
      <c r="I718" s="218"/>
      <c r="J718" s="25"/>
      <c r="K718" s="25"/>
      <c r="L718" s="25"/>
      <c r="M718" s="25"/>
    </row>
    <row r="719" spans="1:13" ht="15" x14ac:dyDescent="0.2">
      <c r="A719" s="24"/>
      <c r="C719" s="78" t="s">
        <v>336</v>
      </c>
      <c r="D719" s="99">
        <f>-18606.649+19072.102</f>
        <v>465.4529999999977</v>
      </c>
      <c r="E719" s="52">
        <f>ROUND(D719*F641,2)</f>
        <v>19804.25</v>
      </c>
      <c r="G719" s="25"/>
      <c r="H719" s="146">
        <f>+E703+E711+E719-E651</f>
        <v>0</v>
      </c>
      <c r="I719" s="78" t="s">
        <v>343</v>
      </c>
      <c r="J719" s="25"/>
      <c r="K719" s="25"/>
      <c r="L719" s="25"/>
      <c r="M719" s="25"/>
    </row>
    <row r="720" spans="1:13" ht="15" x14ac:dyDescent="0.2">
      <c r="A720" s="24"/>
      <c r="C720" s="214" t="s">
        <v>356</v>
      </c>
      <c r="D720" s="106">
        <f>SUM(D714:D719)</f>
        <v>20468.753999999997</v>
      </c>
      <c r="E720" s="107">
        <f>SUM(E714:E719)</f>
        <v>863359.42</v>
      </c>
      <c r="G720" s="25"/>
      <c r="H720" s="25"/>
      <c r="I720" s="25"/>
      <c r="J720" s="25"/>
      <c r="K720" s="25"/>
      <c r="L720" s="25"/>
      <c r="M720" s="25"/>
    </row>
    <row r="721" spans="1:13" ht="15" x14ac:dyDescent="0.2">
      <c r="A721" s="24"/>
      <c r="C721" s="25"/>
      <c r="D721" s="25"/>
      <c r="E721" s="25"/>
      <c r="G721" s="25"/>
      <c r="H721" s="75">
        <f>+D722-D655</f>
        <v>0</v>
      </c>
      <c r="I721" s="25" t="s">
        <v>345</v>
      </c>
      <c r="J721" s="25"/>
      <c r="K721" s="25"/>
      <c r="L721" s="25"/>
      <c r="M721" s="25"/>
    </row>
    <row r="722" spans="1:13" ht="15.75" thickBot="1" x14ac:dyDescent="0.25">
      <c r="A722" s="24"/>
      <c r="C722" s="214" t="s">
        <v>357</v>
      </c>
      <c r="D722" s="55">
        <f>+D704+D712+D720</f>
        <v>128119.944</v>
      </c>
      <c r="E722" s="67">
        <f>+E704+E712+E720</f>
        <v>5403491.3900000006</v>
      </c>
      <c r="H722" s="56">
        <f>+E655-E722</f>
        <v>0</v>
      </c>
      <c r="I722" s="25" t="s">
        <v>347</v>
      </c>
      <c r="J722" s="25"/>
      <c r="K722" s="25"/>
      <c r="L722" s="25"/>
      <c r="M722" s="25"/>
    </row>
    <row r="723" spans="1:13" ht="15.75" thickTop="1" x14ac:dyDescent="0.2">
      <c r="A723" s="24"/>
      <c r="C723" s="25"/>
      <c r="D723" s="25"/>
      <c r="E723" s="25"/>
      <c r="G723" s="25"/>
      <c r="H723" s="25"/>
      <c r="I723" s="25"/>
      <c r="J723" s="25"/>
      <c r="K723" s="25"/>
      <c r="L723" s="25"/>
      <c r="M723" s="25"/>
    </row>
    <row r="724" spans="1:13" ht="15.75" x14ac:dyDescent="0.25">
      <c r="A724" s="24"/>
      <c r="C724" s="213" t="s">
        <v>263</v>
      </c>
      <c r="D724" s="219"/>
      <c r="E724" s="220"/>
      <c r="G724" s="78"/>
      <c r="H724" s="25"/>
      <c r="I724" s="25" t="s">
        <v>358</v>
      </c>
      <c r="J724" s="25"/>
      <c r="K724" s="25"/>
      <c r="L724" s="25"/>
      <c r="M724" s="25"/>
    </row>
    <row r="725" spans="1:13" ht="15.75" x14ac:dyDescent="0.25">
      <c r="A725" s="24"/>
      <c r="C725" s="213" t="s">
        <v>328</v>
      </c>
      <c r="D725" s="36"/>
      <c r="E725" s="32"/>
      <c r="G725" s="25"/>
      <c r="H725" s="25"/>
      <c r="I725" s="25" t="s">
        <v>126</v>
      </c>
      <c r="J725" s="25"/>
      <c r="K725" s="25"/>
      <c r="L725" s="25"/>
      <c r="M725" s="25"/>
    </row>
    <row r="726" spans="1:13" ht="15" x14ac:dyDescent="0.2">
      <c r="A726" s="24"/>
      <c r="C726" s="214" t="s">
        <v>329</v>
      </c>
      <c r="D726" s="48">
        <f>+D660</f>
        <v>121208.16499999999</v>
      </c>
      <c r="E726" s="50">
        <f>ROUND(D726*F641,2)</f>
        <v>5157206.22</v>
      </c>
      <c r="G726" s="25"/>
      <c r="H726" s="56">
        <f>+E726-E660</f>
        <v>0</v>
      </c>
      <c r="I726" s="214" t="s">
        <v>340</v>
      </c>
      <c r="J726" s="25"/>
      <c r="K726" s="25"/>
      <c r="L726" s="25"/>
      <c r="M726" s="25"/>
    </row>
    <row r="727" spans="1:13" ht="15" x14ac:dyDescent="0.2">
      <c r="A727" s="25"/>
      <c r="C727" s="214" t="s">
        <v>331</v>
      </c>
      <c r="D727" s="222">
        <f>+D659</f>
        <v>0</v>
      </c>
      <c r="E727" s="223">
        <f>+E659</f>
        <v>0</v>
      </c>
      <c r="G727" s="25"/>
      <c r="H727" s="56">
        <f>+E727-E659</f>
        <v>0</v>
      </c>
      <c r="I727" s="214" t="s">
        <v>341</v>
      </c>
      <c r="J727" s="25"/>
      <c r="K727" s="25"/>
      <c r="L727" s="25"/>
      <c r="M727" s="25"/>
    </row>
    <row r="728" spans="1:13" ht="15" x14ac:dyDescent="0.2">
      <c r="A728" s="25"/>
      <c r="C728" s="98" t="s">
        <v>333</v>
      </c>
      <c r="D728" s="215">
        <v>0</v>
      </c>
      <c r="E728" s="203">
        <v>-44433.06</v>
      </c>
      <c r="G728" s="78"/>
      <c r="H728" s="56">
        <f>+E728+E729-E658</f>
        <v>0</v>
      </c>
      <c r="I728" s="218" t="s">
        <v>342</v>
      </c>
      <c r="J728" s="25"/>
      <c r="K728" s="25"/>
      <c r="L728" s="25"/>
      <c r="M728" s="25"/>
    </row>
    <row r="729" spans="1:13" ht="15" x14ac:dyDescent="0.2">
      <c r="A729" s="224"/>
      <c r="C729" s="98" t="s">
        <v>334</v>
      </c>
      <c r="D729" s="215">
        <v>0</v>
      </c>
      <c r="E729" s="203">
        <v>0</v>
      </c>
      <c r="G729" s="24"/>
      <c r="H729" s="25"/>
      <c r="I729" s="218"/>
      <c r="J729" s="25"/>
      <c r="K729" s="25"/>
      <c r="L729" s="25"/>
      <c r="M729" s="25"/>
    </row>
    <row r="730" spans="1:13" ht="15" x14ac:dyDescent="0.2">
      <c r="A730" s="25"/>
      <c r="C730" s="78" t="s">
        <v>336</v>
      </c>
      <c r="D730" s="225">
        <f>+D657</f>
        <v>401.45000000001164</v>
      </c>
      <c r="E730" s="50">
        <f>ROUND(D730*F641,2)</f>
        <v>17081.03</v>
      </c>
      <c r="H730" s="146">
        <f>+E730-E657</f>
        <v>0</v>
      </c>
      <c r="I730" s="78" t="s">
        <v>343</v>
      </c>
      <c r="J730" s="25"/>
      <c r="K730" s="25"/>
      <c r="L730" s="25"/>
      <c r="M730" s="25"/>
    </row>
    <row r="731" spans="1:13" ht="15" x14ac:dyDescent="0.2">
      <c r="A731" s="25"/>
      <c r="C731" s="78"/>
      <c r="D731" s="225"/>
      <c r="E731" s="50"/>
      <c r="H731" s="146"/>
      <c r="I731" s="78"/>
      <c r="J731" s="25"/>
      <c r="K731" s="25"/>
      <c r="L731" s="25"/>
      <c r="M731" s="25"/>
    </row>
    <row r="732" spans="1:13" ht="15.75" thickBot="1" x14ac:dyDescent="0.25">
      <c r="A732" s="24"/>
      <c r="B732" s="78"/>
      <c r="C732" s="214" t="s">
        <v>359</v>
      </c>
      <c r="D732" s="55">
        <f>SUM(D725:D730)</f>
        <v>121609.61500000001</v>
      </c>
      <c r="E732" s="67">
        <f>SUM(E725:E730)</f>
        <v>5129854.1900000004</v>
      </c>
      <c r="H732" s="75">
        <f>+D661-D732</f>
        <v>0</v>
      </c>
      <c r="I732" s="25" t="s">
        <v>345</v>
      </c>
      <c r="J732" s="25"/>
      <c r="K732" s="25"/>
      <c r="L732" s="25"/>
      <c r="M732" s="25"/>
    </row>
    <row r="733" spans="1:13" ht="15.75" thickTop="1" x14ac:dyDescent="0.2">
      <c r="A733" s="25"/>
      <c r="B733" s="25"/>
      <c r="C733" s="128"/>
      <c r="D733" s="128"/>
      <c r="E733" s="128"/>
      <c r="F733" s="128"/>
      <c r="G733" s="25"/>
      <c r="H733" s="56">
        <f>+E661-E732</f>
        <v>0</v>
      </c>
      <c r="I733" s="25" t="s">
        <v>347</v>
      </c>
      <c r="J733" s="25"/>
      <c r="K733" s="25"/>
      <c r="L733" s="25"/>
      <c r="M733" s="25"/>
    </row>
    <row r="734" spans="1:13" ht="15" x14ac:dyDescent="0.2">
      <c r="A734" s="25"/>
      <c r="B734" s="25"/>
      <c r="C734" s="128"/>
      <c r="D734" s="128"/>
      <c r="E734" s="128"/>
      <c r="F734" s="128"/>
      <c r="G734" s="25"/>
      <c r="H734" s="25"/>
      <c r="I734" s="25"/>
      <c r="J734" s="25"/>
      <c r="K734" s="25"/>
      <c r="L734" s="25"/>
      <c r="M734" s="25"/>
    </row>
    <row r="735" spans="1:13" ht="15" x14ac:dyDescent="0.2">
      <c r="A735" s="25"/>
      <c r="B735" s="25"/>
      <c r="C735" s="128"/>
      <c r="D735" s="128"/>
      <c r="E735" s="128"/>
      <c r="F735" s="128"/>
      <c r="G735" s="25"/>
      <c r="H735" s="25"/>
      <c r="I735" s="25"/>
      <c r="J735" s="25"/>
      <c r="K735" s="25"/>
      <c r="L735" s="25"/>
      <c r="M735" s="25"/>
    </row>
    <row r="736" spans="1:13" ht="15" x14ac:dyDescent="0.2">
      <c r="A736" s="25"/>
      <c r="B736" s="25"/>
      <c r="C736" s="128"/>
      <c r="D736" s="128"/>
      <c r="E736" s="128"/>
      <c r="F736" s="128"/>
      <c r="G736" s="25"/>
      <c r="H736" s="25"/>
      <c r="I736" s="25"/>
      <c r="J736" s="25"/>
      <c r="K736" s="25"/>
      <c r="L736" s="25"/>
      <c r="M736" s="25"/>
    </row>
    <row r="737" spans="1:13" ht="15" x14ac:dyDescent="0.2">
      <c r="A737" s="25"/>
      <c r="B737" s="25"/>
      <c r="C737" s="128"/>
      <c r="D737" s="128"/>
      <c r="E737" s="128"/>
      <c r="F737" s="128"/>
      <c r="G737" s="25"/>
      <c r="H737" s="25"/>
      <c r="I737" s="25"/>
      <c r="J737" s="25"/>
      <c r="K737" s="25"/>
      <c r="L737" s="25"/>
      <c r="M737" s="25"/>
    </row>
    <row r="738" spans="1:13" ht="15" x14ac:dyDescent="0.2">
      <c r="A738" s="25"/>
      <c r="B738" s="70"/>
      <c r="C738" s="128"/>
      <c r="D738" s="128"/>
      <c r="E738" s="128"/>
      <c r="F738" s="128"/>
      <c r="G738" s="25"/>
      <c r="H738" s="70"/>
      <c r="I738" s="25"/>
      <c r="J738" s="25"/>
      <c r="K738" s="25"/>
      <c r="L738" s="25"/>
      <c r="M738" s="25"/>
    </row>
    <row r="739" spans="1:13" ht="15" x14ac:dyDescent="0.2">
      <c r="A739" s="25"/>
      <c r="B739" s="24" t="s">
        <v>360</v>
      </c>
      <c r="C739" s="90"/>
      <c r="D739" s="138"/>
      <c r="E739" s="90"/>
      <c r="F739" s="90"/>
      <c r="G739" s="25"/>
      <c r="H739" s="24" t="s">
        <v>117</v>
      </c>
      <c r="I739" s="25"/>
      <c r="J739" s="25"/>
      <c r="K739" s="25"/>
      <c r="L739" s="25"/>
      <c r="M739" s="25"/>
    </row>
    <row r="740" spans="1:13" ht="15.75" x14ac:dyDescent="0.25">
      <c r="A740" s="25"/>
      <c r="B740" s="25"/>
      <c r="C740" s="240" t="s">
        <v>361</v>
      </c>
      <c r="D740" s="240"/>
      <c r="E740" s="240"/>
      <c r="F740" s="240"/>
      <c r="G740" s="25"/>
      <c r="H740" s="25"/>
      <c r="I740" s="25"/>
      <c r="J740" s="25"/>
      <c r="K740" s="25"/>
      <c r="L740" s="25"/>
      <c r="M740" s="25"/>
    </row>
    <row r="741" spans="1:13" ht="15" x14ac:dyDescent="0.2">
      <c r="A741" s="25"/>
      <c r="B741" s="25"/>
      <c r="C741" s="90" t="s">
        <v>38</v>
      </c>
      <c r="D741" s="90"/>
      <c r="E741" s="90"/>
      <c r="F741" s="90"/>
      <c r="G741" s="25"/>
      <c r="H741" s="25"/>
      <c r="I741" s="25"/>
      <c r="J741" s="25"/>
      <c r="K741" s="25"/>
      <c r="L741" s="25"/>
      <c r="M741" s="25"/>
    </row>
    <row r="742" spans="1:13" ht="15" x14ac:dyDescent="0.2">
      <c r="A742" s="25"/>
      <c r="B742" s="25"/>
      <c r="C742" s="25" t="str">
        <f>+C116</f>
        <v>PRELIMINARY</v>
      </c>
      <c r="D742" s="119"/>
      <c r="E742" s="119" t="s">
        <v>138</v>
      </c>
      <c r="F742" s="153" t="str">
        <f>+C4</f>
        <v>AUGUST 2013</v>
      </c>
      <c r="G742" s="25"/>
      <c r="H742" s="25"/>
      <c r="I742" s="25"/>
      <c r="J742" s="25"/>
      <c r="K742" s="25"/>
      <c r="L742" s="25"/>
      <c r="M742" s="25"/>
    </row>
    <row r="743" spans="1:13" ht="15" x14ac:dyDescent="0.2">
      <c r="A743" s="25"/>
      <c r="B743" s="25"/>
      <c r="C743" s="90" t="s">
        <v>362</v>
      </c>
      <c r="D743" s="119"/>
      <c r="E743" s="119"/>
      <c r="F743" s="153"/>
      <c r="G743" s="25"/>
      <c r="H743" s="25"/>
      <c r="I743" s="25"/>
      <c r="J743" s="25"/>
      <c r="K743" s="25"/>
      <c r="L743" s="25"/>
      <c r="M743" s="25"/>
    </row>
    <row r="744" spans="1:13" ht="15" x14ac:dyDescent="0.2">
      <c r="A744" s="25"/>
      <c r="B744" s="25"/>
      <c r="C744" s="90"/>
      <c r="D744" s="140" t="s">
        <v>140</v>
      </c>
      <c r="E744" s="140" t="s">
        <v>141</v>
      </c>
      <c r="F744" s="140" t="s">
        <v>142</v>
      </c>
      <c r="G744" s="25"/>
      <c r="H744" s="25"/>
      <c r="I744" s="25"/>
      <c r="J744" s="25"/>
      <c r="K744" s="25"/>
      <c r="L744" s="25"/>
      <c r="M744" s="25"/>
    </row>
    <row r="745" spans="1:13" ht="15" x14ac:dyDescent="0.2">
      <c r="A745" s="25"/>
      <c r="B745" s="25"/>
      <c r="C745" s="90"/>
      <c r="D745" s="192"/>
      <c r="E745" s="192"/>
      <c r="F745" s="192"/>
      <c r="G745" s="25"/>
      <c r="H745" s="25"/>
      <c r="I745" s="25"/>
      <c r="J745" s="25"/>
      <c r="K745" s="25"/>
      <c r="L745" s="25"/>
      <c r="M745" s="25"/>
    </row>
    <row r="746" spans="1:13" ht="15" x14ac:dyDescent="0.2">
      <c r="A746" s="25"/>
      <c r="B746" s="25"/>
      <c r="C746" s="95" t="s">
        <v>143</v>
      </c>
      <c r="D746" s="87">
        <v>1055645.0200000003</v>
      </c>
      <c r="E746" s="88">
        <v>39200182.530000001</v>
      </c>
      <c r="F746" s="89">
        <v>37.133870000000002</v>
      </c>
      <c r="G746" s="25"/>
      <c r="H746" s="25"/>
      <c r="I746" s="25"/>
      <c r="J746" s="25"/>
      <c r="K746" s="25"/>
      <c r="L746" s="25"/>
      <c r="M746" s="25"/>
    </row>
    <row r="747" spans="1:13" ht="15" x14ac:dyDescent="0.2">
      <c r="A747" s="25"/>
      <c r="B747" s="25"/>
      <c r="C747" s="95"/>
      <c r="D747" s="87"/>
      <c r="E747" s="88"/>
      <c r="F747" s="89"/>
      <c r="G747" s="25"/>
      <c r="H747" s="25"/>
      <c r="I747" s="25"/>
      <c r="J747" s="25"/>
      <c r="K747" s="25"/>
      <c r="L747" s="25"/>
      <c r="M747" s="25"/>
    </row>
    <row r="748" spans="1:13" ht="15.75" x14ac:dyDescent="0.25">
      <c r="A748" s="25"/>
      <c r="B748" s="25"/>
      <c r="C748" s="92" t="s">
        <v>144</v>
      </c>
      <c r="D748" s="87"/>
      <c r="E748" s="57"/>
      <c r="F748" s="89"/>
      <c r="G748" s="25"/>
      <c r="H748" s="25"/>
      <c r="I748" s="25"/>
      <c r="J748" s="25"/>
      <c r="K748" s="25"/>
      <c r="L748" s="25"/>
      <c r="M748" s="25"/>
    </row>
    <row r="749" spans="1:13" ht="15" x14ac:dyDescent="0.2">
      <c r="A749" s="25"/>
      <c r="B749" s="25">
        <v>60001</v>
      </c>
      <c r="C749" s="95" t="s">
        <v>363</v>
      </c>
      <c r="D749" s="87">
        <v>223930</v>
      </c>
      <c r="E749" s="177">
        <v>10495348.390000001</v>
      </c>
      <c r="F749" s="89" t="s">
        <v>155</v>
      </c>
      <c r="G749" s="25"/>
      <c r="H749" s="25"/>
      <c r="I749" s="25"/>
      <c r="J749" s="25"/>
      <c r="K749" s="25"/>
      <c r="L749" s="25"/>
      <c r="M749" s="25"/>
    </row>
    <row r="750" spans="1:13" ht="15" x14ac:dyDescent="0.2">
      <c r="A750" s="25"/>
      <c r="B750" s="25"/>
      <c r="C750" s="63" t="s">
        <v>302</v>
      </c>
      <c r="D750" s="87">
        <v>0</v>
      </c>
      <c r="E750" s="177">
        <v>0</v>
      </c>
      <c r="F750" s="89" t="s">
        <v>155</v>
      </c>
      <c r="G750" s="25"/>
      <c r="H750" s="25"/>
      <c r="I750" s="25"/>
      <c r="J750" s="25"/>
      <c r="K750" s="25"/>
      <c r="L750" s="25"/>
      <c r="M750" s="25"/>
    </row>
    <row r="751" spans="1:13" ht="15" x14ac:dyDescent="0.2">
      <c r="A751" s="25"/>
      <c r="B751" s="25"/>
      <c r="C751" s="63" t="s">
        <v>303</v>
      </c>
      <c r="D751" s="87">
        <v>0</v>
      </c>
      <c r="E751" s="177">
        <v>0</v>
      </c>
      <c r="F751" s="89" t="s">
        <v>155</v>
      </c>
      <c r="G751" s="25"/>
      <c r="H751" s="25"/>
      <c r="I751" s="25"/>
      <c r="J751" s="25"/>
      <c r="K751" s="25"/>
      <c r="L751" s="25"/>
      <c r="M751" s="25"/>
    </row>
    <row r="752" spans="1:13" ht="15" x14ac:dyDescent="0.2">
      <c r="A752" s="25"/>
      <c r="B752" s="25"/>
      <c r="C752" s="63" t="s">
        <v>304</v>
      </c>
      <c r="D752" s="87"/>
      <c r="E752" s="177">
        <v>0</v>
      </c>
      <c r="F752" s="89" t="s">
        <v>156</v>
      </c>
      <c r="G752" s="25"/>
      <c r="H752" s="25"/>
      <c r="I752" s="25"/>
      <c r="J752" s="25"/>
      <c r="K752" s="25"/>
      <c r="L752" s="25"/>
      <c r="M752" s="25"/>
    </row>
    <row r="753" spans="1:15" ht="15" x14ac:dyDescent="0.2">
      <c r="A753" s="25"/>
      <c r="B753" s="25" t="s">
        <v>38</v>
      </c>
      <c r="C753" s="33" t="s">
        <v>305</v>
      </c>
      <c r="D753" s="87"/>
      <c r="E753" s="177">
        <v>0</v>
      </c>
      <c r="F753" s="89" t="s">
        <v>155</v>
      </c>
      <c r="G753" s="25"/>
      <c r="H753" s="25"/>
      <c r="I753" s="25"/>
      <c r="J753" s="25"/>
      <c r="K753" s="25"/>
      <c r="L753" s="25"/>
      <c r="M753" s="25"/>
    </row>
    <row r="754" spans="1:15" ht="15" x14ac:dyDescent="0.2">
      <c r="A754" s="25"/>
      <c r="B754" s="24"/>
      <c r="C754" s="63" t="s">
        <v>148</v>
      </c>
      <c r="D754" s="87">
        <v>0</v>
      </c>
      <c r="E754" s="177">
        <v>0</v>
      </c>
      <c r="F754" s="89" t="s">
        <v>155</v>
      </c>
      <c r="G754" s="25"/>
      <c r="H754" s="25"/>
      <c r="I754" s="25"/>
      <c r="J754" s="25"/>
      <c r="K754" s="25"/>
      <c r="L754" s="25"/>
      <c r="M754" s="25"/>
    </row>
    <row r="755" spans="1:15" ht="15" x14ac:dyDescent="0.2">
      <c r="A755" s="24"/>
      <c r="B755" s="24"/>
      <c r="C755" s="25"/>
      <c r="D755" s="97"/>
      <c r="E755" s="177">
        <v>0</v>
      </c>
      <c r="F755" s="89" t="s">
        <v>156</v>
      </c>
      <c r="G755" s="25"/>
      <c r="H755" s="25"/>
      <c r="I755" s="25"/>
      <c r="J755" s="25"/>
      <c r="K755" s="25"/>
      <c r="L755" s="25"/>
      <c r="M755" s="25"/>
    </row>
    <row r="756" spans="1:15" ht="15" x14ac:dyDescent="0.2">
      <c r="A756" s="25"/>
      <c r="B756" s="24"/>
      <c r="C756" s="33"/>
      <c r="D756" s="87"/>
      <c r="E756" s="177"/>
      <c r="F756" s="89"/>
      <c r="G756" s="25"/>
      <c r="H756" s="25"/>
      <c r="I756" s="25"/>
      <c r="J756" s="25"/>
      <c r="K756" s="25"/>
      <c r="L756" s="25"/>
      <c r="M756" s="25"/>
    </row>
    <row r="757" spans="1:15" ht="15" x14ac:dyDescent="0.2">
      <c r="A757" s="24"/>
      <c r="B757" s="24"/>
      <c r="C757" s="33"/>
      <c r="D757" s="24"/>
      <c r="E757" s="177"/>
      <c r="F757" s="89"/>
      <c r="G757" s="25"/>
      <c r="H757" s="25"/>
      <c r="I757" s="25"/>
      <c r="J757" s="25"/>
      <c r="K757" s="25"/>
      <c r="L757" s="25"/>
      <c r="M757" s="25"/>
    </row>
    <row r="758" spans="1:15" ht="15" x14ac:dyDescent="0.2">
      <c r="A758" s="24"/>
      <c r="B758" s="24"/>
      <c r="C758" s="63"/>
      <c r="D758" s="97"/>
      <c r="E758" s="177"/>
      <c r="F758" s="89"/>
      <c r="G758" s="25"/>
      <c r="H758" s="25"/>
      <c r="I758" s="25"/>
      <c r="J758" s="25"/>
      <c r="K758" s="25"/>
      <c r="L758" s="25"/>
      <c r="M758" s="25"/>
      <c r="N758" s="25"/>
      <c r="O758" s="25"/>
    </row>
    <row r="759" spans="1:15" ht="15" x14ac:dyDescent="0.2">
      <c r="A759" s="25"/>
      <c r="B759" s="24"/>
      <c r="C759" s="63"/>
      <c r="D759" s="97"/>
      <c r="E759" s="177"/>
      <c r="F759" s="89"/>
      <c r="G759" s="25"/>
      <c r="H759" s="25"/>
      <c r="I759" s="25"/>
      <c r="J759" s="25"/>
      <c r="K759" s="25"/>
      <c r="L759" s="25"/>
      <c r="M759" s="25"/>
      <c r="N759" s="25"/>
      <c r="O759" s="25"/>
    </row>
    <row r="760" spans="1:15" ht="15" x14ac:dyDescent="0.2">
      <c r="A760" s="25"/>
      <c r="B760" s="25"/>
      <c r="C760" s="33" t="s">
        <v>364</v>
      </c>
      <c r="D760" s="87">
        <v>-3482.38</v>
      </c>
      <c r="E760" s="177">
        <v>-163215.25</v>
      </c>
      <c r="F760" s="89"/>
      <c r="G760" s="25"/>
      <c r="H760" s="25"/>
      <c r="I760" s="25"/>
      <c r="J760" s="25"/>
      <c r="K760" s="25"/>
      <c r="L760" s="25"/>
      <c r="M760" s="25"/>
      <c r="N760" s="25"/>
      <c r="O760" s="25"/>
    </row>
    <row r="761" spans="1:15" ht="15" x14ac:dyDescent="0.2">
      <c r="A761" s="25"/>
      <c r="B761" s="25"/>
      <c r="C761" s="33" t="s">
        <v>365</v>
      </c>
      <c r="D761" s="87">
        <v>-28000</v>
      </c>
      <c r="E761" s="177">
        <v>-1312328.6499999999</v>
      </c>
      <c r="F761" s="24"/>
      <c r="G761" s="25"/>
      <c r="H761" s="25"/>
      <c r="I761" s="25"/>
      <c r="J761" s="25"/>
      <c r="K761" s="25"/>
      <c r="L761" s="25"/>
      <c r="M761" s="25"/>
    </row>
    <row r="762" spans="1:15" ht="15" x14ac:dyDescent="0.2">
      <c r="A762" s="25"/>
      <c r="B762" s="25"/>
      <c r="C762" s="33" t="s">
        <v>366</v>
      </c>
      <c r="D762" s="99">
        <f>-59000-1100-15000</f>
        <v>-75100</v>
      </c>
      <c r="E762" s="64">
        <f>-2765263.94-51555.77-703033.21</f>
        <v>-3519852.92</v>
      </c>
      <c r="F762" s="56"/>
      <c r="G762" s="25"/>
      <c r="H762" s="25"/>
      <c r="I762" s="25"/>
      <c r="J762" s="25"/>
      <c r="K762" s="25"/>
      <c r="L762" s="25"/>
      <c r="M762" s="25"/>
    </row>
    <row r="763" spans="1:15" ht="15" x14ac:dyDescent="0.2">
      <c r="A763" s="25"/>
      <c r="B763" s="159"/>
      <c r="C763" s="25" t="s">
        <v>153</v>
      </c>
      <c r="D763" s="75">
        <f>SUM(D749:D762)</f>
        <v>117347.62</v>
      </c>
      <c r="E763" s="56">
        <f>SUM(E749:E762)</f>
        <v>5499951.5700000003</v>
      </c>
      <c r="F763" s="25"/>
      <c r="G763" s="25"/>
      <c r="H763" s="25"/>
      <c r="I763" s="25"/>
      <c r="J763" s="25"/>
      <c r="K763" s="25"/>
      <c r="L763" s="25"/>
      <c r="M763" s="25"/>
    </row>
    <row r="764" spans="1:15" ht="15" x14ac:dyDescent="0.2">
      <c r="A764" s="25"/>
      <c r="B764" s="159"/>
      <c r="C764" s="25"/>
      <c r="D764" s="75"/>
      <c r="E764" s="56"/>
      <c r="F764" s="25"/>
      <c r="G764" s="25"/>
      <c r="H764" s="25"/>
      <c r="I764" s="25"/>
      <c r="J764" s="25"/>
      <c r="K764" s="25"/>
      <c r="L764" s="25"/>
      <c r="M764" s="25"/>
    </row>
    <row r="765" spans="1:15" ht="15.75" x14ac:dyDescent="0.25">
      <c r="A765" s="25"/>
      <c r="B765" s="25"/>
      <c r="C765" s="226" t="s">
        <v>154</v>
      </c>
      <c r="D765" s="25"/>
      <c r="E765" s="25"/>
      <c r="F765" s="89"/>
      <c r="G765" s="25"/>
      <c r="H765" s="25"/>
      <c r="I765" s="25"/>
      <c r="J765" s="25"/>
      <c r="K765" s="25"/>
      <c r="L765" s="25"/>
      <c r="M765" s="25"/>
    </row>
    <row r="766" spans="1:15" ht="15" x14ac:dyDescent="0.2">
      <c r="A766" s="25"/>
      <c r="B766" s="25"/>
      <c r="C766" s="95" t="s">
        <v>363</v>
      </c>
      <c r="D766" s="87">
        <f>-330773+315409.9</f>
        <v>-15363.099999999977</v>
      </c>
      <c r="E766" s="177">
        <v>-720051.3</v>
      </c>
      <c r="F766" s="89" t="s">
        <v>155</v>
      </c>
      <c r="G766" s="25"/>
      <c r="H766" s="25"/>
      <c r="I766" s="25"/>
      <c r="J766" s="25"/>
      <c r="K766" s="25"/>
      <c r="L766" s="25"/>
      <c r="M766" s="25"/>
    </row>
    <row r="767" spans="1:15" ht="15" x14ac:dyDescent="0.2">
      <c r="A767" s="25"/>
      <c r="B767" s="25"/>
      <c r="C767" s="63" t="s">
        <v>302</v>
      </c>
      <c r="D767" s="87">
        <v>0</v>
      </c>
      <c r="E767" s="177">
        <v>0</v>
      </c>
      <c r="F767" s="89" t="s">
        <v>155</v>
      </c>
      <c r="G767" s="25"/>
      <c r="H767" s="25"/>
      <c r="I767" s="25"/>
      <c r="J767" s="25"/>
      <c r="K767" s="25"/>
      <c r="L767" s="25"/>
      <c r="M767" s="25"/>
    </row>
    <row r="768" spans="1:15" ht="15" x14ac:dyDescent="0.2">
      <c r="A768" s="25"/>
      <c r="B768" s="25"/>
      <c r="C768" s="63" t="s">
        <v>303</v>
      </c>
      <c r="D768" s="87">
        <v>0</v>
      </c>
      <c r="E768" s="177">
        <v>0</v>
      </c>
      <c r="F768" s="89" t="s">
        <v>155</v>
      </c>
      <c r="G768" s="25"/>
      <c r="H768" s="25"/>
      <c r="I768" s="25"/>
      <c r="J768" s="25"/>
      <c r="K768" s="25"/>
      <c r="L768" s="25"/>
      <c r="M768" s="25"/>
    </row>
    <row r="769" spans="1:13" ht="15" x14ac:dyDescent="0.2">
      <c r="A769" s="25"/>
      <c r="B769" s="25"/>
      <c r="C769" s="63" t="s">
        <v>304</v>
      </c>
      <c r="D769" s="87"/>
      <c r="E769" s="177">
        <v>0</v>
      </c>
      <c r="F769" s="89" t="s">
        <v>156</v>
      </c>
      <c r="G769" s="25"/>
      <c r="H769" s="25"/>
      <c r="I769" s="25"/>
      <c r="J769" s="25"/>
      <c r="K769" s="25"/>
      <c r="L769" s="25"/>
      <c r="M769" s="25"/>
    </row>
    <row r="770" spans="1:13" ht="15" x14ac:dyDescent="0.2">
      <c r="A770" s="25"/>
      <c r="B770" s="25"/>
      <c r="C770" s="33" t="s">
        <v>305</v>
      </c>
      <c r="D770" s="87"/>
      <c r="E770" s="177">
        <v>0</v>
      </c>
      <c r="F770" s="89" t="s">
        <v>155</v>
      </c>
      <c r="G770" s="25"/>
      <c r="H770" s="25"/>
      <c r="I770" s="25"/>
      <c r="J770" s="25"/>
      <c r="K770" s="25"/>
      <c r="L770" s="25"/>
      <c r="M770" s="25"/>
    </row>
    <row r="771" spans="1:13" ht="15" x14ac:dyDescent="0.2">
      <c r="A771" s="25"/>
      <c r="B771" s="25"/>
      <c r="C771" s="33" t="s">
        <v>300</v>
      </c>
      <c r="D771" s="87">
        <v>0</v>
      </c>
      <c r="E771" s="177">
        <v>0</v>
      </c>
      <c r="F771" s="89" t="s">
        <v>155</v>
      </c>
      <c r="G771" s="25"/>
      <c r="H771" s="25"/>
      <c r="I771" s="25"/>
      <c r="J771" s="25"/>
      <c r="K771" s="25"/>
      <c r="L771" s="25"/>
      <c r="M771" s="25"/>
    </row>
    <row r="772" spans="1:13" ht="15" x14ac:dyDescent="0.2">
      <c r="A772" s="24"/>
      <c r="B772" s="24"/>
      <c r="C772" s="33"/>
      <c r="D772" s="24"/>
      <c r="E772" s="177">
        <v>0</v>
      </c>
      <c r="F772" s="89" t="s">
        <v>156</v>
      </c>
      <c r="G772" s="25"/>
      <c r="H772" s="25"/>
      <c r="I772" s="25"/>
      <c r="J772" s="25"/>
      <c r="K772" s="25"/>
      <c r="L772" s="25"/>
      <c r="M772" s="25"/>
    </row>
    <row r="773" spans="1:13" ht="15" x14ac:dyDescent="0.2">
      <c r="A773" s="25"/>
      <c r="B773" s="25"/>
      <c r="C773" s="33" t="s">
        <v>301</v>
      </c>
      <c r="D773" s="87"/>
      <c r="E773" s="177">
        <v>0</v>
      </c>
      <c r="F773" s="89" t="s">
        <v>155</v>
      </c>
      <c r="G773" s="25"/>
      <c r="H773" s="25"/>
      <c r="I773" s="25"/>
      <c r="J773" s="25"/>
      <c r="K773" s="25"/>
      <c r="L773" s="25"/>
      <c r="M773" s="25"/>
    </row>
    <row r="774" spans="1:13" ht="15" x14ac:dyDescent="0.2">
      <c r="A774" s="24"/>
      <c r="B774" s="24"/>
      <c r="C774" s="33"/>
      <c r="D774" s="87"/>
      <c r="E774" s="177"/>
      <c r="F774" s="89"/>
      <c r="G774" s="25"/>
      <c r="H774" s="25"/>
      <c r="I774" s="25"/>
      <c r="J774" s="25"/>
      <c r="K774" s="25"/>
      <c r="L774" s="25"/>
      <c r="M774" s="25"/>
    </row>
    <row r="775" spans="1:13" ht="15" x14ac:dyDescent="0.2">
      <c r="A775" s="24"/>
      <c r="B775" s="24"/>
      <c r="C775" s="33"/>
      <c r="D775" s="24"/>
      <c r="E775" s="177"/>
      <c r="F775" s="89"/>
      <c r="G775" s="25"/>
      <c r="H775" s="25"/>
      <c r="I775" s="25"/>
      <c r="J775" s="25"/>
      <c r="K775" s="25"/>
      <c r="L775" s="25"/>
      <c r="M775" s="25"/>
    </row>
    <row r="776" spans="1:13" ht="15" x14ac:dyDescent="0.2">
      <c r="A776" s="25"/>
      <c r="B776" s="25"/>
      <c r="C776" s="33"/>
      <c r="D776" s="87"/>
      <c r="E776" s="177"/>
      <c r="F776" s="89"/>
      <c r="G776" s="25"/>
      <c r="H776" s="25"/>
      <c r="I776" s="25"/>
      <c r="J776" s="25"/>
      <c r="K776" s="25"/>
      <c r="L776" s="25"/>
      <c r="M776" s="25"/>
    </row>
    <row r="777" spans="1:13" ht="15" x14ac:dyDescent="0.2">
      <c r="A777" s="25"/>
      <c r="B777" s="25"/>
      <c r="C777" s="33" t="s">
        <v>364</v>
      </c>
      <c r="D777" s="87">
        <f>10150-10078.97</f>
        <v>71.030000000000655</v>
      </c>
      <c r="E777" s="177">
        <v>2139.36</v>
      </c>
      <c r="F777" s="89"/>
      <c r="G777" s="25"/>
      <c r="H777" s="177"/>
      <c r="I777" s="25"/>
      <c r="J777" s="25"/>
      <c r="K777" s="25"/>
      <c r="L777" s="25"/>
      <c r="M777" s="25"/>
    </row>
    <row r="778" spans="1:13" ht="15" x14ac:dyDescent="0.2">
      <c r="A778" s="25"/>
      <c r="B778" s="25"/>
      <c r="C778" s="33" t="s">
        <v>365</v>
      </c>
      <c r="D778" s="87">
        <f>17000-17874.81</f>
        <v>-874.81000000000131</v>
      </c>
      <c r="E778" s="177">
        <v>-41001.370000000003</v>
      </c>
      <c r="F778" s="89"/>
      <c r="G778" s="25"/>
      <c r="H778" s="25"/>
      <c r="I778" s="25"/>
      <c r="J778" s="25"/>
      <c r="K778" s="25"/>
      <c r="L778" s="25"/>
      <c r="M778" s="25"/>
    </row>
    <row r="779" spans="1:13" ht="15" x14ac:dyDescent="0.2">
      <c r="A779" s="25"/>
      <c r="B779" s="25"/>
      <c r="C779" s="33" t="s">
        <v>366</v>
      </c>
      <c r="D779" s="87">
        <v>0</v>
      </c>
      <c r="E779" s="57">
        <v>0</v>
      </c>
      <c r="F779" s="25"/>
      <c r="G779" s="25"/>
      <c r="H779" s="25"/>
      <c r="I779" s="25"/>
      <c r="J779" s="25"/>
      <c r="K779" s="25"/>
      <c r="L779" s="25"/>
      <c r="M779" s="25"/>
    </row>
    <row r="780" spans="1:13" ht="15" x14ac:dyDescent="0.2">
      <c r="A780" s="25"/>
      <c r="B780" s="25"/>
      <c r="C780" s="90" t="s">
        <v>153</v>
      </c>
      <c r="D780" s="168">
        <f>SUM(D766:D779)</f>
        <v>-16166.879999999977</v>
      </c>
      <c r="E780" s="169">
        <f>SUM(E766:E779)</f>
        <v>-758913.31</v>
      </c>
      <c r="F780" s="89"/>
      <c r="G780" s="25"/>
      <c r="H780" s="169">
        <f>SUM(H766:H779)</f>
        <v>0</v>
      </c>
      <c r="I780" s="25"/>
      <c r="J780" s="25"/>
      <c r="K780" s="25"/>
      <c r="L780" s="25"/>
      <c r="M780" s="25"/>
    </row>
    <row r="781" spans="1:13" ht="15" x14ac:dyDescent="0.2">
      <c r="A781" s="25"/>
      <c r="B781" s="38"/>
      <c r="C781" s="95" t="s">
        <v>157</v>
      </c>
      <c r="D781" s="157">
        <f>+D763+D780</f>
        <v>101180.74000000002</v>
      </c>
      <c r="E781" s="158">
        <f>+E763+E780</f>
        <v>4741038.26</v>
      </c>
      <c r="F781" s="89">
        <f>ROUND(E781/D781,5)</f>
        <v>46.857120000000002</v>
      </c>
      <c r="G781" s="25"/>
      <c r="H781" s="227"/>
      <c r="I781" s="56">
        <f>+E784+E782</f>
        <v>43592836.100000001</v>
      </c>
      <c r="J781" s="25"/>
      <c r="K781" s="25"/>
      <c r="L781" s="25"/>
      <c r="M781" s="25"/>
    </row>
    <row r="782" spans="1:13" ht="15" x14ac:dyDescent="0.2">
      <c r="A782" s="25"/>
      <c r="B782" s="25"/>
      <c r="C782" s="113" t="s">
        <v>158</v>
      </c>
      <c r="D782" s="157">
        <f>D746+D781</f>
        <v>1156825.7600000002</v>
      </c>
      <c r="E782" s="158">
        <f>E746+E781</f>
        <v>43941220.789999999</v>
      </c>
      <c r="F782" s="114">
        <f>ROUND(E782/D782,5)</f>
        <v>37.984299999999998</v>
      </c>
      <c r="G782" s="25"/>
      <c r="H782" s="228"/>
      <c r="I782" s="25"/>
      <c r="J782" s="25"/>
      <c r="K782" s="25"/>
      <c r="L782" s="25"/>
      <c r="M782" s="25"/>
    </row>
    <row r="783" spans="1:13" ht="15" x14ac:dyDescent="0.2">
      <c r="A783" s="25"/>
      <c r="B783" s="25"/>
      <c r="C783" s="113"/>
      <c r="D783" s="48"/>
      <c r="E783" s="50"/>
      <c r="F783" s="115"/>
      <c r="G783" s="25"/>
      <c r="H783" s="228">
        <f>+E784-E800</f>
        <v>0</v>
      </c>
      <c r="I783" s="25" t="s">
        <v>310</v>
      </c>
      <c r="J783" s="25"/>
      <c r="K783" s="25"/>
      <c r="L783" s="25"/>
      <c r="M783" s="25"/>
    </row>
    <row r="784" spans="1:13" ht="15" x14ac:dyDescent="0.2">
      <c r="A784" s="25"/>
      <c r="B784" s="25"/>
      <c r="C784" s="98" t="s">
        <v>159</v>
      </c>
      <c r="D784" s="198"/>
      <c r="E784" s="50">
        <f>+H794</f>
        <v>-348384.69</v>
      </c>
      <c r="F784" s="59"/>
      <c r="G784" s="25"/>
      <c r="H784" s="90"/>
      <c r="I784" s="56"/>
      <c r="J784" s="25"/>
      <c r="K784" s="25"/>
      <c r="L784" s="25"/>
      <c r="M784" s="25"/>
    </row>
    <row r="785" spans="1:13" ht="15" x14ac:dyDescent="0.2">
      <c r="A785" s="25"/>
      <c r="B785" s="25"/>
      <c r="C785" s="98"/>
      <c r="D785" s="198"/>
      <c r="E785" s="50"/>
      <c r="F785" s="59"/>
      <c r="G785" s="25"/>
      <c r="H785" s="90" t="s">
        <v>367</v>
      </c>
      <c r="I785" s="56"/>
      <c r="J785" s="25"/>
      <c r="K785" s="25"/>
      <c r="L785" s="25"/>
      <c r="M785" s="25"/>
    </row>
    <row r="786" spans="1:13" ht="15.75" x14ac:dyDescent="0.25">
      <c r="A786" s="25"/>
      <c r="B786" s="25"/>
      <c r="C786" s="92" t="s">
        <v>162</v>
      </c>
      <c r="D786" s="39"/>
      <c r="E786" s="40"/>
      <c r="F786" s="89"/>
      <c r="G786" s="25"/>
      <c r="H786" s="90" t="s">
        <v>161</v>
      </c>
      <c r="I786" s="98"/>
      <c r="J786" s="25"/>
      <c r="K786" s="25"/>
      <c r="L786" s="25"/>
      <c r="M786" s="25"/>
    </row>
    <row r="787" spans="1:13" ht="15" x14ac:dyDescent="0.2">
      <c r="A787" s="25" t="s">
        <v>368</v>
      </c>
      <c r="B787" s="25"/>
      <c r="C787" s="122" t="s">
        <v>167</v>
      </c>
      <c r="D787" s="87">
        <f>-120775.671+118642.5</f>
        <v>-2133.1710000000021</v>
      </c>
      <c r="E787" s="32">
        <f>ROUND(D787*F782,2)</f>
        <v>-81027.009999999995</v>
      </c>
      <c r="F787" s="90"/>
      <c r="G787" s="25"/>
      <c r="H787" s="117">
        <v>-348384.69</v>
      </c>
      <c r="I787" s="98" t="s">
        <v>163</v>
      </c>
      <c r="J787" s="25"/>
      <c r="K787" s="25"/>
      <c r="L787" s="25"/>
      <c r="M787" s="25"/>
    </row>
    <row r="788" spans="1:13" ht="15" x14ac:dyDescent="0.2">
      <c r="A788" s="25" t="s">
        <v>369</v>
      </c>
      <c r="B788" s="25"/>
      <c r="C788" s="119" t="s">
        <v>165</v>
      </c>
      <c r="D788" s="87">
        <v>0</v>
      </c>
      <c r="E788" s="57">
        <v>-168580.14</v>
      </c>
      <c r="F788" s="89"/>
      <c r="G788" s="25"/>
      <c r="H788" s="117">
        <v>0</v>
      </c>
      <c r="I788" s="98"/>
      <c r="J788" s="25"/>
      <c r="K788" s="25"/>
      <c r="L788" s="25"/>
      <c r="M788" s="25"/>
    </row>
    <row r="789" spans="1:13" ht="15" x14ac:dyDescent="0.2">
      <c r="A789" s="25" t="s">
        <v>370</v>
      </c>
      <c r="B789" s="25"/>
      <c r="C789" s="122" t="s">
        <v>169</v>
      </c>
      <c r="D789" s="87">
        <v>0</v>
      </c>
      <c r="E789" s="57">
        <v>0</v>
      </c>
      <c r="F789" s="59"/>
      <c r="G789" s="25"/>
      <c r="H789" s="117">
        <v>0</v>
      </c>
      <c r="I789" s="98"/>
      <c r="J789" s="25"/>
      <c r="K789" s="25"/>
      <c r="L789" s="25"/>
      <c r="M789" s="25"/>
    </row>
    <row r="790" spans="1:13" ht="15" x14ac:dyDescent="0.2">
      <c r="A790" s="25"/>
      <c r="B790" s="25"/>
      <c r="C790" s="119" t="s">
        <v>170</v>
      </c>
      <c r="D790" s="87">
        <v>123283.194</v>
      </c>
      <c r="E790" s="32">
        <f>ROUND(+D790*F782,2)</f>
        <v>4682825.83</v>
      </c>
      <c r="F790" s="89"/>
      <c r="G790" s="25"/>
      <c r="H790" s="117">
        <v>0</v>
      </c>
      <c r="I790" s="98"/>
      <c r="J790" s="25"/>
      <c r="K790" s="25"/>
      <c r="L790" s="25"/>
      <c r="M790" s="25"/>
    </row>
    <row r="791" spans="1:13" ht="15" x14ac:dyDescent="0.2">
      <c r="A791" s="25"/>
      <c r="B791" s="25"/>
      <c r="C791" s="124" t="s">
        <v>171</v>
      </c>
      <c r="D791" s="51">
        <f>SUM(D787:D790)</f>
        <v>121150.023</v>
      </c>
      <c r="E791" s="52">
        <f>SUM(E787:E790)</f>
        <v>4433218.68</v>
      </c>
      <c r="F791" s="89"/>
      <c r="G791" s="25"/>
      <c r="H791" s="123">
        <v>0</v>
      </c>
      <c r="I791" s="163"/>
      <c r="J791" s="25"/>
      <c r="K791" s="25"/>
      <c r="L791" s="25"/>
      <c r="M791" s="25"/>
    </row>
    <row r="792" spans="1:13" ht="15" x14ac:dyDescent="0.2">
      <c r="A792" s="25"/>
      <c r="B792" s="25"/>
      <c r="C792" s="122"/>
      <c r="D792" s="36"/>
      <c r="E792" s="32"/>
      <c r="F792" s="89"/>
      <c r="G792" s="25"/>
      <c r="H792" s="123">
        <v>0</v>
      </c>
      <c r="I792" s="163"/>
      <c r="J792" s="25"/>
      <c r="K792" s="25"/>
      <c r="L792" s="25"/>
      <c r="M792" s="25"/>
    </row>
    <row r="793" spans="1:13" ht="15" x14ac:dyDescent="0.2">
      <c r="A793" s="25" t="s">
        <v>371</v>
      </c>
      <c r="B793" s="25"/>
      <c r="C793" s="122" t="s">
        <v>167</v>
      </c>
      <c r="D793" s="87">
        <f>-126789.719+126997.85</f>
        <v>208.1310000000085</v>
      </c>
      <c r="E793" s="167">
        <f>ROUND(D793*F782,2)</f>
        <v>7905.71</v>
      </c>
      <c r="F793" s="90"/>
      <c r="G793" s="25"/>
      <c r="H793" s="123">
        <v>0</v>
      </c>
      <c r="I793" s="25"/>
      <c r="J793" s="25"/>
      <c r="K793" s="25"/>
      <c r="L793" s="25"/>
      <c r="M793" s="25"/>
    </row>
    <row r="794" spans="1:13" ht="15.75" thickBot="1" x14ac:dyDescent="0.25">
      <c r="A794" s="25" t="s">
        <v>372</v>
      </c>
      <c r="B794" s="25"/>
      <c r="C794" s="119" t="s">
        <v>165</v>
      </c>
      <c r="D794" s="87">
        <v>0</v>
      </c>
      <c r="E794" s="57">
        <v>-179804.55</v>
      </c>
      <c r="F794" s="89"/>
      <c r="G794" s="25"/>
      <c r="H794" s="129">
        <f>SUM(H787:H793)</f>
        <v>-348384.69</v>
      </c>
      <c r="I794" s="25"/>
      <c r="J794" s="25"/>
      <c r="K794" s="25"/>
      <c r="L794" s="25"/>
      <c r="M794" s="25"/>
    </row>
    <row r="795" spans="1:13" ht="15.75" thickTop="1" x14ac:dyDescent="0.2">
      <c r="A795" s="25" t="s">
        <v>373</v>
      </c>
      <c r="B795" s="25"/>
      <c r="C795" s="122" t="s">
        <v>169</v>
      </c>
      <c r="D795" s="87">
        <v>0</v>
      </c>
      <c r="E795" s="57">
        <v>0</v>
      </c>
      <c r="F795" s="24"/>
      <c r="G795" s="25"/>
      <c r="H795" s="90"/>
      <c r="I795" s="25"/>
      <c r="J795" s="25"/>
      <c r="K795" s="25"/>
      <c r="L795" s="25"/>
      <c r="M795" s="25"/>
    </row>
    <row r="796" spans="1:13" ht="15" x14ac:dyDescent="0.2">
      <c r="A796" s="25"/>
      <c r="B796" s="25"/>
      <c r="C796" s="119" t="s">
        <v>170</v>
      </c>
      <c r="D796" s="87">
        <v>117991.129</v>
      </c>
      <c r="E796" s="32">
        <f>ROUND(+D796*F782,2)</f>
        <v>4481810.4400000004</v>
      </c>
      <c r="F796" s="24"/>
      <c r="G796" s="25"/>
      <c r="H796" s="90"/>
      <c r="I796" s="25"/>
      <c r="J796" s="25"/>
      <c r="K796" s="25"/>
      <c r="L796" s="25"/>
      <c r="M796" s="25"/>
    </row>
    <row r="797" spans="1:13" ht="15" x14ac:dyDescent="0.2">
      <c r="A797" s="25"/>
      <c r="B797" s="25"/>
      <c r="C797" s="113" t="s">
        <v>175</v>
      </c>
      <c r="D797" s="51">
        <f>SUM(D792:D796)</f>
        <v>118199.26000000001</v>
      </c>
      <c r="E797" s="52">
        <f>SUM(E792:E796)</f>
        <v>4309911.6000000006</v>
      </c>
      <c r="F797" s="24"/>
      <c r="G797" s="25"/>
      <c r="H797" s="113"/>
      <c r="I797" s="56">
        <f>+E780-E799</f>
        <v>-685792.01</v>
      </c>
      <c r="J797" s="25" t="s">
        <v>313</v>
      </c>
      <c r="K797" s="25"/>
      <c r="L797" s="25"/>
      <c r="M797" s="25"/>
    </row>
    <row r="798" spans="1:13" ht="15" x14ac:dyDescent="0.2">
      <c r="A798" s="25"/>
      <c r="B798" s="25"/>
      <c r="C798" s="122"/>
      <c r="D798" s="36"/>
      <c r="E798" s="32"/>
      <c r="F798" s="89"/>
      <c r="G798" s="25"/>
      <c r="H798" s="90"/>
      <c r="I798" s="56">
        <f>+E799</f>
        <v>-73121.299999999988</v>
      </c>
      <c r="J798" s="25" t="s">
        <v>315</v>
      </c>
      <c r="K798" s="25"/>
      <c r="L798" s="25"/>
      <c r="M798" s="25"/>
    </row>
    <row r="799" spans="1:13" ht="15" x14ac:dyDescent="0.2">
      <c r="A799" s="25"/>
      <c r="B799" s="25"/>
      <c r="C799" s="122" t="s">
        <v>167</v>
      </c>
      <c r="D799" s="36">
        <f t="shared" ref="D799:E802" si="4">D787+D793</f>
        <v>-1925.0399999999936</v>
      </c>
      <c r="E799" s="32">
        <f t="shared" si="4"/>
        <v>-73121.299999999988</v>
      </c>
      <c r="F799" s="89"/>
      <c r="G799" s="25"/>
      <c r="H799" s="90"/>
      <c r="I799" s="25"/>
      <c r="J799" s="25"/>
      <c r="K799" s="25"/>
      <c r="L799" s="25"/>
      <c r="M799" s="25"/>
    </row>
    <row r="800" spans="1:13" ht="15" x14ac:dyDescent="0.2">
      <c r="A800" s="25"/>
      <c r="B800" s="25"/>
      <c r="C800" s="119" t="s">
        <v>165</v>
      </c>
      <c r="D800" s="36">
        <f t="shared" si="4"/>
        <v>0</v>
      </c>
      <c r="E800" s="32">
        <f t="shared" si="4"/>
        <v>-348384.69</v>
      </c>
      <c r="F800" s="89"/>
      <c r="G800" s="25"/>
      <c r="H800" s="119"/>
      <c r="I800" s="25"/>
      <c r="J800" s="25"/>
      <c r="K800" s="25"/>
      <c r="L800" s="25"/>
      <c r="M800" s="25"/>
    </row>
    <row r="801" spans="1:13" ht="15" x14ac:dyDescent="0.2">
      <c r="A801" s="25"/>
      <c r="B801" s="25"/>
      <c r="C801" s="122" t="s">
        <v>169</v>
      </c>
      <c r="D801" s="36">
        <f t="shared" si="4"/>
        <v>0</v>
      </c>
      <c r="E801" s="32">
        <f>E789+E795</f>
        <v>0</v>
      </c>
      <c r="F801" s="89"/>
      <c r="G801" s="25"/>
      <c r="H801" s="90"/>
      <c r="I801" s="25"/>
      <c r="J801" s="25"/>
      <c r="K801" s="25"/>
      <c r="L801" s="25"/>
      <c r="M801" s="25"/>
    </row>
    <row r="802" spans="1:13" ht="15" x14ac:dyDescent="0.2">
      <c r="A802" s="25"/>
      <c r="B802" s="25"/>
      <c r="C802" s="119" t="s">
        <v>176</v>
      </c>
      <c r="D802" s="36">
        <f t="shared" si="4"/>
        <v>241274.323</v>
      </c>
      <c r="E802" s="32">
        <f t="shared" si="4"/>
        <v>9164636.2699999996</v>
      </c>
      <c r="F802" s="89">
        <f>IF(E802=0,0,E802/D802)</f>
        <v>37.984300011899734</v>
      </c>
      <c r="G802" s="25"/>
      <c r="H802" s="90"/>
      <c r="I802" s="25"/>
      <c r="J802" s="25"/>
      <c r="K802" s="25"/>
      <c r="L802" s="25"/>
      <c r="M802" s="25"/>
    </row>
    <row r="803" spans="1:13" ht="15" x14ac:dyDescent="0.2">
      <c r="A803" s="25"/>
      <c r="B803" s="25"/>
      <c r="C803" s="95" t="s">
        <v>177</v>
      </c>
      <c r="D803" s="51">
        <f>SUM(D798:D802)</f>
        <v>239349.283</v>
      </c>
      <c r="E803" s="52">
        <f>SUM(E798:E802)</f>
        <v>8743130.2799999993</v>
      </c>
      <c r="F803" s="89">
        <f>ROUND(E803/D803,5)</f>
        <v>36.528750000000002</v>
      </c>
      <c r="G803" s="25"/>
      <c r="H803" s="119"/>
      <c r="I803" s="25"/>
      <c r="J803" s="25"/>
      <c r="K803" s="25"/>
      <c r="L803" s="25"/>
      <c r="M803" s="25"/>
    </row>
    <row r="804" spans="1:13" ht="15" x14ac:dyDescent="0.2">
      <c r="A804" s="25"/>
      <c r="B804" s="25"/>
      <c r="C804" s="95"/>
      <c r="D804" s="48"/>
      <c r="E804" s="50"/>
      <c r="F804" s="89"/>
      <c r="G804" s="25"/>
      <c r="H804" s="119"/>
      <c r="I804" s="25"/>
      <c r="J804" s="25"/>
      <c r="K804" s="25"/>
      <c r="L804" s="25"/>
      <c r="M804" s="25"/>
    </row>
    <row r="805" spans="1:13" ht="15.75" thickBot="1" x14ac:dyDescent="0.25">
      <c r="A805" s="25"/>
      <c r="B805" s="25"/>
      <c r="C805" s="33" t="s">
        <v>178</v>
      </c>
      <c r="D805" s="133">
        <f>D782-D803</f>
        <v>917476.47700000019</v>
      </c>
      <c r="E805" s="134">
        <f>E782-E803+E784</f>
        <v>34849705.82</v>
      </c>
      <c r="F805" s="37">
        <f>ROUND(E805/D805,5)</f>
        <v>37.984299999999998</v>
      </c>
      <c r="G805" s="25"/>
      <c r="H805" s="98" t="s">
        <v>374</v>
      </c>
      <c r="I805" s="25"/>
      <c r="J805" s="25"/>
      <c r="K805" s="25"/>
      <c r="L805" s="25"/>
      <c r="M805" s="25"/>
    </row>
    <row r="806" spans="1:13" ht="15.75" thickTop="1" x14ac:dyDescent="0.2">
      <c r="A806" s="25"/>
      <c r="B806" s="25"/>
      <c r="C806" s="33"/>
      <c r="D806" s="48"/>
      <c r="E806" s="182"/>
      <c r="F806" s="37"/>
      <c r="G806" s="25"/>
      <c r="H806" s="98" t="s">
        <v>375</v>
      </c>
      <c r="I806" s="25"/>
      <c r="J806" s="25"/>
      <c r="K806" s="25"/>
      <c r="L806" s="25"/>
      <c r="M806" s="25"/>
    </row>
    <row r="807" spans="1:13" ht="15" x14ac:dyDescent="0.2">
      <c r="A807" s="25"/>
      <c r="B807" s="25"/>
      <c r="C807" s="90" t="s">
        <v>179</v>
      </c>
      <c r="D807" s="138"/>
      <c r="E807" s="40"/>
      <c r="F807" s="89"/>
      <c r="G807" s="25"/>
      <c r="H807" s="25"/>
      <c r="I807" s="25"/>
      <c r="J807" s="25"/>
      <c r="K807" s="25"/>
      <c r="L807" s="25"/>
      <c r="M807" s="25"/>
    </row>
    <row r="808" spans="1:13" ht="15" x14ac:dyDescent="0.2">
      <c r="A808" s="25"/>
      <c r="B808" s="25"/>
      <c r="C808" s="90"/>
      <c r="D808" s="138"/>
      <c r="E808" s="40"/>
      <c r="F808" s="89"/>
      <c r="G808" s="25"/>
      <c r="H808" s="25"/>
      <c r="I808" s="25"/>
      <c r="J808" s="25"/>
      <c r="K808" s="25"/>
      <c r="L808" s="25"/>
      <c r="M808" s="25"/>
    </row>
    <row r="809" spans="1:13" ht="15" x14ac:dyDescent="0.2">
      <c r="A809" s="25"/>
      <c r="B809" s="25"/>
      <c r="C809" s="90"/>
      <c r="D809" s="138"/>
      <c r="E809" s="40"/>
      <c r="F809" s="89"/>
      <c r="G809" s="25"/>
      <c r="H809" s="25"/>
      <c r="I809" s="25"/>
      <c r="J809" s="25"/>
      <c r="K809" s="25"/>
      <c r="L809" s="25"/>
      <c r="M809" s="25"/>
    </row>
    <row r="810" spans="1:13" ht="15" x14ac:dyDescent="0.2">
      <c r="A810" s="25"/>
      <c r="B810" s="70"/>
      <c r="C810" s="90"/>
      <c r="D810" s="138"/>
      <c r="E810" s="40"/>
      <c r="F810" s="89"/>
      <c r="G810" s="25"/>
      <c r="H810" s="70"/>
      <c r="I810" s="25"/>
      <c r="J810" s="25"/>
      <c r="K810" s="25"/>
      <c r="L810" s="25"/>
      <c r="M810" s="25"/>
    </row>
    <row r="811" spans="1:13" ht="15" x14ac:dyDescent="0.2">
      <c r="A811" s="25"/>
      <c r="B811" s="24" t="s">
        <v>376</v>
      </c>
      <c r="C811" s="128"/>
      <c r="D811" s="128"/>
      <c r="E811" s="128"/>
      <c r="F811" s="128"/>
      <c r="G811" s="25"/>
      <c r="H811" s="24" t="s">
        <v>117</v>
      </c>
      <c r="I811" s="25"/>
      <c r="J811" s="25"/>
      <c r="K811" s="25"/>
      <c r="L811" s="25"/>
      <c r="M811" s="25"/>
    </row>
    <row r="812" spans="1:13" ht="15.75" x14ac:dyDescent="0.25">
      <c r="A812" s="25"/>
      <c r="B812" s="25"/>
      <c r="C812" s="239" t="s">
        <v>377</v>
      </c>
      <c r="D812" s="239"/>
      <c r="E812" s="239"/>
      <c r="F812" s="239"/>
      <c r="G812" s="25"/>
      <c r="H812" s="25"/>
      <c r="I812" s="25"/>
      <c r="J812" s="25"/>
      <c r="K812" s="25"/>
      <c r="L812" s="25"/>
      <c r="M812" s="25"/>
    </row>
    <row r="813" spans="1:13" ht="15" x14ac:dyDescent="0.2">
      <c r="A813" s="25"/>
      <c r="B813" s="25"/>
      <c r="C813" s="90" t="s">
        <v>38</v>
      </c>
      <c r="D813" s="138"/>
      <c r="E813" s="90"/>
      <c r="F813" s="95"/>
      <c r="G813" s="25"/>
      <c r="H813" s="25"/>
      <c r="I813" s="25"/>
      <c r="J813" s="25"/>
      <c r="K813" s="25"/>
      <c r="L813" s="25"/>
      <c r="M813" s="25"/>
    </row>
    <row r="814" spans="1:13" ht="15" x14ac:dyDescent="0.2">
      <c r="A814" s="25"/>
      <c r="B814" s="25"/>
      <c r="C814" s="25" t="str">
        <f>+C116</f>
        <v>PRELIMINARY</v>
      </c>
      <c r="D814" s="119"/>
      <c r="E814" s="119" t="s">
        <v>138</v>
      </c>
      <c r="F814" s="153" t="str">
        <f>+C4</f>
        <v>AUGUST 2013</v>
      </c>
      <c r="G814" s="25"/>
      <c r="H814" s="25"/>
      <c r="I814" s="25"/>
      <c r="J814" s="25"/>
      <c r="K814" s="25"/>
      <c r="L814" s="25"/>
      <c r="M814" s="25"/>
    </row>
    <row r="815" spans="1:13" ht="15" x14ac:dyDescent="0.2">
      <c r="A815" s="25"/>
      <c r="B815" s="25"/>
      <c r="C815" s="95" t="s">
        <v>378</v>
      </c>
      <c r="D815" s="90"/>
      <c r="E815" s="90"/>
      <c r="F815" s="90"/>
      <c r="G815" s="25"/>
      <c r="H815" s="25"/>
      <c r="I815" s="25"/>
      <c r="J815" s="25"/>
      <c r="K815" s="25"/>
      <c r="L815" s="25"/>
      <c r="M815" s="25"/>
    </row>
    <row r="816" spans="1:13" ht="15" x14ac:dyDescent="0.2">
      <c r="A816" s="25"/>
      <c r="B816" s="25"/>
      <c r="C816" s="90"/>
      <c r="D816" s="140" t="s">
        <v>140</v>
      </c>
      <c r="E816" s="140" t="s">
        <v>141</v>
      </c>
      <c r="F816" s="140" t="s">
        <v>142</v>
      </c>
      <c r="G816" s="25"/>
      <c r="H816" s="25"/>
      <c r="I816" s="25"/>
      <c r="J816" s="25"/>
      <c r="K816" s="25"/>
      <c r="L816" s="25"/>
      <c r="M816" s="25"/>
    </row>
    <row r="817" spans="1:13" ht="15" x14ac:dyDescent="0.2">
      <c r="A817" s="25"/>
      <c r="B817" s="25"/>
      <c r="C817" s="90"/>
      <c r="D817" s="128"/>
      <c r="E817" s="128"/>
      <c r="F817" s="128"/>
      <c r="G817" s="25"/>
      <c r="H817" s="25"/>
      <c r="I817" s="25"/>
      <c r="J817" s="25"/>
      <c r="K817" s="25"/>
      <c r="L817" s="25"/>
      <c r="M817" s="25"/>
    </row>
    <row r="818" spans="1:13" ht="15" x14ac:dyDescent="0.2">
      <c r="A818" s="25"/>
      <c r="B818" s="25"/>
      <c r="C818" s="33" t="s">
        <v>143</v>
      </c>
      <c r="D818" s="87">
        <v>668156.179</v>
      </c>
      <c r="E818" s="88">
        <v>24650540.27</v>
      </c>
      <c r="F818" s="89">
        <v>36.893380000000001</v>
      </c>
      <c r="G818" s="25"/>
      <c r="H818" s="25"/>
      <c r="I818" s="25"/>
      <c r="J818" s="25"/>
      <c r="K818" s="25"/>
      <c r="L818" s="25"/>
      <c r="M818" s="25"/>
    </row>
    <row r="819" spans="1:13" ht="15" x14ac:dyDescent="0.2">
      <c r="A819" s="25"/>
      <c r="B819" s="25"/>
      <c r="C819" s="90"/>
      <c r="D819" s="87"/>
      <c r="E819" s="229"/>
      <c r="F819" s="89"/>
      <c r="G819" s="25"/>
      <c r="H819" s="25"/>
      <c r="I819" s="25"/>
      <c r="J819" s="25"/>
      <c r="K819" s="25"/>
      <c r="L819" s="25"/>
      <c r="M819" s="25"/>
    </row>
    <row r="820" spans="1:13" ht="15.75" x14ac:dyDescent="0.25">
      <c r="A820" s="25"/>
      <c r="B820" s="25"/>
      <c r="C820" s="92" t="s">
        <v>144</v>
      </c>
      <c r="D820" s="87"/>
      <c r="E820" s="93"/>
      <c r="F820" s="89"/>
      <c r="G820" s="25"/>
      <c r="H820" s="25"/>
      <c r="I820" s="25"/>
      <c r="J820" s="25"/>
      <c r="K820" s="25"/>
      <c r="L820" s="25"/>
      <c r="M820" s="25"/>
    </row>
    <row r="821" spans="1:13" ht="15" x14ac:dyDescent="0.2">
      <c r="A821" s="25"/>
      <c r="B821" s="25">
        <v>40013</v>
      </c>
      <c r="C821" s="95" t="s">
        <v>379</v>
      </c>
      <c r="D821" s="87">
        <v>363289</v>
      </c>
      <c r="E821" s="57">
        <v>15526609</v>
      </c>
      <c r="F821" s="89" t="s">
        <v>155</v>
      </c>
      <c r="G821" s="25"/>
      <c r="H821" s="25"/>
      <c r="I821" s="25"/>
      <c r="J821" s="25"/>
      <c r="K821" s="25"/>
      <c r="L821" s="25"/>
      <c r="M821" s="25"/>
    </row>
    <row r="822" spans="1:13" ht="15" x14ac:dyDescent="0.2">
      <c r="A822" s="25"/>
      <c r="B822" s="25">
        <v>40013</v>
      </c>
      <c r="C822" s="95"/>
      <c r="D822" s="87"/>
      <c r="E822" s="57"/>
      <c r="F822" s="89"/>
      <c r="G822" s="25"/>
      <c r="H822" s="25"/>
      <c r="I822" s="25"/>
      <c r="J822" s="25"/>
      <c r="K822" s="25"/>
      <c r="L822" s="25"/>
      <c r="M822" s="25"/>
    </row>
    <row r="823" spans="1:13" ht="15" x14ac:dyDescent="0.2">
      <c r="A823" s="25"/>
      <c r="B823" s="25">
        <v>40055</v>
      </c>
      <c r="C823" s="95" t="s">
        <v>380</v>
      </c>
      <c r="D823" s="87">
        <v>258665</v>
      </c>
      <c r="E823" s="57">
        <v>8311941.1100000003</v>
      </c>
      <c r="F823" s="89" t="s">
        <v>155</v>
      </c>
      <c r="G823" s="25"/>
      <c r="H823" s="25"/>
      <c r="I823" s="25"/>
      <c r="J823" s="25"/>
      <c r="K823" s="25"/>
      <c r="L823" s="25"/>
      <c r="M823" s="25"/>
    </row>
    <row r="824" spans="1:13" ht="15" x14ac:dyDescent="0.2">
      <c r="A824" s="25"/>
      <c r="B824" s="25">
        <v>40042</v>
      </c>
      <c r="C824" s="95"/>
      <c r="D824" s="87"/>
      <c r="E824" s="57">
        <v>1108896.8600000001</v>
      </c>
      <c r="F824" s="89" t="s">
        <v>156</v>
      </c>
      <c r="G824" s="25"/>
      <c r="H824" s="25"/>
      <c r="I824" s="25"/>
      <c r="J824" s="25"/>
      <c r="K824" s="25"/>
      <c r="L824" s="25"/>
      <c r="M824" s="25"/>
    </row>
    <row r="825" spans="1:13" ht="15" x14ac:dyDescent="0.2">
      <c r="A825" s="25"/>
      <c r="B825" s="25"/>
      <c r="C825" s="95"/>
      <c r="D825" s="87"/>
      <c r="E825" s="57"/>
      <c r="F825" s="89"/>
      <c r="G825" s="25"/>
      <c r="H825" s="25"/>
      <c r="I825" s="25"/>
      <c r="J825" s="25"/>
      <c r="K825" s="25"/>
      <c r="L825" s="25"/>
      <c r="M825" s="25"/>
    </row>
    <row r="826" spans="1:13" ht="15" x14ac:dyDescent="0.2">
      <c r="A826" s="25"/>
      <c r="B826" s="25"/>
      <c r="C826" s="95"/>
      <c r="D826" s="87"/>
      <c r="E826" s="57"/>
      <c r="F826" s="89"/>
      <c r="G826" s="25"/>
      <c r="H826" s="25"/>
      <c r="I826" s="25"/>
      <c r="J826" s="25"/>
      <c r="K826" s="25"/>
      <c r="L826" s="25"/>
      <c r="M826" s="25"/>
    </row>
    <row r="827" spans="1:13" ht="15" x14ac:dyDescent="0.2">
      <c r="A827" s="25"/>
      <c r="B827" s="25">
        <v>40055</v>
      </c>
      <c r="C827" s="95" t="s">
        <v>381</v>
      </c>
      <c r="D827" s="87"/>
      <c r="E827" s="57">
        <v>-23508.91</v>
      </c>
      <c r="F827" s="89" t="s">
        <v>155</v>
      </c>
      <c r="G827" s="25"/>
      <c r="H827" s="25"/>
      <c r="I827" s="25"/>
      <c r="J827" s="25"/>
      <c r="K827" s="25"/>
      <c r="L827" s="25"/>
      <c r="M827" s="25"/>
    </row>
    <row r="828" spans="1:13" ht="15" x14ac:dyDescent="0.2">
      <c r="A828" s="25"/>
      <c r="B828" s="25">
        <v>40042</v>
      </c>
      <c r="C828" s="95" t="s">
        <v>382</v>
      </c>
      <c r="D828" s="87"/>
      <c r="E828" s="57">
        <v>-430.89</v>
      </c>
      <c r="F828" s="89" t="s">
        <v>156</v>
      </c>
      <c r="G828" s="25"/>
      <c r="H828" s="25"/>
      <c r="I828" s="25"/>
      <c r="J828" s="25"/>
      <c r="K828" s="25"/>
      <c r="L828" s="25"/>
      <c r="M828" s="25"/>
    </row>
    <row r="829" spans="1:13" ht="15" x14ac:dyDescent="0.2">
      <c r="A829" s="25"/>
      <c r="B829" s="25">
        <v>40013</v>
      </c>
      <c r="C829" s="95" t="s">
        <v>383</v>
      </c>
      <c r="D829" s="99"/>
      <c r="E829" s="64">
        <v>-5060554.18</v>
      </c>
      <c r="F829" s="89" t="s">
        <v>155</v>
      </c>
      <c r="G829" s="25"/>
      <c r="H829" s="25"/>
      <c r="I829" s="25"/>
      <c r="J829" s="25"/>
      <c r="K829" s="25"/>
      <c r="L829" s="25"/>
      <c r="M829" s="25"/>
    </row>
    <row r="830" spans="1:13" ht="15" x14ac:dyDescent="0.2">
      <c r="A830" s="25"/>
      <c r="B830" s="25"/>
      <c r="C830" s="98" t="s">
        <v>153</v>
      </c>
      <c r="D830" s="39">
        <f>SUM(D820:D829)</f>
        <v>621954</v>
      </c>
      <c r="E830" s="40">
        <f>SUM(E820:E829)</f>
        <v>19862952.989999998</v>
      </c>
      <c r="F830" s="89"/>
      <c r="G830" s="25"/>
      <c r="H830" s="25"/>
      <c r="I830" s="25"/>
      <c r="J830" s="25"/>
      <c r="K830" s="25"/>
      <c r="L830" s="25"/>
      <c r="M830" s="25"/>
    </row>
    <row r="831" spans="1:13" ht="15" x14ac:dyDescent="0.2">
      <c r="A831" s="25"/>
      <c r="B831" s="24"/>
      <c r="C831" s="24"/>
      <c r="D831" s="24"/>
      <c r="E831" s="24"/>
      <c r="F831" s="24"/>
      <c r="G831" s="25"/>
      <c r="H831" s="25"/>
      <c r="I831" s="25"/>
      <c r="J831" s="25"/>
      <c r="K831" s="25"/>
      <c r="L831" s="25"/>
      <c r="M831" s="25"/>
    </row>
    <row r="832" spans="1:13" ht="15.75" x14ac:dyDescent="0.25">
      <c r="A832" s="25"/>
      <c r="B832" s="25"/>
      <c r="C832" s="102" t="s">
        <v>154</v>
      </c>
      <c r="D832" s="25"/>
      <c r="E832" s="25"/>
      <c r="F832" s="25"/>
      <c r="G832" s="25"/>
      <c r="H832" s="25"/>
      <c r="I832" s="25"/>
      <c r="J832" s="25"/>
      <c r="K832" s="25"/>
      <c r="L832" s="25"/>
      <c r="M832" s="25"/>
    </row>
    <row r="833" spans="1:13" ht="15" x14ac:dyDescent="0.2">
      <c r="A833" s="25"/>
      <c r="B833" s="25">
        <v>40013</v>
      </c>
      <c r="C833" s="95" t="s">
        <v>379</v>
      </c>
      <c r="D833" s="87">
        <f>-306001+306000.666</f>
        <v>-0.33399999997345731</v>
      </c>
      <c r="E833" s="57">
        <f>-13078177+13078176.96</f>
        <v>-3.9999999105930328E-2</v>
      </c>
      <c r="F833" s="89" t="s">
        <v>155</v>
      </c>
      <c r="G833" s="25"/>
      <c r="H833" s="25"/>
      <c r="I833" s="25"/>
      <c r="J833" s="25"/>
      <c r="K833" s="25"/>
      <c r="L833" s="25"/>
      <c r="M833" s="25"/>
    </row>
    <row r="834" spans="1:13" ht="15" x14ac:dyDescent="0.2">
      <c r="A834" s="25"/>
      <c r="B834" s="25">
        <v>40013</v>
      </c>
      <c r="C834" s="95"/>
      <c r="D834" s="87"/>
      <c r="E834" s="57"/>
      <c r="F834" s="89"/>
      <c r="G834" s="25"/>
      <c r="H834" s="25"/>
      <c r="I834" s="25"/>
      <c r="J834" s="25"/>
      <c r="K834" s="25"/>
      <c r="L834" s="25"/>
      <c r="M834" s="25"/>
    </row>
    <row r="835" spans="1:13" ht="15" x14ac:dyDescent="0.2">
      <c r="A835" s="25"/>
      <c r="B835" s="25">
        <v>40055</v>
      </c>
      <c r="C835" s="95" t="s">
        <v>380</v>
      </c>
      <c r="D835" s="87">
        <f>-164559+164574</f>
        <v>15</v>
      </c>
      <c r="E835" s="57">
        <f>-5235938.26+5181166.87</f>
        <v>-54771.389999999665</v>
      </c>
      <c r="F835" s="89" t="s">
        <v>155</v>
      </c>
      <c r="G835" s="25"/>
      <c r="H835" s="25"/>
      <c r="I835" s="25"/>
      <c r="J835" s="25"/>
      <c r="K835" s="25"/>
      <c r="L835" s="25"/>
      <c r="M835" s="25"/>
    </row>
    <row r="836" spans="1:13" ht="15" x14ac:dyDescent="0.2">
      <c r="A836" s="25"/>
      <c r="B836" s="25">
        <v>40042</v>
      </c>
      <c r="C836" s="95"/>
      <c r="D836" s="87"/>
      <c r="E836" s="57">
        <f>-705958.11+706030.43-0.02</f>
        <v>72.300000000065197</v>
      </c>
      <c r="F836" s="89" t="s">
        <v>156</v>
      </c>
      <c r="G836" s="25"/>
      <c r="H836" s="25"/>
      <c r="I836" s="25"/>
      <c r="J836" s="25"/>
      <c r="K836" s="25"/>
      <c r="L836" s="25"/>
      <c r="M836" s="25"/>
    </row>
    <row r="837" spans="1:13" ht="15" x14ac:dyDescent="0.2">
      <c r="A837" s="25"/>
      <c r="B837" s="25"/>
      <c r="C837" s="95"/>
      <c r="D837" s="87"/>
      <c r="E837" s="57"/>
      <c r="F837" s="89"/>
      <c r="G837" s="25"/>
      <c r="H837" s="25"/>
      <c r="I837" s="25"/>
      <c r="J837" s="25"/>
      <c r="K837" s="25"/>
      <c r="L837" s="25"/>
      <c r="M837" s="25"/>
    </row>
    <row r="838" spans="1:13" ht="15" x14ac:dyDescent="0.2">
      <c r="A838" s="25"/>
      <c r="B838" s="25"/>
      <c r="C838" s="95"/>
      <c r="D838" s="24"/>
      <c r="E838" s="57"/>
      <c r="F838" s="89"/>
      <c r="G838" s="25"/>
      <c r="H838" s="25"/>
      <c r="I838" s="25"/>
      <c r="J838" s="25"/>
      <c r="K838" s="25"/>
      <c r="L838" s="25"/>
      <c r="M838" s="25"/>
    </row>
    <row r="839" spans="1:13" ht="15" x14ac:dyDescent="0.2">
      <c r="A839" s="25"/>
      <c r="B839" s="25">
        <v>40055</v>
      </c>
      <c r="C839" s="95" t="s">
        <v>381</v>
      </c>
      <c r="D839" s="87"/>
      <c r="E839" s="57">
        <f>10460.25-10460.25</f>
        <v>0</v>
      </c>
      <c r="F839" s="89" t="s">
        <v>155</v>
      </c>
      <c r="G839" s="25"/>
      <c r="H839" s="25"/>
      <c r="I839" s="25"/>
      <c r="J839" s="25"/>
      <c r="K839" s="25"/>
      <c r="L839" s="25"/>
      <c r="M839" s="25"/>
    </row>
    <row r="840" spans="1:13" ht="15" x14ac:dyDescent="0.2">
      <c r="A840" s="25"/>
      <c r="B840" s="25">
        <v>40042</v>
      </c>
      <c r="C840" s="95" t="s">
        <v>382</v>
      </c>
      <c r="D840" s="87"/>
      <c r="E840" s="57">
        <f>192.58-192.58</f>
        <v>0</v>
      </c>
      <c r="F840" s="89" t="s">
        <v>156</v>
      </c>
      <c r="G840" s="25"/>
      <c r="H840" s="25"/>
      <c r="I840" s="25"/>
      <c r="J840" s="25"/>
      <c r="K840" s="25"/>
      <c r="L840" s="25"/>
      <c r="M840" s="25"/>
    </row>
    <row r="841" spans="1:13" ht="15" x14ac:dyDescent="0.2">
      <c r="A841" s="25"/>
      <c r="B841" s="25"/>
      <c r="C841" s="95"/>
      <c r="D841" s="24"/>
      <c r="E841" s="57"/>
      <c r="F841" s="89"/>
      <c r="G841" s="25"/>
      <c r="H841" s="25"/>
      <c r="I841" s="25"/>
      <c r="J841" s="25"/>
      <c r="K841" s="25"/>
      <c r="L841" s="25"/>
      <c r="M841" s="25"/>
    </row>
    <row r="842" spans="1:13" ht="15" x14ac:dyDescent="0.2">
      <c r="A842" s="25"/>
      <c r="B842" s="25">
        <v>40013</v>
      </c>
      <c r="C842" s="95" t="s">
        <v>383</v>
      </c>
      <c r="D842" s="99"/>
      <c r="E842" s="64">
        <f>3167261.69-3167261.69</f>
        <v>0</v>
      </c>
      <c r="F842" s="89" t="s">
        <v>155</v>
      </c>
      <c r="G842" s="25"/>
      <c r="H842" s="25"/>
      <c r="I842" s="25"/>
      <c r="J842" s="25"/>
      <c r="K842" s="25"/>
      <c r="L842" s="25"/>
      <c r="M842" s="25"/>
    </row>
    <row r="843" spans="1:13" ht="15" x14ac:dyDescent="0.2">
      <c r="A843" s="25"/>
      <c r="B843" s="25"/>
      <c r="C843" s="25" t="s">
        <v>153</v>
      </c>
      <c r="D843" s="75">
        <f>SUM(D833:D842)</f>
        <v>14.666000000026543</v>
      </c>
      <c r="E843" s="56">
        <f>SUM(E833:E842)</f>
        <v>-54699.129999998702</v>
      </c>
      <c r="F843" s="230"/>
      <c r="G843" s="25"/>
      <c r="H843" s="25"/>
      <c r="I843" s="25"/>
      <c r="J843" s="25"/>
      <c r="K843" s="25"/>
      <c r="L843" s="25"/>
      <c r="M843" s="25"/>
    </row>
    <row r="844" spans="1:13" ht="15" x14ac:dyDescent="0.2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</row>
    <row r="845" spans="1:13" ht="15" x14ac:dyDescent="0.2">
      <c r="A845" s="25"/>
      <c r="B845" s="25"/>
      <c r="C845" s="95" t="s">
        <v>157</v>
      </c>
      <c r="D845" s="51">
        <f>+D830+D843</f>
        <v>621968.66599999997</v>
      </c>
      <c r="E845" s="52">
        <f>+E830+E843</f>
        <v>19808253.859999999</v>
      </c>
      <c r="F845" s="89">
        <f>IF(D845=0,0,ROUND(E845/D845,9))</f>
        <v>31.847671664</v>
      </c>
      <c r="G845" s="25"/>
      <c r="H845" s="25"/>
      <c r="I845" s="25"/>
      <c r="J845" s="25"/>
      <c r="K845" s="25"/>
      <c r="L845" s="25"/>
      <c r="M845" s="25"/>
    </row>
    <row r="846" spans="1:13" ht="15" x14ac:dyDescent="0.2">
      <c r="A846" s="25"/>
      <c r="B846" s="25"/>
      <c r="C846" s="95"/>
      <c r="D846" s="48"/>
      <c r="E846" s="50"/>
      <c r="F846" s="89"/>
      <c r="G846" s="25"/>
      <c r="H846" s="25"/>
      <c r="I846" s="25"/>
      <c r="J846" s="25"/>
      <c r="K846" s="25"/>
      <c r="L846" s="25"/>
      <c r="M846" s="25"/>
    </row>
    <row r="847" spans="1:13" ht="15" x14ac:dyDescent="0.2">
      <c r="A847" s="25"/>
      <c r="B847" s="25"/>
      <c r="C847" s="95" t="s">
        <v>384</v>
      </c>
      <c r="D847" s="145">
        <v>183.04900000000001</v>
      </c>
      <c r="E847" s="57"/>
      <c r="F847" s="89"/>
      <c r="G847" s="25"/>
      <c r="H847" s="25"/>
      <c r="I847" s="25"/>
      <c r="J847" s="25"/>
      <c r="K847" s="25"/>
      <c r="L847" s="25"/>
      <c r="M847" s="25"/>
    </row>
    <row r="848" spans="1:13" ht="15" x14ac:dyDescent="0.2">
      <c r="A848" s="25"/>
      <c r="B848" s="25"/>
      <c r="C848" s="98"/>
      <c r="D848" s="99"/>
      <c r="E848" s="64"/>
      <c r="F848" s="89"/>
      <c r="G848" s="25"/>
      <c r="H848" s="25"/>
      <c r="I848" s="25"/>
      <c r="J848" s="25"/>
      <c r="K848" s="25"/>
      <c r="L848" s="25"/>
      <c r="M848" s="25"/>
    </row>
    <row r="849" spans="1:13" ht="15" x14ac:dyDescent="0.2">
      <c r="A849" s="25"/>
      <c r="B849" s="25"/>
      <c r="C849" s="119" t="s">
        <v>158</v>
      </c>
      <c r="D849" s="157">
        <f>SUM(D818+D845,D847)</f>
        <v>1290307.8940000001</v>
      </c>
      <c r="E849" s="158">
        <f>SUM(E818+E845,E847)</f>
        <v>44458794.129999995</v>
      </c>
      <c r="F849" s="114">
        <f>ROUND(E849/D849,5)</f>
        <v>34.455959999999997</v>
      </c>
      <c r="G849" s="25"/>
      <c r="H849" s="25"/>
      <c r="I849" s="25"/>
      <c r="J849" s="25"/>
      <c r="K849" s="25"/>
      <c r="L849" s="25"/>
      <c r="M849" s="25"/>
    </row>
    <row r="850" spans="1:13" ht="15" x14ac:dyDescent="0.2">
      <c r="A850" s="25"/>
      <c r="B850" s="25"/>
      <c r="C850" s="119"/>
      <c r="D850" s="36"/>
      <c r="E850" s="32"/>
      <c r="F850" s="115"/>
      <c r="G850" s="25"/>
      <c r="H850" s="25"/>
      <c r="I850" s="25"/>
      <c r="J850" s="25"/>
      <c r="K850" s="25"/>
      <c r="L850" s="25"/>
      <c r="M850" s="25"/>
    </row>
    <row r="851" spans="1:13" ht="15" x14ac:dyDescent="0.2">
      <c r="A851" s="25"/>
      <c r="B851" s="25"/>
      <c r="C851" s="98" t="s">
        <v>233</v>
      </c>
      <c r="D851" s="198"/>
      <c r="E851" s="50">
        <f>+H860</f>
        <v>0</v>
      </c>
      <c r="F851" s="128"/>
      <c r="G851" s="25"/>
      <c r="H851" s="90" t="s">
        <v>385</v>
      </c>
      <c r="I851" s="25"/>
      <c r="J851" s="25"/>
      <c r="K851" s="25"/>
      <c r="L851" s="25"/>
      <c r="M851" s="25"/>
    </row>
    <row r="852" spans="1:13" ht="15" x14ac:dyDescent="0.2">
      <c r="A852" s="25"/>
      <c r="B852" s="25"/>
      <c r="C852" s="98"/>
      <c r="D852" s="198"/>
      <c r="E852" s="50"/>
      <c r="F852" s="128"/>
      <c r="G852" s="25"/>
      <c r="H852" s="90" t="s">
        <v>161</v>
      </c>
      <c r="I852" s="25"/>
      <c r="J852" s="25"/>
      <c r="K852" s="25"/>
      <c r="L852" s="25"/>
      <c r="M852" s="25"/>
    </row>
    <row r="853" spans="1:13" ht="15.75" x14ac:dyDescent="0.25">
      <c r="A853" s="25"/>
      <c r="B853" s="25"/>
      <c r="C853" s="92" t="s">
        <v>162</v>
      </c>
      <c r="D853" s="39"/>
      <c r="E853" s="40"/>
      <c r="F853" s="89"/>
      <c r="G853" s="25"/>
      <c r="H853" s="117">
        <v>0</v>
      </c>
      <c r="I853" s="25"/>
      <c r="J853" s="25"/>
      <c r="K853" s="25"/>
      <c r="L853" s="25"/>
      <c r="M853" s="25"/>
    </row>
    <row r="854" spans="1:13" ht="15" x14ac:dyDescent="0.2">
      <c r="A854" s="25" t="s">
        <v>386</v>
      </c>
      <c r="B854" s="25"/>
      <c r="C854" s="119" t="s">
        <v>167</v>
      </c>
      <c r="D854" s="87">
        <f>-125140.012+124824.775</f>
        <v>-315.23700000000827</v>
      </c>
      <c r="E854" s="57">
        <f>-4613857.18+4597261.5</f>
        <v>-16595.679999999702</v>
      </c>
      <c r="F854" s="137"/>
      <c r="G854" s="25"/>
      <c r="H854" s="117">
        <v>0</v>
      </c>
      <c r="I854" s="25"/>
      <c r="J854" s="25"/>
      <c r="K854" s="25"/>
      <c r="L854" s="25"/>
      <c r="M854" s="25"/>
    </row>
    <row r="855" spans="1:13" ht="15" x14ac:dyDescent="0.2">
      <c r="A855" s="25" t="s">
        <v>387</v>
      </c>
      <c r="B855" s="24"/>
      <c r="C855" s="119" t="s">
        <v>193</v>
      </c>
      <c r="D855" s="87">
        <v>0</v>
      </c>
      <c r="E855" s="57">
        <v>0</v>
      </c>
      <c r="F855" s="24"/>
      <c r="G855" s="25"/>
      <c r="H855" s="117">
        <v>0</v>
      </c>
      <c r="I855" s="25"/>
      <c r="J855" s="25"/>
      <c r="K855" s="25"/>
      <c r="L855" s="25"/>
      <c r="M855" s="25"/>
    </row>
    <row r="856" spans="1:13" ht="15" x14ac:dyDescent="0.2">
      <c r="A856" s="25" t="s">
        <v>388</v>
      </c>
      <c r="B856" s="25"/>
      <c r="C856" s="122" t="s">
        <v>169</v>
      </c>
      <c r="D856" s="87">
        <v>-5465.1329999999998</v>
      </c>
      <c r="E856" s="57">
        <v>-201279.33</v>
      </c>
      <c r="F856" s="90"/>
      <c r="G856" s="25"/>
      <c r="H856" s="117">
        <v>0</v>
      </c>
      <c r="I856" s="25"/>
      <c r="J856" s="25"/>
      <c r="K856" s="25"/>
      <c r="L856" s="25"/>
      <c r="M856" s="25"/>
    </row>
    <row r="857" spans="1:13" ht="15" x14ac:dyDescent="0.2">
      <c r="A857" s="25"/>
      <c r="B857" s="25"/>
      <c r="C857" s="119" t="s">
        <v>170</v>
      </c>
      <c r="D857" s="87">
        <v>122313.212</v>
      </c>
      <c r="E857" s="32">
        <f>ROUND(+D857*F849,2)</f>
        <v>4214419.1399999997</v>
      </c>
      <c r="F857" s="89"/>
      <c r="G857" s="25"/>
      <c r="H857" s="123">
        <v>0</v>
      </c>
      <c r="I857" s="25"/>
      <c r="J857" s="25"/>
      <c r="K857" s="25"/>
      <c r="L857" s="25"/>
      <c r="M857" s="25"/>
    </row>
    <row r="858" spans="1:13" ht="15" x14ac:dyDescent="0.2">
      <c r="A858" s="25"/>
      <c r="B858" s="25"/>
      <c r="C858" s="27" t="s">
        <v>171</v>
      </c>
      <c r="D858" s="51">
        <f>SUM(D854:D857)</f>
        <v>116532.84199999999</v>
      </c>
      <c r="E858" s="231">
        <f>SUM(E854:E857)</f>
        <v>3996544.13</v>
      </c>
      <c r="F858" s="25"/>
      <c r="G858" s="25"/>
      <c r="H858" s="123">
        <v>0</v>
      </c>
      <c r="I858" s="25"/>
      <c r="J858" s="25"/>
      <c r="K858" s="25"/>
      <c r="L858" s="25"/>
      <c r="M858" s="25"/>
    </row>
    <row r="859" spans="1:13" ht="15" x14ac:dyDescent="0.2">
      <c r="A859" s="25"/>
      <c r="B859" s="25"/>
      <c r="C859" s="32"/>
      <c r="D859" s="47"/>
      <c r="E859" s="38"/>
      <c r="F859" s="25"/>
      <c r="G859" s="25"/>
      <c r="H859" s="123">
        <v>0</v>
      </c>
      <c r="I859" s="25"/>
      <c r="J859" s="25"/>
      <c r="K859" s="25"/>
      <c r="L859" s="25"/>
      <c r="M859" s="25"/>
    </row>
    <row r="860" spans="1:13" ht="15.75" thickBot="1" x14ac:dyDescent="0.25">
      <c r="A860" s="25" t="s">
        <v>389</v>
      </c>
      <c r="B860" s="25"/>
      <c r="C860" s="159" t="s">
        <v>167</v>
      </c>
      <c r="D860" s="87">
        <f>-124766.052+125268.239</f>
        <v>502.18700000000536</v>
      </c>
      <c r="E860" s="57">
        <f>-4600069.44+4613594.19</f>
        <v>13524.75</v>
      </c>
      <c r="F860" s="25"/>
      <c r="G860" s="25"/>
      <c r="H860" s="129">
        <f>SUM(H853:H859)</f>
        <v>0</v>
      </c>
      <c r="I860" s="25"/>
      <c r="J860" s="25"/>
      <c r="K860" s="25"/>
      <c r="L860" s="25"/>
      <c r="M860" s="25"/>
    </row>
    <row r="861" spans="1:13" ht="15.75" thickTop="1" x14ac:dyDescent="0.2">
      <c r="A861" s="25" t="s">
        <v>390</v>
      </c>
      <c r="B861" s="24"/>
      <c r="C861" s="119" t="s">
        <v>193</v>
      </c>
      <c r="D861" s="87">
        <v>0</v>
      </c>
      <c r="E861" s="57">
        <v>0</v>
      </c>
      <c r="F861" s="24"/>
      <c r="G861" s="25"/>
      <c r="H861" s="25"/>
      <c r="I861" s="25"/>
      <c r="J861" s="25"/>
      <c r="K861" s="25"/>
      <c r="L861" s="25"/>
      <c r="M861" s="25"/>
    </row>
    <row r="862" spans="1:13" ht="15" x14ac:dyDescent="0.2">
      <c r="A862" s="25" t="s">
        <v>391</v>
      </c>
      <c r="B862" s="25"/>
      <c r="C862" s="122" t="s">
        <v>169</v>
      </c>
      <c r="D862" s="87">
        <v>-3744.5639999999999</v>
      </c>
      <c r="E862" s="57">
        <v>-137911.24</v>
      </c>
      <c r="F862" s="25"/>
      <c r="G862" s="25"/>
      <c r="H862" s="25"/>
      <c r="I862" s="25"/>
      <c r="J862" s="25"/>
      <c r="K862" s="25"/>
      <c r="L862" s="25"/>
      <c r="M862" s="25"/>
    </row>
    <row r="863" spans="1:13" ht="15" x14ac:dyDescent="0.2">
      <c r="A863" s="25"/>
      <c r="B863" s="25"/>
      <c r="C863" s="119" t="s">
        <v>170</v>
      </c>
      <c r="D863" s="87">
        <v>138396.73800000001</v>
      </c>
      <c r="E863" s="32">
        <f>ROUND(+D863*F849,2)</f>
        <v>4768592.47</v>
      </c>
      <c r="F863" s="171"/>
      <c r="G863" s="25"/>
      <c r="H863" s="25"/>
      <c r="I863" s="25"/>
      <c r="J863" s="25"/>
      <c r="K863" s="25"/>
      <c r="L863" s="25"/>
      <c r="M863" s="25"/>
    </row>
    <row r="864" spans="1:13" ht="15" x14ac:dyDescent="0.2">
      <c r="A864" s="25"/>
      <c r="B864" s="25"/>
      <c r="C864" s="27" t="s">
        <v>175</v>
      </c>
      <c r="D864" s="51">
        <f>SUM(D860:D863)</f>
        <v>135154.361</v>
      </c>
      <c r="E864" s="231">
        <f>SUM(E860:E863)</f>
        <v>4644205.9799999995</v>
      </c>
      <c r="F864" s="37"/>
      <c r="G864" s="25"/>
      <c r="H864" s="25"/>
      <c r="I864" s="25"/>
      <c r="J864" s="25"/>
      <c r="K864" s="25"/>
      <c r="L864" s="25"/>
      <c r="M864" s="25"/>
    </row>
    <row r="865" spans="1:13" ht="15" x14ac:dyDescent="0.2">
      <c r="A865" s="25"/>
      <c r="B865" s="25"/>
      <c r="C865" s="25"/>
      <c r="D865" s="47"/>
      <c r="E865" s="38"/>
      <c r="F865" s="37"/>
      <c r="G865" s="25"/>
      <c r="H865" s="25"/>
      <c r="I865" s="25"/>
      <c r="J865" s="25"/>
      <c r="K865" s="25"/>
      <c r="L865" s="25"/>
      <c r="M865" s="25"/>
    </row>
    <row r="866" spans="1:13" ht="15" x14ac:dyDescent="0.2">
      <c r="A866" s="25" t="s">
        <v>392</v>
      </c>
      <c r="B866" s="25"/>
      <c r="C866" s="159" t="s">
        <v>167</v>
      </c>
      <c r="D866" s="87">
        <f>-115263.291+115896.405</f>
        <v>633.1140000000014</v>
      </c>
      <c r="E866" s="57">
        <f>-4249706.82+4268432.12</f>
        <v>18725.299999999814</v>
      </c>
      <c r="F866" s="37"/>
      <c r="G866" s="25"/>
      <c r="H866" s="25"/>
      <c r="I866" s="25"/>
      <c r="J866" s="25"/>
      <c r="K866" s="25"/>
      <c r="L866" s="25"/>
      <c r="M866" s="25"/>
    </row>
    <row r="867" spans="1:13" ht="15" x14ac:dyDescent="0.2">
      <c r="A867" s="25" t="s">
        <v>393</v>
      </c>
      <c r="B867" s="24"/>
      <c r="C867" s="119" t="s">
        <v>193</v>
      </c>
      <c r="D867" s="87">
        <v>0</v>
      </c>
      <c r="E867" s="57">
        <v>0</v>
      </c>
      <c r="F867" s="24"/>
      <c r="G867" s="25"/>
      <c r="H867" s="25"/>
      <c r="I867" s="25"/>
      <c r="J867" s="25"/>
      <c r="K867" s="25"/>
      <c r="L867" s="25"/>
      <c r="M867" s="25"/>
    </row>
    <row r="868" spans="1:13" ht="15" x14ac:dyDescent="0.2">
      <c r="A868" s="25" t="s">
        <v>394</v>
      </c>
      <c r="B868" s="25"/>
      <c r="C868" s="122" t="s">
        <v>169</v>
      </c>
      <c r="D868" s="87">
        <v>-5082.03</v>
      </c>
      <c r="E868" s="57">
        <v>-187169.74</v>
      </c>
      <c r="F868" s="37"/>
      <c r="G868" s="25"/>
      <c r="H868" s="25"/>
      <c r="I868" s="25"/>
      <c r="J868" s="25"/>
      <c r="K868" s="25"/>
      <c r="L868" s="25"/>
      <c r="M868" s="25"/>
    </row>
    <row r="869" spans="1:13" ht="15" x14ac:dyDescent="0.2">
      <c r="A869" s="25"/>
      <c r="B869" s="25"/>
      <c r="C869" s="119" t="s">
        <v>170</v>
      </c>
      <c r="D869" s="87">
        <v>134938.351</v>
      </c>
      <c r="E869" s="32">
        <f>ROUND(+D869*F849,2)</f>
        <v>4649430.42</v>
      </c>
      <c r="F869" s="37"/>
      <c r="G869" s="25"/>
      <c r="H869" s="25"/>
      <c r="I869" s="25"/>
      <c r="J869" s="25"/>
      <c r="K869" s="25"/>
      <c r="L869" s="25"/>
      <c r="M869" s="25"/>
    </row>
    <row r="870" spans="1:13" ht="15" x14ac:dyDescent="0.2">
      <c r="A870" s="25"/>
      <c r="B870" s="25"/>
      <c r="C870" s="27" t="s">
        <v>263</v>
      </c>
      <c r="D870" s="51">
        <f>SUM(D866:D869)</f>
        <v>130489.435</v>
      </c>
      <c r="E870" s="231">
        <f>SUM(E866:E869)</f>
        <v>4480985.9799999995</v>
      </c>
      <c r="F870" s="37"/>
      <c r="G870" s="25"/>
      <c r="H870" s="25"/>
      <c r="I870" s="25"/>
      <c r="J870" s="25"/>
      <c r="K870" s="25"/>
      <c r="L870" s="25"/>
      <c r="M870" s="25"/>
    </row>
    <row r="871" spans="1:13" ht="15" x14ac:dyDescent="0.2">
      <c r="A871" s="25"/>
      <c r="B871" s="25"/>
      <c r="C871" s="25" t="s">
        <v>38</v>
      </c>
      <c r="D871" s="47"/>
      <c r="E871" s="38"/>
      <c r="F871" s="37"/>
      <c r="G871" s="25"/>
      <c r="H871" s="25"/>
      <c r="I871" s="25"/>
      <c r="J871" s="25"/>
      <c r="K871" s="25"/>
      <c r="L871" s="25"/>
      <c r="M871" s="25"/>
    </row>
    <row r="872" spans="1:13" ht="15" x14ac:dyDescent="0.2">
      <c r="A872" s="25" t="s">
        <v>395</v>
      </c>
      <c r="B872" s="25"/>
      <c r="C872" s="159" t="s">
        <v>167</v>
      </c>
      <c r="D872" s="87">
        <f>-122986.525+123257.608</f>
        <v>271.08299999999872</v>
      </c>
      <c r="E872" s="57">
        <f>-4534459.06+4539543.2</f>
        <v>5084.140000000596</v>
      </c>
      <c r="F872" s="37"/>
      <c r="G872" s="25"/>
      <c r="H872" s="25"/>
      <c r="I872" s="25"/>
      <c r="J872" s="25"/>
      <c r="K872" s="25"/>
      <c r="L872" s="25"/>
      <c r="M872" s="25"/>
    </row>
    <row r="873" spans="1:13" ht="15" x14ac:dyDescent="0.2">
      <c r="A873" s="25" t="s">
        <v>396</v>
      </c>
      <c r="B873" s="24"/>
      <c r="C873" s="119" t="s">
        <v>193</v>
      </c>
      <c r="D873" s="87">
        <v>0</v>
      </c>
      <c r="E873" s="57">
        <v>0</v>
      </c>
      <c r="F873" s="24"/>
      <c r="G873" s="25"/>
      <c r="H873" s="25"/>
      <c r="I873" s="25"/>
      <c r="J873" s="25"/>
      <c r="K873" s="25"/>
      <c r="L873" s="25"/>
      <c r="M873" s="25"/>
    </row>
    <row r="874" spans="1:13" ht="15" x14ac:dyDescent="0.2">
      <c r="A874" s="25" t="s">
        <v>397</v>
      </c>
      <c r="B874" s="25"/>
      <c r="C874" s="122" t="s">
        <v>169</v>
      </c>
      <c r="D874" s="87">
        <v>-5388.9650000000001</v>
      </c>
      <c r="E874" s="57">
        <v>-198474.07</v>
      </c>
      <c r="F874" s="37"/>
      <c r="G874" s="25"/>
      <c r="H874" s="25"/>
      <c r="I874" s="25"/>
      <c r="J874" s="25"/>
      <c r="K874" s="25"/>
      <c r="L874" s="25"/>
      <c r="M874" s="25"/>
    </row>
    <row r="875" spans="1:13" ht="15" x14ac:dyDescent="0.2">
      <c r="A875" s="25"/>
      <c r="B875" s="25"/>
      <c r="C875" s="119" t="s">
        <v>170</v>
      </c>
      <c r="D875" s="87">
        <v>135001.11300000001</v>
      </c>
      <c r="E875" s="32">
        <f>ROUND(+D875*F849,2)</f>
        <v>4651592.95</v>
      </c>
      <c r="F875" s="37"/>
      <c r="G875" s="25"/>
      <c r="H875" s="25"/>
      <c r="I875" s="25"/>
      <c r="J875" s="25"/>
      <c r="K875" s="25"/>
      <c r="L875" s="25"/>
      <c r="M875" s="25"/>
    </row>
    <row r="876" spans="1:13" ht="15" x14ac:dyDescent="0.2">
      <c r="A876" s="25"/>
      <c r="B876" s="25"/>
      <c r="C876" s="27" t="s">
        <v>267</v>
      </c>
      <c r="D876" s="51">
        <f>SUM(D872:D875)</f>
        <v>129883.23100000001</v>
      </c>
      <c r="E876" s="52">
        <f>SUM(E872:E875)</f>
        <v>4458203.0200000005</v>
      </c>
      <c r="F876" s="37"/>
      <c r="G876" s="25"/>
      <c r="H876" s="25"/>
      <c r="I876" s="25"/>
      <c r="J876" s="25"/>
      <c r="K876" s="25"/>
      <c r="L876" s="25"/>
      <c r="M876" s="25"/>
    </row>
    <row r="877" spans="1:13" ht="15" x14ac:dyDescent="0.2">
      <c r="A877" s="25"/>
      <c r="B877" s="25"/>
      <c r="C877" s="25"/>
      <c r="D877" s="47"/>
      <c r="E877" s="38"/>
      <c r="F877" s="37"/>
      <c r="G877" s="25"/>
      <c r="H877" s="25"/>
      <c r="I877" s="25"/>
      <c r="J877" s="25"/>
      <c r="K877" s="25"/>
      <c r="L877" s="25"/>
      <c r="M877" s="25"/>
    </row>
    <row r="878" spans="1:13" ht="15" x14ac:dyDescent="0.2">
      <c r="A878" s="25"/>
      <c r="B878" s="25"/>
      <c r="C878" s="159" t="s">
        <v>167</v>
      </c>
      <c r="D878" s="232">
        <f>+D872+D866+D860+D854</f>
        <v>1091.1469999999972</v>
      </c>
      <c r="E878" s="43">
        <f>+E872+E866+E860+E854</f>
        <v>20738.510000000708</v>
      </c>
      <c r="F878" s="37"/>
      <c r="G878" s="25"/>
      <c r="H878" s="25"/>
      <c r="I878" s="25"/>
      <c r="J878" s="25"/>
      <c r="K878" s="25"/>
      <c r="L878" s="25"/>
      <c r="M878" s="25"/>
    </row>
    <row r="879" spans="1:13" ht="15" x14ac:dyDescent="0.2">
      <c r="A879" s="24"/>
      <c r="B879" s="24"/>
      <c r="C879" s="119" t="s">
        <v>193</v>
      </c>
      <c r="D879" s="36">
        <f t="shared" ref="D879:E881" si="5">SUM(D855,D861,D867,D873)</f>
        <v>0</v>
      </c>
      <c r="E879" s="32">
        <f t="shared" si="5"/>
        <v>0</v>
      </c>
      <c r="F879" s="24"/>
      <c r="G879" s="25"/>
      <c r="H879" s="25"/>
      <c r="I879" s="25"/>
      <c r="J879" s="25"/>
      <c r="K879" s="25"/>
      <c r="L879" s="25"/>
      <c r="M879" s="25"/>
    </row>
    <row r="880" spans="1:13" ht="15" x14ac:dyDescent="0.2">
      <c r="A880" s="25"/>
      <c r="B880" s="25"/>
      <c r="C880" s="122" t="s">
        <v>169</v>
      </c>
      <c r="D880" s="36">
        <f t="shared" si="5"/>
        <v>-19680.691999999999</v>
      </c>
      <c r="E880" s="32">
        <f>ROUND(SUM(E856,E862,E868,E874),2)</f>
        <v>-724834.38</v>
      </c>
      <c r="F880" s="37">
        <f>IF(D880=0,0,ROUND(E880/D880,5))</f>
        <v>36.829720000000002</v>
      </c>
      <c r="G880" s="25"/>
      <c r="H880" s="25"/>
      <c r="I880" s="25"/>
      <c r="J880" s="25"/>
      <c r="K880" s="25"/>
      <c r="L880" s="25"/>
      <c r="M880" s="25"/>
    </row>
    <row r="881" spans="1:15" ht="15" x14ac:dyDescent="0.2">
      <c r="A881" s="25"/>
      <c r="B881" s="25"/>
      <c r="C881" s="119" t="s">
        <v>176</v>
      </c>
      <c r="D881" s="36">
        <f t="shared" si="5"/>
        <v>530649.41399999999</v>
      </c>
      <c r="E881" s="32">
        <f t="shared" si="5"/>
        <v>18284034.98</v>
      </c>
      <c r="F881" s="37">
        <f>IF(D881=0,0,ROUND(E881/D881,5))</f>
        <v>34.455959999999997</v>
      </c>
      <c r="G881" s="25"/>
      <c r="H881" s="25"/>
      <c r="I881" s="25"/>
      <c r="J881" s="25"/>
      <c r="K881" s="25"/>
      <c r="L881" s="25"/>
      <c r="M881" s="25"/>
    </row>
    <row r="882" spans="1:15" ht="15" x14ac:dyDescent="0.2">
      <c r="A882" s="25"/>
      <c r="B882" s="25"/>
      <c r="C882" s="33" t="s">
        <v>218</v>
      </c>
      <c r="D882" s="51">
        <f>SUM(D878:D881)</f>
        <v>512059.86900000001</v>
      </c>
      <c r="E882" s="233">
        <f>SUM(E878:E881)</f>
        <v>17579939.109999999</v>
      </c>
      <c r="F882" s="37">
        <f>ROUND(E882/D882,5)</f>
        <v>34.331800000000001</v>
      </c>
      <c r="G882" s="25"/>
      <c r="H882" s="25"/>
      <c r="I882" s="25"/>
      <c r="J882" s="25"/>
      <c r="K882" s="25"/>
      <c r="L882" s="25"/>
      <c r="M882" s="25"/>
    </row>
    <row r="883" spans="1:15" ht="15" x14ac:dyDescent="0.2">
      <c r="A883" s="25"/>
      <c r="B883" s="25"/>
      <c r="C883" s="25"/>
      <c r="D883" s="25"/>
      <c r="E883" s="32"/>
      <c r="F883" s="25"/>
      <c r="G883" s="25"/>
      <c r="H883" s="25"/>
      <c r="I883" s="25"/>
      <c r="J883" s="25"/>
      <c r="K883" s="25"/>
      <c r="L883" s="25"/>
      <c r="M883" s="25"/>
    </row>
    <row r="884" spans="1:15" ht="15.75" thickBot="1" x14ac:dyDescent="0.25">
      <c r="A884" s="25"/>
      <c r="B884" s="25"/>
      <c r="C884" s="33" t="s">
        <v>178</v>
      </c>
      <c r="D884" s="133">
        <f>ROUND(D849-D882,3)</f>
        <v>778248.02500000002</v>
      </c>
      <c r="E884" s="134">
        <f>ROUND(E849+E851-E882,2)</f>
        <v>26878855.02</v>
      </c>
      <c r="F884" s="37">
        <f>ROUND(E884/D884,5)</f>
        <v>34.537649999999999</v>
      </c>
      <c r="G884" s="25"/>
      <c r="H884" s="25"/>
      <c r="I884" s="25"/>
      <c r="J884" s="25"/>
      <c r="K884" s="25"/>
      <c r="L884" s="25"/>
      <c r="M884" s="25"/>
    </row>
    <row r="885" spans="1:15" ht="15.75" thickTop="1" x14ac:dyDescent="0.2">
      <c r="A885" s="25"/>
      <c r="B885" s="25"/>
      <c r="C885" s="90"/>
      <c r="D885" s="234"/>
      <c r="E885" s="235"/>
      <c r="F885" s="25"/>
      <c r="G885" s="25"/>
      <c r="H885" s="25"/>
      <c r="I885" s="25"/>
      <c r="J885" s="25"/>
      <c r="K885" s="25"/>
      <c r="L885" s="25"/>
      <c r="M885" s="25"/>
    </row>
    <row r="886" spans="1:15" ht="15" x14ac:dyDescent="0.2">
      <c r="A886" s="25"/>
      <c r="B886" s="70"/>
      <c r="C886" s="90" t="s">
        <v>398</v>
      </c>
      <c r="D886" s="236"/>
      <c r="E886" s="116"/>
      <c r="F886" s="90"/>
      <c r="G886" s="25"/>
      <c r="H886" s="70"/>
      <c r="I886" s="25"/>
      <c r="J886" s="25"/>
      <c r="K886" s="25"/>
      <c r="L886" s="25"/>
      <c r="M886" s="25"/>
    </row>
    <row r="887" spans="1:15" ht="15" x14ac:dyDescent="0.2">
      <c r="A887" s="25"/>
      <c r="B887" s="24" t="s">
        <v>399</v>
      </c>
      <c r="C887" s="128"/>
      <c r="D887" s="128"/>
      <c r="E887" s="128"/>
      <c r="F887" s="128"/>
      <c r="G887" s="25"/>
      <c r="H887" s="24" t="s">
        <v>117</v>
      </c>
      <c r="I887" s="25"/>
      <c r="J887" s="25"/>
      <c r="K887" s="25"/>
      <c r="L887" s="25"/>
      <c r="M887" s="25"/>
    </row>
    <row r="888" spans="1:15" ht="15.75" x14ac:dyDescent="0.25">
      <c r="A888" s="25"/>
      <c r="B888" s="25"/>
      <c r="C888" s="240" t="s">
        <v>400</v>
      </c>
      <c r="D888" s="240"/>
      <c r="E888" s="240"/>
      <c r="F888" s="240"/>
      <c r="G888" s="25"/>
      <c r="H888" s="25"/>
      <c r="I888" s="25"/>
      <c r="J888" s="25"/>
      <c r="K888" s="25"/>
      <c r="L888" s="25"/>
      <c r="M888" s="25"/>
    </row>
    <row r="889" spans="1:15" ht="15" x14ac:dyDescent="0.2">
      <c r="A889" s="25"/>
      <c r="B889" s="25"/>
      <c r="C889" s="90" t="s">
        <v>38</v>
      </c>
      <c r="D889" s="90"/>
      <c r="E889" s="90"/>
      <c r="F889" s="90"/>
      <c r="G889" s="25"/>
      <c r="H889" s="25"/>
      <c r="I889" s="25"/>
      <c r="J889" s="25"/>
      <c r="K889" s="25"/>
      <c r="L889" s="25"/>
      <c r="M889" s="25"/>
    </row>
    <row r="890" spans="1:15" ht="15" x14ac:dyDescent="0.2">
      <c r="A890" s="25"/>
      <c r="B890" s="25"/>
      <c r="C890" s="25" t="str">
        <f>+C116</f>
        <v>PRELIMINARY</v>
      </c>
      <c r="D890" s="119"/>
      <c r="E890" s="119" t="s">
        <v>138</v>
      </c>
      <c r="F890" s="153" t="str">
        <f>+C4</f>
        <v>AUGUST 2013</v>
      </c>
      <c r="G890" s="25"/>
      <c r="H890" s="25"/>
      <c r="I890" s="25"/>
      <c r="J890" s="25"/>
      <c r="K890" s="25"/>
      <c r="L890" s="25"/>
      <c r="M890" s="25"/>
    </row>
    <row r="891" spans="1:15" ht="15" x14ac:dyDescent="0.2">
      <c r="A891" s="25"/>
      <c r="B891" s="25"/>
      <c r="C891" s="90" t="s">
        <v>401</v>
      </c>
      <c r="D891" s="90"/>
      <c r="E891" s="90"/>
      <c r="F891" s="90"/>
      <c r="G891" s="25"/>
      <c r="H891" s="25"/>
      <c r="I891" s="25"/>
      <c r="J891" s="25"/>
      <c r="K891" s="25"/>
      <c r="L891" s="25"/>
      <c r="M891" s="25"/>
    </row>
    <row r="892" spans="1:15" ht="15" x14ac:dyDescent="0.2">
      <c r="A892" s="25"/>
      <c r="B892" s="25"/>
      <c r="C892" s="90"/>
      <c r="D892" s="140" t="s">
        <v>140</v>
      </c>
      <c r="E892" s="140" t="s">
        <v>141</v>
      </c>
      <c r="F892" s="140" t="s">
        <v>142</v>
      </c>
      <c r="G892" s="25"/>
      <c r="H892" s="25"/>
      <c r="I892" s="25"/>
      <c r="J892" s="25"/>
      <c r="K892" s="25"/>
      <c r="L892" s="25"/>
      <c r="M892" s="25"/>
    </row>
    <row r="893" spans="1:15" ht="15" x14ac:dyDescent="0.2">
      <c r="A893" s="25"/>
      <c r="B893" s="25"/>
      <c r="C893" s="90"/>
      <c r="D893" s="128"/>
      <c r="E893" s="128"/>
      <c r="F893" s="128"/>
      <c r="G893" s="25"/>
      <c r="H893" s="25"/>
      <c r="I893" s="25"/>
      <c r="J893" s="25"/>
      <c r="K893" s="25"/>
      <c r="L893" s="25"/>
      <c r="M893" s="25"/>
    </row>
    <row r="894" spans="1:15" ht="15" x14ac:dyDescent="0.2">
      <c r="A894" s="25"/>
      <c r="B894" s="25"/>
      <c r="C894" s="95" t="s">
        <v>143</v>
      </c>
      <c r="D894" s="87">
        <v>232190.02099999978</v>
      </c>
      <c r="E894" s="88">
        <v>8128293.4600000065</v>
      </c>
      <c r="F894" s="89">
        <v>35.007069999999999</v>
      </c>
      <c r="G894" s="25"/>
      <c r="H894" s="25"/>
      <c r="I894" s="25"/>
      <c r="J894" s="25"/>
      <c r="K894" s="25"/>
      <c r="L894" s="25"/>
      <c r="M894" s="25"/>
    </row>
    <row r="895" spans="1:15" ht="15" x14ac:dyDescent="0.2">
      <c r="A895" s="25"/>
      <c r="B895" s="25"/>
      <c r="C895" s="90"/>
      <c r="D895" s="87"/>
      <c r="E895" s="93"/>
      <c r="F895" s="89"/>
      <c r="G895" s="25"/>
      <c r="H895" s="25"/>
      <c r="I895" s="25"/>
      <c r="J895" s="25"/>
      <c r="K895" s="25"/>
      <c r="L895" s="25"/>
      <c r="M895" s="25"/>
    </row>
    <row r="896" spans="1:15" ht="15.75" x14ac:dyDescent="0.25">
      <c r="A896" s="25"/>
      <c r="B896" s="25"/>
      <c r="C896" s="92" t="s">
        <v>144</v>
      </c>
      <c r="D896" s="87"/>
      <c r="E896" s="57"/>
      <c r="F896" s="89"/>
      <c r="G896" s="25"/>
      <c r="H896" s="25"/>
      <c r="I896" s="25"/>
      <c r="J896" s="25"/>
      <c r="K896" s="25"/>
      <c r="L896" s="25"/>
      <c r="M896" s="25"/>
      <c r="N896" s="25"/>
      <c r="O896" s="25"/>
    </row>
    <row r="897" spans="1:15" ht="15" x14ac:dyDescent="0.2">
      <c r="A897" s="25"/>
      <c r="B897" s="25">
        <v>70002</v>
      </c>
      <c r="C897" s="95" t="s">
        <v>402</v>
      </c>
      <c r="D897" s="87">
        <v>245000</v>
      </c>
      <c r="E897" s="57">
        <v>10398902.5</v>
      </c>
      <c r="F897" s="89" t="s">
        <v>155</v>
      </c>
      <c r="G897" s="25"/>
      <c r="H897" s="25"/>
      <c r="I897" s="25"/>
      <c r="J897" s="25"/>
      <c r="K897" s="25"/>
      <c r="L897" s="25"/>
      <c r="M897" s="25"/>
      <c r="N897" s="25"/>
      <c r="O897" s="25"/>
    </row>
    <row r="898" spans="1:15" ht="15" x14ac:dyDescent="0.2">
      <c r="A898" s="25"/>
      <c r="B898" s="25">
        <v>70002</v>
      </c>
      <c r="C898" s="95" t="s">
        <v>403</v>
      </c>
      <c r="D898" s="87">
        <v>0</v>
      </c>
      <c r="E898" s="57">
        <v>0</v>
      </c>
      <c r="F898" s="89" t="s">
        <v>155</v>
      </c>
      <c r="G898" s="25"/>
      <c r="H898" s="25"/>
      <c r="I898" s="25"/>
      <c r="J898" s="25"/>
      <c r="K898" s="25"/>
      <c r="L898" s="25"/>
      <c r="M898" s="25"/>
      <c r="N898" s="25"/>
      <c r="O898" s="25"/>
    </row>
    <row r="899" spans="1:15" ht="15" x14ac:dyDescent="0.2">
      <c r="A899" s="25"/>
      <c r="B899" s="25"/>
      <c r="C899" s="95"/>
      <c r="D899" s="145"/>
      <c r="E899" s="57"/>
      <c r="F899" s="89"/>
      <c r="G899" s="25"/>
      <c r="H899" s="25"/>
      <c r="I899" s="25"/>
      <c r="J899" s="25"/>
      <c r="K899" s="25"/>
      <c r="L899" s="25"/>
      <c r="M899" s="25"/>
      <c r="N899" s="25"/>
      <c r="O899" s="25"/>
    </row>
    <row r="900" spans="1:15" ht="15" x14ac:dyDescent="0.2">
      <c r="A900" s="24"/>
      <c r="B900" s="25"/>
      <c r="C900" s="95"/>
      <c r="D900" s="145"/>
      <c r="E900" s="57"/>
      <c r="F900" s="89"/>
      <c r="G900" s="25"/>
      <c r="H900" s="25"/>
      <c r="I900" s="25"/>
      <c r="J900" s="25"/>
      <c r="K900" s="25"/>
      <c r="L900" s="25"/>
      <c r="M900" s="25"/>
    </row>
    <row r="901" spans="1:15" ht="15" x14ac:dyDescent="0.2">
      <c r="A901" s="25"/>
      <c r="B901" s="25">
        <v>70002</v>
      </c>
      <c r="C901" s="95" t="s">
        <v>404</v>
      </c>
      <c r="D901" s="87"/>
      <c r="E901" s="57">
        <v>12500</v>
      </c>
      <c r="F901" s="89" t="s">
        <v>155</v>
      </c>
      <c r="G901" s="25"/>
      <c r="H901" s="25"/>
      <c r="I901" s="25"/>
      <c r="J901" s="25"/>
      <c r="K901" s="25"/>
      <c r="L901" s="25"/>
      <c r="M901" s="25"/>
    </row>
    <row r="902" spans="1:15" ht="15" x14ac:dyDescent="0.2">
      <c r="A902" s="25"/>
      <c r="B902" s="25"/>
      <c r="C902" s="95"/>
      <c r="D902" s="87"/>
      <c r="E902" s="57"/>
      <c r="F902" s="89"/>
      <c r="G902" s="25"/>
      <c r="H902" s="25"/>
      <c r="I902" s="25"/>
      <c r="J902" s="25"/>
      <c r="K902" s="25"/>
      <c r="L902" s="25"/>
      <c r="M902" s="25"/>
    </row>
    <row r="903" spans="1:15" ht="15" x14ac:dyDescent="0.2">
      <c r="A903" s="25"/>
      <c r="B903" s="25"/>
      <c r="C903" s="95" t="s">
        <v>405</v>
      </c>
      <c r="D903" s="145"/>
      <c r="E903" s="57">
        <v>114679.49</v>
      </c>
      <c r="F903" s="89" t="s">
        <v>155</v>
      </c>
      <c r="G903" s="25"/>
      <c r="H903" s="25"/>
      <c r="I903" s="25"/>
      <c r="J903" s="25"/>
      <c r="K903" s="25"/>
      <c r="L903" s="25"/>
      <c r="M903" s="25"/>
    </row>
    <row r="904" spans="1:15" ht="15" x14ac:dyDescent="0.2">
      <c r="A904" s="25"/>
      <c r="B904" s="25"/>
      <c r="C904" s="95" t="s">
        <v>406</v>
      </c>
      <c r="D904" s="99"/>
      <c r="E904" s="64">
        <v>-84892.11</v>
      </c>
      <c r="F904" s="89" t="s">
        <v>155</v>
      </c>
      <c r="G904" s="25"/>
      <c r="H904" s="25"/>
      <c r="I904" s="25"/>
      <c r="J904" s="25"/>
      <c r="K904" s="25"/>
      <c r="L904" s="25"/>
      <c r="M904" s="25"/>
    </row>
    <row r="905" spans="1:15" ht="15" x14ac:dyDescent="0.2">
      <c r="A905" s="25"/>
      <c r="B905" s="25"/>
      <c r="C905" s="118" t="s">
        <v>153</v>
      </c>
      <c r="D905" s="75">
        <f>SUM(D897:D904)</f>
        <v>245000</v>
      </c>
      <c r="E905" s="56">
        <f>SUM(E897:E904)</f>
        <v>10441189.880000001</v>
      </c>
      <c r="F905" s="25"/>
      <c r="G905" s="25"/>
      <c r="H905" s="25"/>
      <c r="I905" s="25"/>
      <c r="J905" s="25"/>
      <c r="K905" s="25"/>
      <c r="L905" s="25"/>
      <c r="M905" s="25"/>
    </row>
    <row r="906" spans="1:15" ht="15" x14ac:dyDescent="0.2">
      <c r="A906" s="25"/>
      <c r="B906" s="25"/>
      <c r="C906" s="118"/>
      <c r="D906" s="75"/>
      <c r="E906" s="56"/>
      <c r="F906" s="25"/>
      <c r="G906" s="25"/>
      <c r="H906" s="25"/>
      <c r="I906" s="25"/>
      <c r="J906" s="25"/>
      <c r="K906" s="25"/>
      <c r="L906" s="25"/>
      <c r="M906" s="25"/>
    </row>
    <row r="907" spans="1:15" ht="15.75" x14ac:dyDescent="0.25">
      <c r="A907" s="25"/>
      <c r="B907" s="25"/>
      <c r="C907" s="102" t="s">
        <v>154</v>
      </c>
      <c r="D907" s="25"/>
      <c r="E907" s="25"/>
      <c r="F907" s="25"/>
      <c r="G907" s="25"/>
      <c r="H907" s="25"/>
      <c r="I907" s="25"/>
      <c r="J907" s="25"/>
      <c r="K907" s="25"/>
      <c r="L907" s="25"/>
      <c r="M907" s="25"/>
    </row>
    <row r="908" spans="1:15" ht="15" x14ac:dyDescent="0.2">
      <c r="A908" s="25"/>
      <c r="B908" s="25">
        <v>70002</v>
      </c>
      <c r="C908" s="95" t="s">
        <v>402</v>
      </c>
      <c r="D908" s="87">
        <f>-181545+172905</f>
        <v>-8640</v>
      </c>
      <c r="E908" s="57">
        <f>-7782368.94+7299357.48</f>
        <v>-483011.45999999996</v>
      </c>
      <c r="F908" s="89" t="s">
        <v>155</v>
      </c>
      <c r="G908" s="25"/>
      <c r="H908" s="25"/>
      <c r="I908" s="25"/>
      <c r="J908" s="25"/>
      <c r="K908" s="25"/>
      <c r="L908" s="25"/>
      <c r="M908" s="25"/>
    </row>
    <row r="909" spans="1:15" ht="15" x14ac:dyDescent="0.2">
      <c r="A909" s="25"/>
      <c r="B909" s="25">
        <v>70002</v>
      </c>
      <c r="C909" s="95" t="s">
        <v>403</v>
      </c>
      <c r="D909" s="87">
        <f>-38455+38455</f>
        <v>0</v>
      </c>
      <c r="E909" s="57">
        <f>-898428.37+899154.81</f>
        <v>726.44000000006054</v>
      </c>
      <c r="F909" s="89" t="s">
        <v>155</v>
      </c>
      <c r="G909" s="25"/>
      <c r="H909" s="25"/>
      <c r="I909" s="25"/>
      <c r="J909" s="25"/>
      <c r="K909" s="25"/>
      <c r="L909" s="25"/>
      <c r="M909" s="25"/>
    </row>
    <row r="910" spans="1:15" ht="15" x14ac:dyDescent="0.2">
      <c r="A910" s="24"/>
      <c r="B910" s="25"/>
      <c r="C910" s="95"/>
      <c r="D910" s="145"/>
      <c r="E910" s="57"/>
      <c r="F910" s="89"/>
      <c r="G910" s="25"/>
      <c r="H910" s="25"/>
      <c r="I910" s="25"/>
      <c r="J910" s="25"/>
      <c r="K910" s="25"/>
      <c r="L910" s="25"/>
      <c r="M910" s="25"/>
    </row>
    <row r="911" spans="1:15" ht="15" x14ac:dyDescent="0.2">
      <c r="A911" s="24"/>
      <c r="B911" s="25"/>
      <c r="C911" s="95"/>
      <c r="D911" s="145"/>
      <c r="E911" s="57"/>
      <c r="F911" s="89"/>
      <c r="G911" s="25"/>
      <c r="H911" s="25"/>
      <c r="I911" s="25"/>
      <c r="J911" s="25"/>
      <c r="K911" s="25"/>
      <c r="L911" s="25"/>
      <c r="M911" s="25"/>
    </row>
    <row r="912" spans="1:15" ht="15" x14ac:dyDescent="0.2">
      <c r="A912" s="25"/>
      <c r="B912" s="25">
        <v>70002</v>
      </c>
      <c r="C912" s="95" t="s">
        <v>407</v>
      </c>
      <c r="D912" s="87"/>
      <c r="E912" s="57">
        <f>-11000+11000</f>
        <v>0</v>
      </c>
      <c r="F912" s="89" t="s">
        <v>155</v>
      </c>
      <c r="G912" s="25"/>
      <c r="H912" s="25"/>
      <c r="I912" s="25"/>
      <c r="J912" s="25"/>
      <c r="K912" s="25"/>
      <c r="L912" s="25"/>
      <c r="M912" s="25"/>
    </row>
    <row r="913" spans="1:13" ht="15" x14ac:dyDescent="0.2">
      <c r="A913" s="25"/>
      <c r="B913" s="25"/>
      <c r="C913" s="95"/>
      <c r="D913" s="87"/>
      <c r="E913" s="57"/>
      <c r="F913" s="89"/>
      <c r="G913" s="25"/>
      <c r="H913" s="25"/>
      <c r="I913" s="25"/>
      <c r="J913" s="25"/>
      <c r="K913" s="25"/>
      <c r="L913" s="25"/>
      <c r="M913" s="25"/>
    </row>
    <row r="914" spans="1:13" ht="15" x14ac:dyDescent="0.2">
      <c r="A914" s="25"/>
      <c r="B914" s="25"/>
      <c r="C914" s="98"/>
      <c r="D914" s="87"/>
      <c r="E914" s="155"/>
      <c r="F914" s="89"/>
      <c r="G914" s="25"/>
      <c r="H914" s="25"/>
      <c r="I914" s="25"/>
      <c r="J914" s="25"/>
      <c r="K914" s="25"/>
      <c r="L914" s="25"/>
      <c r="M914" s="25"/>
    </row>
    <row r="915" spans="1:13" ht="15" x14ac:dyDescent="0.2">
      <c r="A915" s="25"/>
      <c r="B915" s="25"/>
      <c r="C915" s="95" t="s">
        <v>405</v>
      </c>
      <c r="D915" s="145"/>
      <c r="E915" s="57">
        <f>-114679.49+114679.49</f>
        <v>0</v>
      </c>
      <c r="F915" s="89" t="s">
        <v>155</v>
      </c>
      <c r="G915" s="25"/>
      <c r="H915" s="25"/>
      <c r="I915" s="25"/>
      <c r="J915" s="25"/>
      <c r="K915" s="25"/>
      <c r="L915" s="25"/>
      <c r="M915" s="25"/>
    </row>
    <row r="916" spans="1:13" ht="15" x14ac:dyDescent="0.2">
      <c r="A916" s="25"/>
      <c r="B916" s="25"/>
      <c r="C916" s="95" t="s">
        <v>406</v>
      </c>
      <c r="D916" s="99"/>
      <c r="E916" s="64">
        <v>0</v>
      </c>
      <c r="F916" s="89" t="s">
        <v>155</v>
      </c>
      <c r="G916" s="25"/>
      <c r="H916" s="25"/>
      <c r="I916" s="25"/>
      <c r="J916" s="25"/>
      <c r="K916" s="25"/>
      <c r="L916" s="25"/>
      <c r="M916" s="25"/>
    </row>
    <row r="917" spans="1:13" ht="15" x14ac:dyDescent="0.2">
      <c r="A917" s="25"/>
      <c r="B917" s="25"/>
      <c r="C917" s="63" t="s">
        <v>153</v>
      </c>
      <c r="D917" s="104">
        <f>SUM(D908:D916)</f>
        <v>-8640</v>
      </c>
      <c r="E917" s="158">
        <f>SUM(E908:E916)</f>
        <v>-482285.0199999999</v>
      </c>
      <c r="F917" s="25"/>
      <c r="G917" s="25"/>
      <c r="H917" s="25"/>
      <c r="I917" s="25"/>
      <c r="J917" s="25"/>
      <c r="K917" s="25"/>
      <c r="L917" s="25"/>
      <c r="M917" s="25"/>
    </row>
    <row r="918" spans="1:13" ht="15" x14ac:dyDescent="0.2">
      <c r="A918" s="25"/>
      <c r="B918" s="25"/>
      <c r="C918" s="95" t="s">
        <v>157</v>
      </c>
      <c r="D918" s="51">
        <f>+D905+D917</f>
        <v>236360</v>
      </c>
      <c r="E918" s="52">
        <f>+E905+E917</f>
        <v>9958904.8600000013</v>
      </c>
      <c r="F918" s="89">
        <f>IF(D918=0,0,ROUND(E918/D918,5))</f>
        <v>42.134480000000003</v>
      </c>
      <c r="G918" s="25"/>
      <c r="H918" s="25"/>
      <c r="I918" s="25"/>
      <c r="J918" s="25"/>
      <c r="K918" s="25"/>
      <c r="L918" s="25"/>
      <c r="M918" s="25"/>
    </row>
    <row r="919" spans="1:13" ht="15" x14ac:dyDescent="0.2">
      <c r="A919" s="25"/>
      <c r="B919" s="25"/>
      <c r="C919" s="90"/>
      <c r="D919" s="36"/>
      <c r="E919" s="25"/>
      <c r="F919" s="89"/>
      <c r="G919" s="25"/>
      <c r="H919" s="25"/>
      <c r="I919" s="25"/>
      <c r="J919" s="25"/>
      <c r="K919" s="25"/>
      <c r="L919" s="25"/>
      <c r="M919" s="25"/>
    </row>
    <row r="920" spans="1:13" ht="15" x14ac:dyDescent="0.2">
      <c r="A920" s="25"/>
      <c r="B920" s="25"/>
      <c r="C920" s="113" t="s">
        <v>158</v>
      </c>
      <c r="D920" s="51">
        <f>D894+D918</f>
        <v>468550.02099999978</v>
      </c>
      <c r="E920" s="52">
        <f>E894+E918</f>
        <v>18087198.320000008</v>
      </c>
      <c r="F920" s="114">
        <f>ROUND(E920/D920,5)</f>
        <v>38.602490000000003</v>
      </c>
      <c r="G920" s="25"/>
      <c r="H920" s="25"/>
      <c r="I920" s="25"/>
      <c r="J920" s="25"/>
      <c r="K920" s="25"/>
      <c r="L920" s="25"/>
      <c r="M920" s="25"/>
    </row>
    <row r="921" spans="1:13" ht="15" x14ac:dyDescent="0.2">
      <c r="A921" s="25"/>
      <c r="B921" s="25"/>
      <c r="C921" s="113"/>
      <c r="D921" s="36"/>
      <c r="E921" s="32"/>
      <c r="F921" s="115"/>
      <c r="G921" s="25"/>
      <c r="H921" s="25"/>
      <c r="I921" s="25"/>
      <c r="J921" s="25"/>
      <c r="K921" s="25"/>
      <c r="L921" s="25"/>
      <c r="M921" s="25"/>
    </row>
    <row r="922" spans="1:13" ht="15" x14ac:dyDescent="0.2">
      <c r="A922" s="25"/>
      <c r="B922" s="25"/>
      <c r="C922" s="98" t="s">
        <v>408</v>
      </c>
      <c r="D922" s="198"/>
      <c r="E922" s="50">
        <f>+H930</f>
        <v>23714.27</v>
      </c>
      <c r="F922" s="147"/>
      <c r="G922" s="25"/>
      <c r="H922" s="90"/>
      <c r="I922" s="25"/>
      <c r="J922" s="25"/>
      <c r="K922" s="25"/>
      <c r="L922" s="25"/>
      <c r="M922" s="25"/>
    </row>
    <row r="923" spans="1:13" ht="15" x14ac:dyDescent="0.2">
      <c r="A923" s="25"/>
      <c r="B923" s="25"/>
      <c r="C923" s="98"/>
      <c r="D923" s="198"/>
      <c r="E923" s="50"/>
      <c r="F923" s="147"/>
      <c r="G923" s="25"/>
      <c r="H923" s="90" t="s">
        <v>409</v>
      </c>
      <c r="I923" s="25"/>
      <c r="J923" s="25"/>
      <c r="K923" s="25"/>
      <c r="L923" s="25"/>
      <c r="M923" s="25"/>
    </row>
    <row r="924" spans="1:13" ht="15.75" x14ac:dyDescent="0.25">
      <c r="A924" s="25"/>
      <c r="B924" s="25"/>
      <c r="C924" s="92" t="s">
        <v>162</v>
      </c>
      <c r="D924" s="39"/>
      <c r="E924" s="90"/>
      <c r="F924" s="89"/>
      <c r="G924" s="25"/>
      <c r="H924" s="90" t="s">
        <v>161</v>
      </c>
      <c r="I924" s="25"/>
      <c r="J924" s="25"/>
      <c r="K924" s="25"/>
      <c r="L924" s="25"/>
      <c r="M924" s="25"/>
    </row>
    <row r="925" spans="1:13" ht="15" x14ac:dyDescent="0.2">
      <c r="A925" s="25" t="s">
        <v>410</v>
      </c>
      <c r="B925" s="25"/>
      <c r="C925" s="119" t="s">
        <v>167</v>
      </c>
      <c r="D925" s="87">
        <f>-51742.388+52154</f>
        <v>411.61200000000099</v>
      </c>
      <c r="E925" s="57">
        <f>-1811598.28+1806059.15</f>
        <v>-5539.1300000001211</v>
      </c>
      <c r="F925" s="89"/>
      <c r="G925" s="25"/>
      <c r="H925" s="155">
        <f>28712.58-4998.31</f>
        <v>23714.27</v>
      </c>
      <c r="I925" s="25" t="s">
        <v>411</v>
      </c>
      <c r="J925" s="25"/>
      <c r="K925" s="25"/>
      <c r="L925" s="25"/>
      <c r="M925" s="25"/>
    </row>
    <row r="926" spans="1:13" ht="15" x14ac:dyDescent="0.2">
      <c r="A926" s="25" t="s">
        <v>412</v>
      </c>
      <c r="B926" s="24"/>
      <c r="C926" s="119" t="s">
        <v>413</v>
      </c>
      <c r="D926" s="87">
        <v>0</v>
      </c>
      <c r="E926" s="57">
        <v>3215.66</v>
      </c>
      <c r="F926" s="24"/>
      <c r="G926" s="25"/>
      <c r="H926" s="155">
        <v>0</v>
      </c>
      <c r="I926" s="25"/>
      <c r="J926" s="25"/>
      <c r="K926" s="25"/>
      <c r="L926" s="25"/>
      <c r="M926" s="25"/>
    </row>
    <row r="927" spans="1:13" ht="15" x14ac:dyDescent="0.2">
      <c r="A927" s="25" t="s">
        <v>414</v>
      </c>
      <c r="B927" s="25"/>
      <c r="C927" s="122" t="s">
        <v>169</v>
      </c>
      <c r="D927" s="87">
        <v>0</v>
      </c>
      <c r="E927" s="57">
        <v>0</v>
      </c>
      <c r="F927" s="89"/>
      <c r="G927" s="25"/>
      <c r="H927" s="155">
        <v>0</v>
      </c>
      <c r="I927" s="25"/>
      <c r="J927" s="25"/>
      <c r="K927" s="25"/>
      <c r="L927" s="25"/>
      <c r="M927" s="25"/>
    </row>
    <row r="928" spans="1:13" ht="15" x14ac:dyDescent="0.2">
      <c r="A928" s="25"/>
      <c r="B928" s="25"/>
      <c r="C928" s="119" t="s">
        <v>170</v>
      </c>
      <c r="D928" s="87">
        <v>57608.362000000001</v>
      </c>
      <c r="E928" s="32">
        <f>ROUND(+D928*F920,2)</f>
        <v>2223826.2200000002</v>
      </c>
      <c r="F928" s="89"/>
      <c r="G928" s="25"/>
      <c r="H928" s="155">
        <v>0</v>
      </c>
      <c r="I928" s="25"/>
      <c r="J928" s="25"/>
      <c r="K928" s="25"/>
      <c r="L928" s="25"/>
      <c r="M928" s="25"/>
    </row>
    <row r="929" spans="1:13" ht="15" x14ac:dyDescent="0.2">
      <c r="A929" s="25"/>
      <c r="B929" s="25"/>
      <c r="C929" s="170" t="s">
        <v>171</v>
      </c>
      <c r="D929" s="51">
        <f>SUM(D925:D928)</f>
        <v>58019.974000000002</v>
      </c>
      <c r="E929" s="52">
        <f>SUM(E925:E928)</f>
        <v>2221502.75</v>
      </c>
      <c r="F929" s="37"/>
      <c r="G929" s="25"/>
      <c r="H929" s="155">
        <v>0</v>
      </c>
      <c r="I929" s="25"/>
      <c r="J929" s="25"/>
      <c r="K929" s="25"/>
      <c r="L929" s="25"/>
      <c r="M929" s="25"/>
    </row>
    <row r="930" spans="1:13" ht="15.75" thickBot="1" x14ac:dyDescent="0.25">
      <c r="A930" s="25"/>
      <c r="B930" s="25"/>
      <c r="C930" s="25"/>
      <c r="D930" s="25"/>
      <c r="E930" s="25"/>
      <c r="F930" s="25"/>
      <c r="G930" s="25"/>
      <c r="H930" s="129">
        <f>SUM(H925:H929)</f>
        <v>23714.27</v>
      </c>
      <c r="I930" s="25"/>
      <c r="J930" s="25"/>
      <c r="K930" s="25"/>
      <c r="L930" s="25"/>
      <c r="M930" s="25"/>
    </row>
    <row r="931" spans="1:13" ht="15.75" thickTop="1" x14ac:dyDescent="0.2">
      <c r="A931" s="25" t="s">
        <v>415</v>
      </c>
      <c r="B931" s="25"/>
      <c r="C931" s="159" t="s">
        <v>167</v>
      </c>
      <c r="D931" s="87">
        <f>-69929.477+70603</f>
        <v>673.52300000000105</v>
      </c>
      <c r="E931" s="57">
        <f>-2448362.46+2444936.01</f>
        <v>-3426.4500000001863</v>
      </c>
      <c r="F931" s="37"/>
      <c r="G931" s="25"/>
      <c r="H931" s="25"/>
      <c r="I931" s="25"/>
      <c r="J931" s="25"/>
      <c r="K931" s="25"/>
      <c r="L931" s="25"/>
      <c r="M931" s="25"/>
    </row>
    <row r="932" spans="1:13" ht="15" x14ac:dyDescent="0.2">
      <c r="A932" s="25" t="s">
        <v>416</v>
      </c>
      <c r="B932" s="24"/>
      <c r="C932" s="119" t="s">
        <v>413</v>
      </c>
      <c r="D932" s="87">
        <v>0</v>
      </c>
      <c r="E932" s="57">
        <v>1085.28</v>
      </c>
      <c r="F932" s="24"/>
      <c r="G932" s="25"/>
      <c r="H932" s="25"/>
      <c r="I932" s="25"/>
      <c r="J932" s="25"/>
      <c r="K932" s="25"/>
      <c r="L932" s="25"/>
      <c r="M932" s="25"/>
    </row>
    <row r="933" spans="1:13" ht="15" x14ac:dyDescent="0.2">
      <c r="A933" s="25" t="s">
        <v>417</v>
      </c>
      <c r="B933" s="25"/>
      <c r="C933" s="122" t="s">
        <v>169</v>
      </c>
      <c r="D933" s="87">
        <v>0</v>
      </c>
      <c r="E933" s="57">
        <v>0</v>
      </c>
      <c r="F933" s="37"/>
      <c r="G933" s="25"/>
      <c r="H933" s="25"/>
      <c r="I933" s="25"/>
      <c r="J933" s="25"/>
      <c r="K933" s="25"/>
      <c r="L933" s="25"/>
      <c r="M933" s="25"/>
    </row>
    <row r="934" spans="1:13" ht="15" x14ac:dyDescent="0.2">
      <c r="A934" s="25"/>
      <c r="B934" s="25"/>
      <c r="C934" s="119" t="s">
        <v>170</v>
      </c>
      <c r="D934" s="87">
        <v>80060.724000000002</v>
      </c>
      <c r="E934" s="32">
        <f>ROUND(+D934*F920,2)</f>
        <v>3090543.3</v>
      </c>
      <c r="F934" s="37"/>
      <c r="G934" s="25"/>
      <c r="H934" s="25"/>
      <c r="I934" s="25"/>
      <c r="J934" s="25"/>
      <c r="K934" s="25"/>
      <c r="L934" s="25"/>
      <c r="M934" s="25"/>
    </row>
    <row r="935" spans="1:13" ht="15" x14ac:dyDescent="0.2">
      <c r="A935" s="25"/>
      <c r="B935" s="25"/>
      <c r="C935" s="27" t="s">
        <v>175</v>
      </c>
      <c r="D935" s="51">
        <f>SUM(D931:D934)</f>
        <v>80734.247000000003</v>
      </c>
      <c r="E935" s="52">
        <f>SUM(E931:E934)</f>
        <v>3088202.1299999994</v>
      </c>
      <c r="F935" s="37"/>
      <c r="G935" s="25"/>
      <c r="H935" s="25"/>
      <c r="I935" s="25"/>
      <c r="J935" s="25"/>
      <c r="K935" s="25"/>
      <c r="L935" s="25"/>
      <c r="M935" s="25"/>
    </row>
    <row r="936" spans="1:13" ht="15" x14ac:dyDescent="0.2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</row>
    <row r="937" spans="1:13" ht="15" x14ac:dyDescent="0.2">
      <c r="A937" s="25" t="s">
        <v>418</v>
      </c>
      <c r="B937" s="25"/>
      <c r="C937" s="159" t="s">
        <v>167</v>
      </c>
      <c r="D937" s="87">
        <f>-127683.178+128930</f>
        <v>1246.8220000000001</v>
      </c>
      <c r="E937" s="57">
        <f>-4470428.11+4464762.09</f>
        <v>-5666.0200000004843</v>
      </c>
      <c r="F937" s="37"/>
      <c r="G937" s="25"/>
      <c r="H937" s="25"/>
      <c r="I937" s="25"/>
      <c r="J937" s="25"/>
      <c r="K937" s="25"/>
      <c r="L937" s="25"/>
      <c r="M937" s="25"/>
    </row>
    <row r="938" spans="1:13" ht="15" x14ac:dyDescent="0.2">
      <c r="A938" s="25" t="s">
        <v>419</v>
      </c>
      <c r="B938" s="24"/>
      <c r="C938" s="119" t="s">
        <v>413</v>
      </c>
      <c r="D938" s="87">
        <v>0</v>
      </c>
      <c r="E938" s="57">
        <v>19413.330000000002</v>
      </c>
      <c r="F938" s="24"/>
      <c r="G938" s="25"/>
      <c r="H938" s="25"/>
      <c r="I938" s="25"/>
      <c r="J938" s="25"/>
      <c r="K938" s="25"/>
      <c r="L938" s="25"/>
      <c r="M938" s="25"/>
    </row>
    <row r="939" spans="1:13" ht="15" x14ac:dyDescent="0.2">
      <c r="A939" s="25" t="s">
        <v>420</v>
      </c>
      <c r="B939" s="25"/>
      <c r="C939" s="122" t="s">
        <v>169</v>
      </c>
      <c r="D939" s="87">
        <v>0</v>
      </c>
      <c r="E939" s="57">
        <v>0</v>
      </c>
      <c r="F939" s="37"/>
      <c r="G939" s="25"/>
      <c r="H939" s="25"/>
      <c r="I939" s="25"/>
      <c r="J939" s="25"/>
      <c r="K939" s="25"/>
      <c r="L939" s="25"/>
      <c r="M939" s="25"/>
    </row>
    <row r="940" spans="1:13" ht="15" x14ac:dyDescent="0.2">
      <c r="A940" s="25"/>
      <c r="B940" s="25"/>
      <c r="C940" s="119" t="s">
        <v>170</v>
      </c>
      <c r="D940" s="87">
        <v>118718.577</v>
      </c>
      <c r="E940" s="32">
        <f>ROUND(+D940*F920,2)</f>
        <v>4582832.68</v>
      </c>
      <c r="F940" s="37"/>
      <c r="G940" s="25"/>
      <c r="H940" s="25"/>
      <c r="I940" s="25"/>
      <c r="J940" s="25"/>
      <c r="K940" s="25"/>
      <c r="L940" s="25"/>
      <c r="M940" s="25"/>
    </row>
    <row r="941" spans="1:13" ht="15" x14ac:dyDescent="0.2">
      <c r="A941" s="25"/>
      <c r="B941" s="25"/>
      <c r="C941" s="27" t="s">
        <v>263</v>
      </c>
      <c r="D941" s="51">
        <f>SUM(D937:D940)</f>
        <v>119965.399</v>
      </c>
      <c r="E941" s="52">
        <f>SUM(E937:E940)</f>
        <v>4596579.9899999993</v>
      </c>
      <c r="F941" s="37"/>
      <c r="G941" s="25"/>
      <c r="H941" s="25"/>
      <c r="I941" s="25"/>
      <c r="J941" s="25"/>
      <c r="K941" s="25"/>
      <c r="L941" s="25"/>
      <c r="M941" s="25"/>
    </row>
    <row r="942" spans="1:13" ht="15" x14ac:dyDescent="0.2">
      <c r="A942" s="25"/>
      <c r="B942" s="25"/>
      <c r="C942" s="25"/>
      <c r="D942" s="47"/>
      <c r="E942" s="65"/>
      <c r="F942" s="37"/>
      <c r="G942" s="25"/>
      <c r="H942" s="25"/>
      <c r="I942" s="25"/>
      <c r="J942" s="25"/>
      <c r="K942" s="25"/>
      <c r="L942" s="25"/>
      <c r="M942" s="25"/>
    </row>
    <row r="943" spans="1:13" ht="15" x14ac:dyDescent="0.2">
      <c r="A943" s="25"/>
      <c r="B943" s="25"/>
      <c r="C943" s="159" t="s">
        <v>167</v>
      </c>
      <c r="D943" s="36">
        <f>+D925+D931+D937</f>
        <v>2331.9570000000022</v>
      </c>
      <c r="E943" s="32">
        <f>+E925+E931+E937</f>
        <v>-14631.600000000792</v>
      </c>
      <c r="F943" s="25"/>
      <c r="G943" s="25"/>
      <c r="H943" s="25"/>
      <c r="I943" s="25"/>
      <c r="J943" s="25"/>
      <c r="K943" s="25"/>
      <c r="L943" s="25"/>
      <c r="M943" s="25"/>
    </row>
    <row r="944" spans="1:13" ht="15" x14ac:dyDescent="0.2">
      <c r="A944" s="25"/>
      <c r="B944" s="25"/>
      <c r="C944" s="119" t="s">
        <v>413</v>
      </c>
      <c r="D944" s="36">
        <f>+D926+D932+D938</f>
        <v>0</v>
      </c>
      <c r="E944" s="32">
        <f>+E926+E932+E938</f>
        <v>23714.27</v>
      </c>
      <c r="F944" s="24"/>
      <c r="G944" s="25"/>
      <c r="H944" s="25"/>
      <c r="I944" s="25"/>
      <c r="J944" s="25"/>
      <c r="K944" s="25"/>
      <c r="L944" s="25"/>
      <c r="M944" s="25"/>
    </row>
    <row r="945" spans="1:13" ht="15" x14ac:dyDescent="0.2">
      <c r="A945" s="24"/>
      <c r="B945" s="24"/>
      <c r="C945" s="122" t="s">
        <v>169</v>
      </c>
      <c r="D945" s="36">
        <f>SUM(D927,D933,D939)</f>
        <v>0</v>
      </c>
      <c r="E945" s="32">
        <f>SUM(E927,E933,E939)</f>
        <v>0</v>
      </c>
      <c r="F945" s="25"/>
      <c r="G945" s="25"/>
      <c r="H945" s="25"/>
      <c r="I945" s="25"/>
      <c r="J945" s="25"/>
      <c r="K945" s="25"/>
      <c r="L945" s="25"/>
      <c r="M945" s="25"/>
    </row>
    <row r="946" spans="1:13" ht="15" x14ac:dyDescent="0.2">
      <c r="A946" s="25"/>
      <c r="B946" s="25"/>
      <c r="C946" s="119" t="s">
        <v>176</v>
      </c>
      <c r="D946" s="36">
        <f>SUM(D928,D934,D940)</f>
        <v>256387.663</v>
      </c>
      <c r="E946" s="32">
        <f>SUM(E928,E934,E940)</f>
        <v>9897202.1999999993</v>
      </c>
      <c r="F946" s="89">
        <f>IF(E946=0,0,E946/D946)</f>
        <v>38.602490011385605</v>
      </c>
      <c r="G946" s="25"/>
      <c r="H946" s="25"/>
      <c r="I946" s="25"/>
      <c r="J946" s="25"/>
      <c r="K946" s="25"/>
      <c r="L946" s="25"/>
      <c r="M946" s="25"/>
    </row>
    <row r="947" spans="1:13" ht="15" x14ac:dyDescent="0.2">
      <c r="A947" s="25"/>
      <c r="B947" s="25"/>
      <c r="C947" s="33" t="s">
        <v>218</v>
      </c>
      <c r="D947" s="51">
        <f>SUM(D943:D946)</f>
        <v>258719.62</v>
      </c>
      <c r="E947" s="52">
        <f>SUM(E943:E946)</f>
        <v>9906284.8699999992</v>
      </c>
      <c r="F947" s="37">
        <f>ROUND(E947/D947,5)</f>
        <v>38.289650000000002</v>
      </c>
      <c r="G947" s="25"/>
      <c r="H947" s="25"/>
      <c r="I947" s="25"/>
      <c r="J947" s="25"/>
      <c r="K947" s="25"/>
      <c r="L947" s="25"/>
      <c r="M947" s="25"/>
    </row>
    <row r="948" spans="1:13" ht="15" x14ac:dyDescent="0.2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</row>
    <row r="949" spans="1:13" ht="15.75" thickBot="1" x14ac:dyDescent="0.25">
      <c r="A949" s="25"/>
      <c r="B949" s="25"/>
      <c r="C949" s="33" t="s">
        <v>178</v>
      </c>
      <c r="D949" s="133">
        <f>D920-D947</f>
        <v>209830.40099999978</v>
      </c>
      <c r="E949" s="134">
        <f>E920+E922-E947</f>
        <v>8204627.7200000081</v>
      </c>
      <c r="F949" s="37">
        <f>ROUND(E949/D949,5)</f>
        <v>39.101230000000001</v>
      </c>
      <c r="G949" s="25"/>
      <c r="H949" s="25"/>
      <c r="I949" s="25"/>
      <c r="J949" s="25"/>
      <c r="K949" s="25"/>
      <c r="L949" s="25"/>
      <c r="M949" s="25"/>
    </row>
    <row r="950" spans="1:13" ht="15.75" thickTop="1" x14ac:dyDescent="0.2">
      <c r="A950" s="25"/>
      <c r="B950" s="25"/>
      <c r="C950" s="95"/>
      <c r="D950" s="138"/>
      <c r="E950" s="151"/>
      <c r="F950" s="89"/>
      <c r="G950" s="25"/>
      <c r="H950" s="25"/>
      <c r="I950" s="25"/>
      <c r="J950" s="25"/>
      <c r="K950" s="25"/>
      <c r="L950" s="25"/>
      <c r="M950" s="25"/>
    </row>
    <row r="951" spans="1:13" ht="15" x14ac:dyDescent="0.2">
      <c r="A951" s="25"/>
      <c r="B951" s="25"/>
      <c r="C951" s="95" t="s">
        <v>421</v>
      </c>
      <c r="D951" s="24"/>
      <c r="E951" s="208"/>
      <c r="F951" s="24"/>
      <c r="G951" s="25"/>
      <c r="H951" s="25"/>
      <c r="I951" s="25"/>
      <c r="J951" s="25"/>
      <c r="K951" s="25"/>
      <c r="L951" s="25"/>
      <c r="M951" s="25"/>
    </row>
    <row r="952" spans="1:13" ht="15" x14ac:dyDescent="0.2">
      <c r="A952" s="25"/>
      <c r="B952" s="25"/>
      <c r="C952" s="90"/>
      <c r="D952" s="90"/>
      <c r="E952" s="90"/>
      <c r="F952" s="89"/>
      <c r="G952" s="25"/>
      <c r="H952" s="25"/>
      <c r="I952" s="25"/>
      <c r="J952" s="25"/>
      <c r="K952" s="25"/>
      <c r="L952" s="25"/>
      <c r="M952" s="25"/>
    </row>
    <row r="953" spans="1:13" ht="15" x14ac:dyDescent="0.2">
      <c r="A953" s="25"/>
      <c r="B953" s="25"/>
      <c r="C953" s="90"/>
      <c r="D953" s="90"/>
      <c r="E953" s="90"/>
      <c r="F953" s="89"/>
      <c r="G953" s="25"/>
      <c r="H953" s="25"/>
      <c r="I953" s="25"/>
      <c r="J953" s="25"/>
      <c r="K953" s="25"/>
      <c r="L953" s="25"/>
      <c r="M953" s="25"/>
    </row>
    <row r="954" spans="1:13" ht="15" x14ac:dyDescent="0.2">
      <c r="A954" s="25"/>
      <c r="B954" s="70"/>
      <c r="C954" s="90"/>
      <c r="D954" s="90"/>
      <c r="E954" s="90"/>
      <c r="F954" s="89"/>
      <c r="G954" s="25"/>
      <c r="H954" s="70"/>
      <c r="I954" s="25"/>
      <c r="J954" s="25"/>
      <c r="K954" s="25"/>
      <c r="L954" s="25"/>
      <c r="M954" s="25"/>
    </row>
    <row r="955" spans="1:13" ht="15" x14ac:dyDescent="0.2">
      <c r="A955" s="25"/>
      <c r="B955" s="24" t="s">
        <v>422</v>
      </c>
      <c r="C955" s="128"/>
      <c r="D955" s="128"/>
      <c r="E955" s="128"/>
      <c r="F955" s="128"/>
      <c r="G955" s="25"/>
      <c r="H955" s="24" t="s">
        <v>117</v>
      </c>
      <c r="I955" s="25"/>
      <c r="J955" s="25"/>
      <c r="K955" s="25"/>
      <c r="L955" s="25"/>
      <c r="M955" s="25"/>
    </row>
    <row r="956" spans="1:13" ht="15.75" x14ac:dyDescent="0.25">
      <c r="A956" s="25"/>
      <c r="B956" s="25"/>
      <c r="C956" s="239" t="s">
        <v>423</v>
      </c>
      <c r="D956" s="239"/>
      <c r="E956" s="239"/>
      <c r="F956" s="239"/>
      <c r="G956" s="25"/>
      <c r="H956" s="25"/>
      <c r="I956" s="25"/>
      <c r="J956" s="25"/>
      <c r="K956" s="25"/>
      <c r="L956" s="25"/>
      <c r="M956" s="25"/>
    </row>
    <row r="957" spans="1:13" ht="15" x14ac:dyDescent="0.2">
      <c r="A957" s="25"/>
      <c r="B957" s="25"/>
      <c r="C957" s="90" t="s">
        <v>38</v>
      </c>
      <c r="D957" s="90"/>
      <c r="E957" s="90"/>
      <c r="F957" s="90"/>
    </row>
    <row r="958" spans="1:13" ht="15" x14ac:dyDescent="0.2">
      <c r="A958" s="25"/>
      <c r="B958" s="25"/>
      <c r="C958" s="25" t="str">
        <f>+C116</f>
        <v>PRELIMINARY</v>
      </c>
      <c r="D958" s="119"/>
      <c r="E958" s="119" t="s">
        <v>138</v>
      </c>
      <c r="F958" s="153" t="str">
        <f>+C4</f>
        <v>AUGUST 2013</v>
      </c>
    </row>
    <row r="959" spans="1:13" ht="15" x14ac:dyDescent="0.2">
      <c r="A959" s="25"/>
      <c r="B959" s="25"/>
      <c r="C959" s="90" t="s">
        <v>424</v>
      </c>
      <c r="D959" s="90"/>
      <c r="E959" s="90"/>
      <c r="F959" s="90"/>
    </row>
    <row r="960" spans="1:13" ht="15" x14ac:dyDescent="0.2">
      <c r="A960" s="25"/>
      <c r="B960" s="25"/>
      <c r="C960" s="90"/>
      <c r="D960" s="90"/>
      <c r="E960" s="90"/>
      <c r="F960" s="90"/>
    </row>
    <row r="961" spans="1:6" ht="15" x14ac:dyDescent="0.2">
      <c r="A961" s="25"/>
      <c r="B961" s="25"/>
      <c r="C961" s="90"/>
      <c r="D961" s="140" t="s">
        <v>140</v>
      </c>
      <c r="E961" s="140" t="s">
        <v>141</v>
      </c>
      <c r="F961" s="140" t="s">
        <v>142</v>
      </c>
    </row>
    <row r="962" spans="1:6" ht="15" x14ac:dyDescent="0.2">
      <c r="A962" s="25"/>
      <c r="B962" s="25"/>
      <c r="C962" s="90"/>
      <c r="D962" s="128"/>
      <c r="E962" s="128"/>
      <c r="F962" s="128"/>
    </row>
    <row r="963" spans="1:6" ht="15" x14ac:dyDescent="0.2">
      <c r="A963" s="25"/>
      <c r="B963" s="25"/>
      <c r="C963" s="95" t="s">
        <v>143</v>
      </c>
      <c r="D963" s="87">
        <v>0</v>
      </c>
      <c r="E963" s="57">
        <v>0</v>
      </c>
      <c r="F963" s="89"/>
    </row>
    <row r="964" spans="1:6" ht="15" x14ac:dyDescent="0.2">
      <c r="A964" s="25"/>
      <c r="B964" s="25"/>
      <c r="C964" s="90"/>
      <c r="D964" s="87"/>
      <c r="E964" s="93"/>
      <c r="F964" s="89"/>
    </row>
    <row r="965" spans="1:6" ht="15.75" x14ac:dyDescent="0.25">
      <c r="A965" s="25"/>
      <c r="B965" s="25"/>
      <c r="C965" s="92" t="s">
        <v>144</v>
      </c>
      <c r="D965" s="87"/>
      <c r="E965" s="93"/>
      <c r="F965" s="89"/>
    </row>
    <row r="966" spans="1:6" ht="15" x14ac:dyDescent="0.2">
      <c r="A966" s="25"/>
      <c r="B966" s="25"/>
      <c r="C966" s="90"/>
      <c r="D966" s="87"/>
      <c r="E966" s="57"/>
      <c r="F966" s="89"/>
    </row>
    <row r="967" spans="1:6" ht="15" x14ac:dyDescent="0.2">
      <c r="A967" s="25"/>
      <c r="B967" s="25">
        <v>80001</v>
      </c>
      <c r="C967" s="95" t="s">
        <v>425</v>
      </c>
      <c r="D967" s="87">
        <v>139700.74100000001</v>
      </c>
      <c r="E967" s="57">
        <v>1798507.34</v>
      </c>
      <c r="F967" s="89" t="s">
        <v>155</v>
      </c>
    </row>
    <row r="968" spans="1:6" ht="15" x14ac:dyDescent="0.2">
      <c r="A968" s="25"/>
      <c r="B968" s="25">
        <v>80001</v>
      </c>
      <c r="C968" s="95" t="s">
        <v>426</v>
      </c>
      <c r="D968" s="87"/>
      <c r="E968" s="57">
        <v>27931.82</v>
      </c>
      <c r="F968" s="89" t="s">
        <v>155</v>
      </c>
    </row>
    <row r="969" spans="1:6" ht="15" x14ac:dyDescent="0.2">
      <c r="A969" s="25"/>
      <c r="B969" s="25">
        <v>80001</v>
      </c>
      <c r="C969" s="98" t="s">
        <v>427</v>
      </c>
      <c r="D969" s="87"/>
      <c r="E969" s="57">
        <v>-2834.74</v>
      </c>
      <c r="F969" s="89" t="s">
        <v>155</v>
      </c>
    </row>
    <row r="970" spans="1:6" ht="15" x14ac:dyDescent="0.2">
      <c r="A970" s="25"/>
      <c r="B970" s="25">
        <v>80001</v>
      </c>
      <c r="C970" s="98"/>
      <c r="D970" s="99"/>
      <c r="E970" s="64">
        <v>0</v>
      </c>
      <c r="F970" s="89" t="s">
        <v>155</v>
      </c>
    </row>
    <row r="971" spans="1:6" ht="15" x14ac:dyDescent="0.2">
      <c r="A971" s="25"/>
      <c r="B971" s="25"/>
      <c r="C971" s="90" t="s">
        <v>153</v>
      </c>
      <c r="D971" s="39">
        <f>SUM(D967:D970)</f>
        <v>139700.74100000001</v>
      </c>
      <c r="E971" s="40">
        <f>SUM(E967:E970)</f>
        <v>1823604.4200000002</v>
      </c>
      <c r="F971" s="89"/>
    </row>
    <row r="972" spans="1:6" ht="15.75" x14ac:dyDescent="0.25">
      <c r="A972" s="25"/>
      <c r="B972" s="25"/>
      <c r="C972" s="237"/>
      <c r="D972" s="39"/>
      <c r="E972" s="40"/>
      <c r="F972" s="89"/>
    </row>
    <row r="973" spans="1:6" ht="15.75" x14ac:dyDescent="0.25">
      <c r="A973" s="25"/>
      <c r="B973" s="25"/>
      <c r="C973" s="237" t="s">
        <v>154</v>
      </c>
      <c r="D973" s="39"/>
      <c r="E973" s="40"/>
      <c r="F973" s="89"/>
    </row>
    <row r="974" spans="1:6" ht="15" x14ac:dyDescent="0.2">
      <c r="A974" s="25"/>
      <c r="B974" s="25"/>
      <c r="C974" s="90"/>
      <c r="D974" s="39"/>
      <c r="E974" s="40"/>
      <c r="F974" s="89"/>
    </row>
    <row r="975" spans="1:6" ht="15" x14ac:dyDescent="0.2">
      <c r="A975" s="25"/>
      <c r="B975" s="25"/>
      <c r="C975" s="95" t="s">
        <v>425</v>
      </c>
      <c r="D975" s="87">
        <f>-129262.932+134837.985</f>
        <v>5575.0529999999853</v>
      </c>
      <c r="E975" s="57">
        <f>-1664648.04+1677284.18+0.04</f>
        <v>12636.179999999898</v>
      </c>
      <c r="F975" s="89" t="s">
        <v>155</v>
      </c>
    </row>
    <row r="976" spans="1:6" ht="15" x14ac:dyDescent="0.2">
      <c r="A976" s="25"/>
      <c r="B976" s="25"/>
      <c r="C976" s="95" t="s">
        <v>426</v>
      </c>
      <c r="D976" s="87"/>
      <c r="E976" s="57">
        <f>-27931.82+27931.82</f>
        <v>0</v>
      </c>
      <c r="F976" s="89" t="s">
        <v>155</v>
      </c>
    </row>
    <row r="977" spans="1:6" ht="15" x14ac:dyDescent="0.2">
      <c r="A977" s="25"/>
      <c r="B977" s="25"/>
      <c r="C977" s="98" t="s">
        <v>427</v>
      </c>
      <c r="D977" s="87"/>
      <c r="E977" s="57">
        <f>1236.58-1236.58</f>
        <v>0</v>
      </c>
      <c r="F977" s="89" t="s">
        <v>155</v>
      </c>
    </row>
    <row r="978" spans="1:6" ht="15" x14ac:dyDescent="0.2">
      <c r="A978" s="25"/>
      <c r="B978" s="25"/>
      <c r="C978" s="98"/>
      <c r="D978" s="24"/>
      <c r="E978" s="57">
        <v>0</v>
      </c>
      <c r="F978" s="89" t="s">
        <v>155</v>
      </c>
    </row>
    <row r="979" spans="1:6" ht="15" x14ac:dyDescent="0.2">
      <c r="A979" s="25"/>
      <c r="B979" s="25"/>
      <c r="C979" s="24"/>
      <c r="D979" s="99"/>
      <c r="E979" s="64">
        <v>0</v>
      </c>
      <c r="F979" s="89" t="s">
        <v>155</v>
      </c>
    </row>
    <row r="980" spans="1:6" ht="15" x14ac:dyDescent="0.2">
      <c r="A980" s="25"/>
      <c r="B980" s="25"/>
      <c r="C980" s="90" t="s">
        <v>153</v>
      </c>
      <c r="D980" s="168">
        <f>SUM(D975:D979)</f>
        <v>5575.0529999999853</v>
      </c>
      <c r="E980" s="169">
        <f>SUM(E975:E979)</f>
        <v>12636.179999999898</v>
      </c>
      <c r="F980" s="89"/>
    </row>
    <row r="981" spans="1:6" ht="15" x14ac:dyDescent="0.2">
      <c r="A981" s="25"/>
      <c r="B981" s="25"/>
      <c r="C981" s="90"/>
      <c r="D981" s="39"/>
      <c r="E981" s="90"/>
      <c r="F981" s="89"/>
    </row>
    <row r="982" spans="1:6" ht="15" x14ac:dyDescent="0.2">
      <c r="A982" s="25"/>
      <c r="B982" s="25"/>
      <c r="C982" s="33" t="s">
        <v>157</v>
      </c>
      <c r="D982" s="36">
        <f>+D971+D980</f>
        <v>145275.79399999999</v>
      </c>
      <c r="E982" s="32">
        <f>+E971+E980</f>
        <v>1836240.6</v>
      </c>
      <c r="F982" s="37">
        <f>ROUND(E982/D982,9)</f>
        <v>12.639687242000001</v>
      </c>
    </row>
    <row r="983" spans="1:6" ht="15" x14ac:dyDescent="0.2">
      <c r="A983" s="25"/>
      <c r="B983" s="25"/>
      <c r="C983" s="25"/>
      <c r="D983" s="73"/>
      <c r="E983" s="148"/>
      <c r="F983" s="37"/>
    </row>
    <row r="984" spans="1:6" ht="15" x14ac:dyDescent="0.2">
      <c r="A984" s="25"/>
      <c r="B984" s="25"/>
      <c r="C984" s="25"/>
      <c r="D984" s="36"/>
      <c r="E984" s="25"/>
      <c r="F984" s="37"/>
    </row>
    <row r="985" spans="1:6" ht="15" x14ac:dyDescent="0.2">
      <c r="A985" s="25"/>
      <c r="B985" s="25"/>
      <c r="C985" s="25"/>
      <c r="D985" s="36"/>
      <c r="E985" s="25"/>
      <c r="F985" s="37"/>
    </row>
    <row r="986" spans="1:6" ht="15" x14ac:dyDescent="0.2">
      <c r="A986" s="25"/>
      <c r="B986" s="25"/>
      <c r="C986" s="159" t="s">
        <v>158</v>
      </c>
      <c r="D986" s="51">
        <f>D963+D982</f>
        <v>145275.79399999999</v>
      </c>
      <c r="E986" s="52">
        <f>E963+E982</f>
        <v>1836240.6</v>
      </c>
      <c r="F986" s="160">
        <f>ROUND(E986/D986,9)</f>
        <v>12.639687242000001</v>
      </c>
    </row>
    <row r="987" spans="1:6" ht="15" x14ac:dyDescent="0.2">
      <c r="A987" s="25"/>
      <c r="B987" s="25"/>
      <c r="C987" s="25"/>
      <c r="D987" s="36"/>
      <c r="E987" s="25"/>
      <c r="F987" s="161"/>
    </row>
    <row r="988" spans="1:6" ht="15.75" x14ac:dyDescent="0.25">
      <c r="A988" s="25"/>
      <c r="B988" s="25"/>
      <c r="C988" s="162" t="s">
        <v>162</v>
      </c>
      <c r="D988" s="36"/>
      <c r="E988" s="25"/>
      <c r="F988" s="37"/>
    </row>
    <row r="989" spans="1:6" ht="15" x14ac:dyDescent="0.2">
      <c r="A989" s="25"/>
      <c r="B989" s="25"/>
      <c r="C989" s="25"/>
      <c r="D989" s="36"/>
      <c r="E989" s="25"/>
      <c r="F989" s="37"/>
    </row>
    <row r="990" spans="1:6" ht="15" x14ac:dyDescent="0.2">
      <c r="A990" s="25" t="s">
        <v>428</v>
      </c>
      <c r="B990" s="25"/>
      <c r="C990" s="159" t="s">
        <v>167</v>
      </c>
      <c r="D990" s="87">
        <f>-129262.932+134837.985</f>
        <v>5575.0529999999853</v>
      </c>
      <c r="E990" s="57">
        <f>-1691343.28+1703979.46</f>
        <v>12636.179999999935</v>
      </c>
      <c r="F990" s="37"/>
    </row>
    <row r="991" spans="1:6" ht="15" x14ac:dyDescent="0.2">
      <c r="A991" s="25" t="s">
        <v>429</v>
      </c>
      <c r="B991" s="25"/>
      <c r="C991" s="159" t="s">
        <v>193</v>
      </c>
      <c r="D991" s="87">
        <v>0</v>
      </c>
      <c r="E991" s="57">
        <v>0</v>
      </c>
      <c r="F991" s="37"/>
    </row>
    <row r="992" spans="1:6" ht="15" x14ac:dyDescent="0.2">
      <c r="A992" s="25"/>
      <c r="B992" s="25"/>
      <c r="C992" s="119" t="s">
        <v>170</v>
      </c>
      <c r="D992" s="87">
        <v>139700.74100000001</v>
      </c>
      <c r="E992" s="57">
        <v>1823604.42</v>
      </c>
      <c r="F992" s="89"/>
    </row>
    <row r="993" spans="1:6" ht="15" x14ac:dyDescent="0.2">
      <c r="A993" s="25"/>
      <c r="B993" s="25"/>
      <c r="C993" s="27" t="s">
        <v>171</v>
      </c>
      <c r="D993" s="51">
        <f>SUM(D990:D992)</f>
        <v>145275.79399999999</v>
      </c>
      <c r="E993" s="52">
        <f>SUM(E990:E992)</f>
        <v>1836240.5999999999</v>
      </c>
      <c r="F993" s="37"/>
    </row>
    <row r="994" spans="1:6" ht="15" x14ac:dyDescent="0.2">
      <c r="A994" s="25"/>
      <c r="B994" s="25"/>
      <c r="C994" s="25"/>
      <c r="D994" s="47"/>
      <c r="E994" s="38"/>
      <c r="F994" s="37"/>
    </row>
    <row r="995" spans="1:6" ht="15" x14ac:dyDescent="0.2">
      <c r="A995" s="25"/>
      <c r="B995" s="25"/>
      <c r="C995" s="25"/>
      <c r="D995" s="36"/>
      <c r="E995" s="32"/>
      <c r="F995" s="37"/>
    </row>
    <row r="996" spans="1:6" ht="15" x14ac:dyDescent="0.2">
      <c r="A996" s="25"/>
      <c r="B996" s="25"/>
      <c r="C996" s="164" t="s">
        <v>320</v>
      </c>
      <c r="D996" s="36">
        <f>D993</f>
        <v>145275.79399999999</v>
      </c>
      <c r="E996" s="32">
        <f>E993</f>
        <v>1836240.5999999999</v>
      </c>
      <c r="F996" s="37">
        <f>ROUND(E996/D996,9)</f>
        <v>12.639687242000001</v>
      </c>
    </row>
    <row r="997" spans="1:6" ht="15" x14ac:dyDescent="0.2">
      <c r="A997" s="25"/>
      <c r="B997" s="25"/>
      <c r="C997" s="25"/>
      <c r="D997" s="73"/>
      <c r="E997" s="148"/>
      <c r="F997" s="37"/>
    </row>
    <row r="998" spans="1:6" ht="15" x14ac:dyDescent="0.2">
      <c r="A998" s="25"/>
      <c r="B998" s="25"/>
      <c r="C998" s="25"/>
      <c r="D998" s="36"/>
      <c r="E998" s="25"/>
      <c r="F998" s="37"/>
    </row>
    <row r="999" spans="1:6" ht="15.75" thickBot="1" x14ac:dyDescent="0.25">
      <c r="A999" s="25"/>
      <c r="B999" s="25"/>
      <c r="C999" s="33" t="s">
        <v>178</v>
      </c>
      <c r="D999" s="133">
        <f>ROUND(D986-D996,3)</f>
        <v>0</v>
      </c>
      <c r="E999" s="238">
        <f>ROUND(E986-E996,2)</f>
        <v>0</v>
      </c>
      <c r="F999" s="37"/>
    </row>
    <row r="1000" spans="1:6" ht="15.75" thickTop="1" x14ac:dyDescent="0.2">
      <c r="A1000" s="25"/>
      <c r="B1000" s="25"/>
      <c r="C1000" s="90"/>
      <c r="D1000" s="128"/>
      <c r="E1000" s="128"/>
      <c r="F1000" s="89"/>
    </row>
    <row r="1001" spans="1:6" ht="15" x14ac:dyDescent="0.2">
      <c r="A1001" s="25"/>
      <c r="B1001" s="25"/>
      <c r="C1001" s="90" t="s">
        <v>421</v>
      </c>
      <c r="D1001" s="90"/>
      <c r="E1001" s="90"/>
      <c r="F1001" s="90"/>
    </row>
    <row r="1002" spans="1:6" ht="15" x14ac:dyDescent="0.2">
      <c r="A1002" s="25"/>
      <c r="B1002" s="25"/>
      <c r="C1002" s="90"/>
      <c r="D1002" s="90"/>
      <c r="E1002" s="90"/>
      <c r="F1002" s="90"/>
    </row>
  </sheetData>
  <mergeCells count="19">
    <mergeCell ref="C487:F487"/>
    <mergeCell ref="C2:G2"/>
    <mergeCell ref="C3:G3"/>
    <mergeCell ref="C4:G4"/>
    <mergeCell ref="C78:G78"/>
    <mergeCell ref="C79:G79"/>
    <mergeCell ref="C80:G80"/>
    <mergeCell ref="C113:F113"/>
    <mergeCell ref="C189:F189"/>
    <mergeCell ref="C260:F260"/>
    <mergeCell ref="C335:F335"/>
    <mergeCell ref="C411:F411"/>
    <mergeCell ref="C956:F956"/>
    <mergeCell ref="C529:F529"/>
    <mergeCell ref="C594:F594"/>
    <mergeCell ref="C670:F670"/>
    <mergeCell ref="C740:F740"/>
    <mergeCell ref="C812:F812"/>
    <mergeCell ref="C888:F888"/>
  </mergeCells>
  <pageMargins left="1.45" right="0.7" top="0.75" bottom="0.75" header="0.3" footer="0.3"/>
  <pageSetup scale="60" orientation="portrait" r:id="rId1"/>
  <rowBreaks count="14" manualBreakCount="14">
    <brk id="76" min="2" max="6" man="1"/>
    <brk id="111" min="2" max="6" man="1"/>
    <brk id="187" min="2" max="6" man="1"/>
    <brk id="258" min="2" max="6" man="1"/>
    <brk id="333" min="2" max="6" man="1"/>
    <brk id="409" min="2" max="6" man="1"/>
    <brk id="485" min="2" max="6" man="1"/>
    <brk id="527" min="2" max="6" man="1"/>
    <brk id="592" min="2" max="6" man="1"/>
    <brk id="668" min="2" max="6" man="1"/>
    <brk id="738" min="2" max="6" man="1"/>
    <brk id="810" min="2" max="6" man="1"/>
    <brk id="886" min="2" max="6" man="1"/>
    <brk id="954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DPU 26.1 with Adj</vt:lpstr>
      <vt:lpstr>AFR 13_PS RPT_Aug</vt:lpstr>
      <vt:lpstr>'AFR 13_PS RPT_Aug'!Print_Area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MCroft</dc:creator>
  <cp:lastModifiedBy>laurieharris</cp:lastModifiedBy>
  <cp:lastPrinted>2014-07-29T17:20:15Z</cp:lastPrinted>
  <dcterms:created xsi:type="dcterms:W3CDTF">2014-07-22T18:50:38Z</dcterms:created>
  <dcterms:modified xsi:type="dcterms:W3CDTF">2014-07-30T16:40:30Z</dcterms:modified>
</cp:coreProperties>
</file>