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40\"/>
    </mc:Choice>
  </mc:AlternateContent>
  <bookViews>
    <workbookView xWindow="-15" yWindow="-15" windowWidth="15945" windowHeight="9390"/>
  </bookViews>
  <sheets>
    <sheet name="Appendix B" sheetId="32" r:id="rId1"/>
    <sheet name="Table 1" sheetId="25" r:id="rId2"/>
    <sheet name="Table 2" sheetId="17" r:id="rId3"/>
    <sheet name="Table 3 423" sheetId="29" state="hidden" r:id="rId4"/>
    <sheet name="Table 3 411" sheetId="33" state="hidden" r:id="rId5"/>
    <sheet name="Table 3 661" sheetId="36" r:id="rId6"/>
    <sheet name="Table 4" sheetId="28" r:id="rId7"/>
  </sheets>
  <definedNames>
    <definedName name="_411_CCCT__2028">'Table 1'!$I$19</definedName>
    <definedName name="_423_CCCT__2027">'Table 1'!$I$17</definedName>
    <definedName name="_423_CCCT__2028">'Table 1'!$I$18</definedName>
    <definedName name="_661_CCCT__2030">'Table 1'!$I$20</definedName>
    <definedName name="_Order1" hidden="1">255</definedName>
    <definedName name="_Order2" hidden="1">0</definedName>
    <definedName name="Discount_Rate">'Table 1'!$I$35</definedName>
    <definedName name="_xlnm.Print_Area" localSheetId="0">'Appendix B'!$A$1:$F$41</definedName>
    <definedName name="_xlnm.Print_Area" localSheetId="1">'Table 1'!$A$1:$H$51</definedName>
    <definedName name="_xlnm.Print_Area" localSheetId="2">'Table 2'!$B$10:$Q$35</definedName>
    <definedName name="_xlnm.Print_Area" localSheetId="4">'Table 3 411'!$A$1:$K$89</definedName>
    <definedName name="_xlnm.Print_Area" localSheetId="3">'Table 3 423'!$A$1:$K$89</definedName>
    <definedName name="_xlnm.Print_Area" localSheetId="5">'Table 3 661'!$A$1:$K$89</definedName>
    <definedName name="_xlnm.Print_Area" localSheetId="6">'Table 4'!$A$1:$D$23</definedName>
    <definedName name="_xlnm.Print_Titles" localSheetId="2">'Table 2'!$1:$9</definedName>
    <definedName name="_xlnm.Print_Titles" localSheetId="4">'Table 3 411'!$1:$6</definedName>
    <definedName name="_xlnm.Print_Titles" localSheetId="3">'Table 3 423'!$1:$6</definedName>
    <definedName name="_xlnm.Print_Titles" localSheetId="5">'Table 3 661'!$1:$6</definedName>
    <definedName name="Study_Cap_Adj">'Table 1'!$I$8</definedName>
    <definedName name="Study_CF">'Table 1'!$O$7</definedName>
    <definedName name="Study_MW">'Table 1'!$O$5</definedName>
    <definedName name="Study_Name">'Table 1'!$O$3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D30" i="32" l="1"/>
  <c r="C30" i="32"/>
  <c r="C8" i="32"/>
  <c r="B18" i="28" l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17" i="28"/>
  <c r="B16" i="28"/>
  <c r="I304" i="28"/>
  <c r="I303" i="28"/>
  <c r="I302" i="28"/>
  <c r="I300" i="28"/>
  <c r="I299" i="28"/>
  <c r="I298" i="28"/>
  <c r="I296" i="28"/>
  <c r="I295" i="28"/>
  <c r="I294" i="28"/>
  <c r="I292" i="28"/>
  <c r="I291" i="28"/>
  <c r="I290" i="28"/>
  <c r="I288" i="28"/>
  <c r="I287" i="28"/>
  <c r="I286" i="28"/>
  <c r="I284" i="28"/>
  <c r="I283" i="28"/>
  <c r="I282" i="28"/>
  <c r="I280" i="28"/>
  <c r="I279" i="28"/>
  <c r="I278" i="28"/>
  <c r="I276" i="28"/>
  <c r="I275" i="28"/>
  <c r="I274" i="28"/>
  <c r="I272" i="28"/>
  <c r="I271" i="28"/>
  <c r="I270" i="28"/>
  <c r="I268" i="28"/>
  <c r="I267" i="28"/>
  <c r="I266" i="28"/>
  <c r="I264" i="28"/>
  <c r="I263" i="28"/>
  <c r="I262" i="28"/>
  <c r="I260" i="28"/>
  <c r="I259" i="28"/>
  <c r="I258" i="28"/>
  <c r="I256" i="28"/>
  <c r="I255" i="28"/>
  <c r="I254" i="28"/>
  <c r="I251" i="28"/>
  <c r="I250" i="28"/>
  <c r="I249" i="28"/>
  <c r="I247" i="28"/>
  <c r="I246" i="28"/>
  <c r="I245" i="28"/>
  <c r="I243" i="28"/>
  <c r="I242" i="28"/>
  <c r="I241" i="28"/>
  <c r="I239" i="28"/>
  <c r="I238" i="28"/>
  <c r="I237" i="28"/>
  <c r="I235" i="28"/>
  <c r="I234" i="28"/>
  <c r="I233" i="28"/>
  <c r="I231" i="28"/>
  <c r="I230" i="28"/>
  <c r="I229" i="28"/>
  <c r="I227" i="28"/>
  <c r="I226" i="28"/>
  <c r="I225" i="28"/>
  <c r="I223" i="28"/>
  <c r="I222" i="28"/>
  <c r="I221" i="28"/>
  <c r="I219" i="28"/>
  <c r="I218" i="28"/>
  <c r="I217" i="28"/>
  <c r="I215" i="28"/>
  <c r="I214" i="28"/>
  <c r="I213" i="28"/>
  <c r="I211" i="28"/>
  <c r="I210" i="28"/>
  <c r="I209" i="28"/>
  <c r="I207" i="28"/>
  <c r="I206" i="28"/>
  <c r="I205" i="28"/>
  <c r="I203" i="28"/>
  <c r="I202" i="28"/>
  <c r="I201" i="28"/>
  <c r="I199" i="28"/>
  <c r="I197" i="28"/>
  <c r="I195" i="28"/>
  <c r="I193" i="28"/>
  <c r="I191" i="28"/>
  <c r="I190" i="28"/>
  <c r="I189" i="28"/>
  <c r="I187" i="28"/>
  <c r="I185" i="28"/>
  <c r="I183" i="28"/>
  <c r="I181" i="28"/>
  <c r="I179" i="28"/>
  <c r="I178" i="28"/>
  <c r="I177" i="28"/>
  <c r="I175" i="28"/>
  <c r="I174" i="28"/>
  <c r="I173" i="28"/>
  <c r="I171" i="28"/>
  <c r="I169" i="28"/>
  <c r="I167" i="28"/>
  <c r="I166" i="28"/>
  <c r="I165" i="28"/>
  <c r="I163" i="28"/>
  <c r="I161" i="28"/>
  <c r="I186" i="28" l="1"/>
  <c r="I162" i="28"/>
  <c r="I194" i="28"/>
  <c r="I170" i="28"/>
  <c r="I224" i="28"/>
  <c r="I253" i="28"/>
  <c r="I265" i="28"/>
  <c r="I273" i="28"/>
  <c r="I281" i="28"/>
  <c r="I301" i="28"/>
  <c r="I172" i="28"/>
  <c r="I196" i="28"/>
  <c r="I244" i="28"/>
  <c r="I182" i="28"/>
  <c r="I198" i="28"/>
  <c r="I200" i="28"/>
  <c r="I248" i="28"/>
  <c r="I208" i="28"/>
  <c r="I240" i="28"/>
  <c r="I257" i="28"/>
  <c r="I261" i="28"/>
  <c r="I269" i="28"/>
  <c r="I277" i="28"/>
  <c r="I285" i="28"/>
  <c r="I289" i="28"/>
  <c r="I293" i="28"/>
  <c r="I297" i="28"/>
  <c r="I164" i="28"/>
  <c r="I180" i="28"/>
  <c r="I188" i="28"/>
  <c r="I212" i="28"/>
  <c r="I228" i="28"/>
  <c r="I216" i="28"/>
  <c r="I232" i="28"/>
  <c r="I168" i="28"/>
  <c r="I176" i="28"/>
  <c r="I184" i="28"/>
  <c r="I192" i="28"/>
  <c r="I204" i="28"/>
  <c r="I220" i="28"/>
  <c r="I236" i="28"/>
  <c r="I252" i="28"/>
  <c r="B15" i="28" l="1"/>
  <c r="C74" i="36" l="1"/>
  <c r="C71" i="36"/>
  <c r="F59" i="36"/>
  <c r="C84" i="36" l="1"/>
  <c r="C85" i="36" s="1"/>
  <c r="D76" i="36"/>
  <c r="D73" i="36"/>
  <c r="I59" i="36" s="1"/>
  <c r="C73" i="36"/>
  <c r="I58" i="36" s="1"/>
  <c r="E68" i="36"/>
  <c r="K64" i="36"/>
  <c r="J64" i="36"/>
  <c r="G64" i="36"/>
  <c r="F64" i="36"/>
  <c r="C64" i="36"/>
  <c r="K63" i="36"/>
  <c r="J63" i="36"/>
  <c r="G63" i="36"/>
  <c r="F63" i="36"/>
  <c r="C63" i="36"/>
  <c r="F60" i="36"/>
  <c r="H60" i="36" s="1"/>
  <c r="C14" i="36" s="1"/>
  <c r="D14" i="36" s="1"/>
  <c r="D52" i="36"/>
  <c r="C52" i="36"/>
  <c r="C51" i="36"/>
  <c r="D50" i="36"/>
  <c r="C50" i="36"/>
  <c r="D49" i="36"/>
  <c r="C49" i="36"/>
  <c r="C48" i="36"/>
  <c r="D47" i="36"/>
  <c r="C47" i="36"/>
  <c r="B16" i="36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15" i="36"/>
  <c r="B12" i="36"/>
  <c r="B5" i="36"/>
  <c r="H64" i="36" l="1"/>
  <c r="F65" i="36"/>
  <c r="H63" i="36"/>
  <c r="G58" i="36"/>
  <c r="G59" i="36" s="1"/>
  <c r="I60" i="36"/>
  <c r="E14" i="36" s="1"/>
  <c r="B31" i="36"/>
  <c r="H65" i="36"/>
  <c r="I63" i="36" s="1"/>
  <c r="C86" i="36"/>
  <c r="D15" i="36"/>
  <c r="G60" i="36" l="1"/>
  <c r="C82" i="36"/>
  <c r="D16" i="36"/>
  <c r="J65" i="36"/>
  <c r="F14" i="36" s="1"/>
  <c r="I65" i="36"/>
  <c r="I64" i="36"/>
  <c r="K65" i="36" s="1"/>
  <c r="E15" i="36"/>
  <c r="E16" i="36" s="1"/>
  <c r="B32" i="36"/>
  <c r="D78" i="36"/>
  <c r="G65" i="36"/>
  <c r="D48" i="36" s="1"/>
  <c r="C87" i="36"/>
  <c r="E17" i="36" l="1"/>
  <c r="D51" i="36"/>
  <c r="C88" i="36"/>
  <c r="B33" i="36"/>
  <c r="F15" i="36"/>
  <c r="G14" i="36"/>
  <c r="H14" i="36" s="1"/>
  <c r="D17" i="36"/>
  <c r="D18" i="36" l="1"/>
  <c r="B34" i="36"/>
  <c r="C89" i="36"/>
  <c r="F16" i="36"/>
  <c r="G15" i="36"/>
  <c r="H15" i="36" s="1"/>
  <c r="E18" i="36"/>
  <c r="F17" i="36" l="1"/>
  <c r="G16" i="36"/>
  <c r="H16" i="36" s="1"/>
  <c r="B35" i="36"/>
  <c r="E19" i="36"/>
  <c r="C90" i="36"/>
  <c r="D19" i="36"/>
  <c r="I8" i="25" l="1"/>
  <c r="C91" i="36"/>
  <c r="B36" i="36"/>
  <c r="D20" i="36"/>
  <c r="E20" i="36"/>
  <c r="F18" i="36"/>
  <c r="G17" i="36"/>
  <c r="H17" i="36" s="1"/>
  <c r="B43" i="25" l="1"/>
  <c r="E21" i="36"/>
  <c r="F19" i="36"/>
  <c r="G18" i="36"/>
  <c r="H18" i="36" s="1"/>
  <c r="B37" i="36"/>
  <c r="D21" i="36"/>
  <c r="F83" i="36"/>
  <c r="C74" i="33"/>
  <c r="J63" i="33" s="1"/>
  <c r="C71" i="33"/>
  <c r="C73" i="33" s="1"/>
  <c r="I58" i="33" s="1"/>
  <c r="F58" i="33"/>
  <c r="C84" i="33"/>
  <c r="C82" i="33"/>
  <c r="D76" i="33"/>
  <c r="D73" i="33"/>
  <c r="E68" i="33"/>
  <c r="K64" i="33"/>
  <c r="J64" i="33"/>
  <c r="G64" i="33"/>
  <c r="F64" i="33"/>
  <c r="C64" i="33"/>
  <c r="K63" i="33"/>
  <c r="G63" i="33"/>
  <c r="F63" i="33"/>
  <c r="F65" i="33" s="1"/>
  <c r="C63" i="33"/>
  <c r="I59" i="33"/>
  <c r="H59" i="33"/>
  <c r="F59" i="33"/>
  <c r="H58" i="33"/>
  <c r="D52" i="33"/>
  <c r="C52" i="33"/>
  <c r="C51" i="33"/>
  <c r="C50" i="33"/>
  <c r="D49" i="33"/>
  <c r="C49" i="33"/>
  <c r="C48" i="33"/>
  <c r="D47" i="33"/>
  <c r="C47" i="33"/>
  <c r="B15" i="33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12" i="33"/>
  <c r="B5" i="33"/>
  <c r="E22" i="36" l="1"/>
  <c r="E23" i="36" s="1"/>
  <c r="F84" i="36"/>
  <c r="B38" i="36"/>
  <c r="D22" i="36"/>
  <c r="F20" i="36"/>
  <c r="G19" i="36"/>
  <c r="H19" i="36" s="1"/>
  <c r="C85" i="33"/>
  <c r="H64" i="33"/>
  <c r="F60" i="33"/>
  <c r="G58" i="33" s="1"/>
  <c r="I60" i="33"/>
  <c r="E14" i="33" s="1"/>
  <c r="G59" i="33"/>
  <c r="G60" i="33" s="1"/>
  <c r="B27" i="33"/>
  <c r="H60" i="33"/>
  <c r="C14" i="33" s="1"/>
  <c r="D14" i="33" s="1"/>
  <c r="H63" i="33"/>
  <c r="B39" i="36" l="1"/>
  <c r="F21" i="36"/>
  <c r="G20" i="36"/>
  <c r="H20" i="36" s="1"/>
  <c r="D23" i="36"/>
  <c r="E24" i="36"/>
  <c r="F85" i="36"/>
  <c r="E15" i="33"/>
  <c r="C86" i="33"/>
  <c r="H65" i="33"/>
  <c r="I63" i="33" s="1"/>
  <c r="B28" i="33"/>
  <c r="D15" i="33"/>
  <c r="F86" i="36" l="1"/>
  <c r="E25" i="36"/>
  <c r="D24" i="36"/>
  <c r="G21" i="36"/>
  <c r="H21" i="36" s="1"/>
  <c r="F22" i="36"/>
  <c r="B40" i="36"/>
  <c r="E16" i="33"/>
  <c r="C87" i="33"/>
  <c r="I64" i="33"/>
  <c r="K65" i="33" s="1"/>
  <c r="J65" i="33"/>
  <c r="F14" i="33" s="1"/>
  <c r="I65" i="33"/>
  <c r="B29" i="33"/>
  <c r="D16" i="33"/>
  <c r="G65" i="33"/>
  <c r="D48" i="33" s="1"/>
  <c r="D78" i="33"/>
  <c r="F23" i="36" l="1"/>
  <c r="G22" i="36"/>
  <c r="H22" i="36" s="1"/>
  <c r="B41" i="36"/>
  <c r="D25" i="36"/>
  <c r="E26" i="36"/>
  <c r="F87" i="36"/>
  <c r="E17" i="33"/>
  <c r="C88" i="33"/>
  <c r="D17" i="33"/>
  <c r="F15" i="33"/>
  <c r="G14" i="33"/>
  <c r="H14" i="33" s="1"/>
  <c r="B30" i="33"/>
  <c r="D51" i="33"/>
  <c r="D26" i="36" l="1"/>
  <c r="G23" i="36"/>
  <c r="H23" i="36" s="1"/>
  <c r="F24" i="36"/>
  <c r="F88" i="36"/>
  <c r="E27" i="36"/>
  <c r="B42" i="36"/>
  <c r="E18" i="33"/>
  <c r="C89" i="33"/>
  <c r="D18" i="33"/>
  <c r="G15" i="33"/>
  <c r="H15" i="33" s="1"/>
  <c r="F16" i="33"/>
  <c r="B31" i="33"/>
  <c r="E28" i="36" l="1"/>
  <c r="F89" i="36"/>
  <c r="D27" i="36"/>
  <c r="F25" i="36"/>
  <c r="G24" i="36"/>
  <c r="H24" i="36" s="1"/>
  <c r="E19" i="33"/>
  <c r="C90" i="33"/>
  <c r="F17" i="33"/>
  <c r="G16" i="33"/>
  <c r="H16" i="33" s="1"/>
  <c r="B32" i="33"/>
  <c r="D19" i="33"/>
  <c r="F26" i="36" l="1"/>
  <c r="G25" i="36"/>
  <c r="H25" i="36" s="1"/>
  <c r="F90" i="36"/>
  <c r="E29" i="36"/>
  <c r="D28" i="36"/>
  <c r="E20" i="33"/>
  <c r="C91" i="33"/>
  <c r="D20" i="33"/>
  <c r="G17" i="33"/>
  <c r="H17" i="33" s="1"/>
  <c r="F18" i="33"/>
  <c r="B33" i="33"/>
  <c r="F27" i="36" l="1"/>
  <c r="G26" i="36"/>
  <c r="H26" i="36" s="1"/>
  <c r="E30" i="36"/>
  <c r="F91" i="36"/>
  <c r="D29" i="36"/>
  <c r="E21" i="33"/>
  <c r="F83" i="33"/>
  <c r="F19" i="33"/>
  <c r="G18" i="33"/>
  <c r="H18" i="33" s="1"/>
  <c r="B34" i="33"/>
  <c r="D21" i="33"/>
  <c r="D30" i="36" l="1"/>
  <c r="F28" i="36"/>
  <c r="G27" i="36"/>
  <c r="H27" i="36" s="1"/>
  <c r="I83" i="36"/>
  <c r="E31" i="36"/>
  <c r="E22" i="33"/>
  <c r="F84" i="33"/>
  <c r="G19" i="33"/>
  <c r="H19" i="33" s="1"/>
  <c r="F20" i="33"/>
  <c r="B35" i="33"/>
  <c r="D22" i="33"/>
  <c r="E32" i="36" l="1"/>
  <c r="I84" i="36"/>
  <c r="F29" i="36"/>
  <c r="G28" i="36"/>
  <c r="H28" i="36" s="1"/>
  <c r="D31" i="36"/>
  <c r="E23" i="33"/>
  <c r="F85" i="33"/>
  <c r="D23" i="33"/>
  <c r="B36" i="33"/>
  <c r="F21" i="33"/>
  <c r="G20" i="33"/>
  <c r="H20" i="33" s="1"/>
  <c r="D32" i="36" l="1"/>
  <c r="I85" i="36"/>
  <c r="E33" i="36"/>
  <c r="F30" i="36"/>
  <c r="G29" i="36"/>
  <c r="H29" i="36" s="1"/>
  <c r="E24" i="33"/>
  <c r="F86" i="33"/>
  <c r="D24" i="33"/>
  <c r="G21" i="33"/>
  <c r="H21" i="33" s="1"/>
  <c r="F22" i="33"/>
  <c r="B37" i="33"/>
  <c r="D33" i="36" l="1"/>
  <c r="E34" i="36"/>
  <c r="I86" i="36"/>
  <c r="G30" i="36"/>
  <c r="H30" i="36" s="1"/>
  <c r="F31" i="36"/>
  <c r="E25" i="33"/>
  <c r="E26" i="33" s="1"/>
  <c r="F87" i="33"/>
  <c r="F23" i="33"/>
  <c r="G22" i="33"/>
  <c r="H22" i="33" s="1"/>
  <c r="D25" i="33"/>
  <c r="B38" i="33"/>
  <c r="F32" i="36" l="1"/>
  <c r="G31" i="36"/>
  <c r="H31" i="36" s="1"/>
  <c r="D34" i="36"/>
  <c r="I87" i="36"/>
  <c r="E35" i="36"/>
  <c r="E27" i="33"/>
  <c r="F88" i="33"/>
  <c r="G23" i="33"/>
  <c r="H23" i="33" s="1"/>
  <c r="F24" i="33"/>
  <c r="D26" i="33"/>
  <c r="B39" i="33"/>
  <c r="D35" i="36" l="1"/>
  <c r="E36" i="36"/>
  <c r="I88" i="36"/>
  <c r="G32" i="36"/>
  <c r="H32" i="36" s="1"/>
  <c r="F33" i="36"/>
  <c r="E28" i="33"/>
  <c r="F89" i="33"/>
  <c r="D27" i="33"/>
  <c r="B40" i="33"/>
  <c r="F25" i="33"/>
  <c r="G24" i="33"/>
  <c r="H24" i="33" s="1"/>
  <c r="G33" i="36" l="1"/>
  <c r="H33" i="36" s="1"/>
  <c r="F34" i="36"/>
  <c r="D36" i="36"/>
  <c r="I89" i="36"/>
  <c r="E37" i="36"/>
  <c r="E29" i="33"/>
  <c r="F90" i="33"/>
  <c r="B41" i="33"/>
  <c r="D28" i="33"/>
  <c r="G25" i="33"/>
  <c r="H25" i="33" s="1"/>
  <c r="F26" i="33"/>
  <c r="D37" i="36" l="1"/>
  <c r="F35" i="36"/>
  <c r="G34" i="36"/>
  <c r="H34" i="36" s="1"/>
  <c r="E38" i="36"/>
  <c r="I90" i="36"/>
  <c r="E30" i="33"/>
  <c r="F91" i="33"/>
  <c r="B42" i="33"/>
  <c r="F27" i="33"/>
  <c r="G26" i="33"/>
  <c r="H26" i="33" s="1"/>
  <c r="D29" i="33"/>
  <c r="F36" i="36" l="1"/>
  <c r="G35" i="36"/>
  <c r="H35" i="36" s="1"/>
  <c r="I91" i="36"/>
  <c r="E39" i="36"/>
  <c r="D38" i="36"/>
  <c r="E31" i="33"/>
  <c r="I83" i="33"/>
  <c r="D30" i="33"/>
  <c r="F28" i="33"/>
  <c r="G27" i="33"/>
  <c r="H27" i="33" s="1"/>
  <c r="D39" i="36" l="1"/>
  <c r="E40" i="36"/>
  <c r="I92" i="36"/>
  <c r="F37" i="36"/>
  <c r="G36" i="36"/>
  <c r="H36" i="36" s="1"/>
  <c r="E32" i="33"/>
  <c r="I84" i="33"/>
  <c r="F29" i="33"/>
  <c r="G28" i="33"/>
  <c r="H28" i="33" s="1"/>
  <c r="D31" i="33"/>
  <c r="D40" i="36" l="1"/>
  <c r="F38" i="36"/>
  <c r="G37" i="36"/>
  <c r="H37" i="36" s="1"/>
  <c r="I93" i="36"/>
  <c r="E41" i="36"/>
  <c r="E33" i="33"/>
  <c r="I85" i="33"/>
  <c r="F30" i="33"/>
  <c r="G29" i="33"/>
  <c r="H29" i="33" s="1"/>
  <c r="D32" i="33"/>
  <c r="E42" i="36" l="1"/>
  <c r="F39" i="36"/>
  <c r="G38" i="36"/>
  <c r="H38" i="36" s="1"/>
  <c r="D41" i="36"/>
  <c r="E34" i="33"/>
  <c r="I86" i="33"/>
  <c r="D33" i="33"/>
  <c r="F31" i="33"/>
  <c r="G30" i="33"/>
  <c r="H30" i="33" s="1"/>
  <c r="D42" i="36" l="1"/>
  <c r="F40" i="36"/>
  <c r="G39" i="36"/>
  <c r="H39" i="36" s="1"/>
  <c r="E35" i="33"/>
  <c r="I87" i="33"/>
  <c r="F32" i="33"/>
  <c r="G31" i="33"/>
  <c r="H31" i="33" s="1"/>
  <c r="D34" i="33"/>
  <c r="F41" i="36" l="1"/>
  <c r="G40" i="36"/>
  <c r="H40" i="36" s="1"/>
  <c r="E36" i="33"/>
  <c r="I88" i="33"/>
  <c r="F33" i="33"/>
  <c r="G32" i="33"/>
  <c r="H32" i="33" s="1"/>
  <c r="D35" i="33"/>
  <c r="F42" i="36" l="1"/>
  <c r="G42" i="36" s="1"/>
  <c r="H42" i="36" s="1"/>
  <c r="G41" i="36"/>
  <c r="H41" i="36" s="1"/>
  <c r="E37" i="33"/>
  <c r="I89" i="33"/>
  <c r="F34" i="33"/>
  <c r="G33" i="33"/>
  <c r="H33" i="33" s="1"/>
  <c r="D36" i="33"/>
  <c r="E38" i="33" l="1"/>
  <c r="I90" i="33"/>
  <c r="D37" i="33"/>
  <c r="F35" i="33"/>
  <c r="G34" i="33"/>
  <c r="H34" i="33" s="1"/>
  <c r="E39" i="33" l="1"/>
  <c r="I91" i="33"/>
  <c r="F36" i="33"/>
  <c r="G35" i="33"/>
  <c r="H35" i="33" s="1"/>
  <c r="D38" i="33"/>
  <c r="E40" i="33" l="1"/>
  <c r="I92" i="33"/>
  <c r="D39" i="33"/>
  <c r="F37" i="33"/>
  <c r="G36" i="33"/>
  <c r="H36" i="33" s="1"/>
  <c r="E41" i="33" l="1"/>
  <c r="I93" i="33"/>
  <c r="D40" i="33"/>
  <c r="F38" i="33"/>
  <c r="G37" i="33"/>
  <c r="H37" i="33" s="1"/>
  <c r="E42" i="33" l="1"/>
  <c r="F39" i="33"/>
  <c r="G38" i="33"/>
  <c r="H38" i="33" s="1"/>
  <c r="D41" i="33"/>
  <c r="D42" i="33" l="1"/>
  <c r="F40" i="33"/>
  <c r="G39" i="33"/>
  <c r="H39" i="33" s="1"/>
  <c r="F41" i="33" l="1"/>
  <c r="G40" i="33"/>
  <c r="H40" i="33" s="1"/>
  <c r="F42" i="33" l="1"/>
  <c r="G42" i="33" s="1"/>
  <c r="H42" i="33" s="1"/>
  <c r="G41" i="33"/>
  <c r="H41" i="33" s="1"/>
  <c r="B40" i="25" l="1"/>
  <c r="G29" i="32" l="1"/>
  <c r="G30" i="32"/>
  <c r="I148" i="28"/>
  <c r="I147" i="28"/>
  <c r="I146" i="28"/>
  <c r="I145" i="28"/>
  <c r="I144" i="28"/>
  <c r="I143" i="28"/>
  <c r="I141" i="28"/>
  <c r="I140" i="28"/>
  <c r="I139" i="28"/>
  <c r="I138" i="28"/>
  <c r="I137" i="28"/>
  <c r="I142" i="28"/>
  <c r="C64" i="29" l="1"/>
  <c r="C63" i="29"/>
  <c r="D76" i="29"/>
  <c r="C74" i="29"/>
  <c r="D73" i="29"/>
  <c r="C71" i="29"/>
  <c r="C73" i="29" s="1"/>
  <c r="E68" i="29"/>
  <c r="B35" i="32" l="1"/>
  <c r="I160" i="28" l="1"/>
  <c r="I159" i="28"/>
  <c r="I158" i="28"/>
  <c r="I157" i="28"/>
  <c r="I156" i="28"/>
  <c r="I155" i="28"/>
  <c r="I154" i="28"/>
  <c r="I153" i="28"/>
  <c r="I152" i="28"/>
  <c r="I151" i="28"/>
  <c r="I150" i="28"/>
  <c r="I149" i="28"/>
  <c r="I136" i="28"/>
  <c r="I135" i="28"/>
  <c r="I134" i="28"/>
  <c r="I132" i="28"/>
  <c r="I131" i="28"/>
  <c r="I130" i="28"/>
  <c r="I129" i="28"/>
  <c r="I128" i="28"/>
  <c r="I127" i="28"/>
  <c r="I126" i="28"/>
  <c r="I125" i="28"/>
  <c r="I124" i="28"/>
  <c r="I122" i="28"/>
  <c r="I121" i="28"/>
  <c r="I120" i="28"/>
  <c r="I118" i="28"/>
  <c r="I117" i="28"/>
  <c r="I116" i="28"/>
  <c r="I115" i="28"/>
  <c r="I114" i="28"/>
  <c r="I113" i="28" l="1"/>
  <c r="I119" i="28"/>
  <c r="I123" i="28"/>
  <c r="I133" i="28"/>
  <c r="B29" i="32" l="1"/>
  <c r="I59" i="29"/>
  <c r="I58" i="29"/>
  <c r="F63" i="29"/>
  <c r="K64" i="29"/>
  <c r="J64" i="29"/>
  <c r="G64" i="29"/>
  <c r="H64" i="29" s="1"/>
  <c r="F64" i="29"/>
  <c r="K63" i="29"/>
  <c r="J63" i="29"/>
  <c r="G63" i="29"/>
  <c r="H59" i="29"/>
  <c r="F59" i="29"/>
  <c r="H58" i="29"/>
  <c r="D52" i="29"/>
  <c r="C52" i="29"/>
  <c r="C51" i="29"/>
  <c r="C50" i="29"/>
  <c r="D49" i="29"/>
  <c r="C49" i="29"/>
  <c r="C48" i="29"/>
  <c r="D47" i="29"/>
  <c r="C47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12" i="29"/>
  <c r="B5" i="29"/>
  <c r="F65" i="29" l="1"/>
  <c r="F58" i="29"/>
  <c r="H63" i="29"/>
  <c r="B30" i="29"/>
  <c r="H65" i="29"/>
  <c r="F60" i="29"/>
  <c r="G58" i="29" s="1"/>
  <c r="I63" i="29" l="1"/>
  <c r="I64" i="29" s="1"/>
  <c r="K65" i="29" s="1"/>
  <c r="D51" i="29" s="1"/>
  <c r="D78" i="29"/>
  <c r="G59" i="29"/>
  <c r="G60" i="29" s="1"/>
  <c r="I60" i="29"/>
  <c r="E14" i="29" s="1"/>
  <c r="B31" i="29"/>
  <c r="G65" i="29"/>
  <c r="D48" i="29" s="1"/>
  <c r="H60" i="29"/>
  <c r="C14" i="29" s="1"/>
  <c r="D14" i="29" s="1"/>
  <c r="J65" i="29" l="1"/>
  <c r="F14" i="29" s="1"/>
  <c r="G14" i="29" s="1"/>
  <c r="H14" i="29" s="1"/>
  <c r="B32" i="29"/>
  <c r="I65" i="29"/>
  <c r="B33" i="29" l="1"/>
  <c r="B34" i="29" l="1"/>
  <c r="B35" i="29" l="1"/>
  <c r="B36" i="29" l="1"/>
  <c r="B37" i="29" l="1"/>
  <c r="B38" i="29" l="1"/>
  <c r="B39" i="29" l="1"/>
  <c r="B40" i="29" l="1"/>
  <c r="B41" i="29" l="1"/>
  <c r="B42" i="29" l="1"/>
  <c r="B39" i="28" l="1"/>
  <c r="C82" i="29" l="1"/>
  <c r="C84" i="29"/>
  <c r="E15" i="29" l="1"/>
  <c r="D15" i="29"/>
  <c r="F15" i="29"/>
  <c r="C85" i="29"/>
  <c r="C86" i="29" l="1"/>
  <c r="D16" i="29"/>
  <c r="F16" i="29"/>
  <c r="G15" i="29"/>
  <c r="H15" i="29" s="1"/>
  <c r="E16" i="29"/>
  <c r="E17" i="29" l="1"/>
  <c r="C87" i="29"/>
  <c r="D17" i="29"/>
  <c r="F17" i="29"/>
  <c r="G16" i="29"/>
  <c r="H16" i="29" s="1"/>
  <c r="C88" i="29"/>
  <c r="D18" i="29" l="1"/>
  <c r="E18" i="29"/>
  <c r="G17" i="29"/>
  <c r="H17" i="29" s="1"/>
  <c r="F18" i="29"/>
  <c r="C89" i="29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3" i="28"/>
  <c r="I41" i="28"/>
  <c r="I39" i="28"/>
  <c r="I37" i="28"/>
  <c r="I35" i="28"/>
  <c r="I33" i="28"/>
  <c r="I31" i="28"/>
  <c r="I29" i="28"/>
  <c r="I27" i="28"/>
  <c r="I25" i="28"/>
  <c r="I23" i="28"/>
  <c r="I21" i="28"/>
  <c r="I19" i="28"/>
  <c r="I17" i="28"/>
  <c r="E19" i="29" l="1"/>
  <c r="D19" i="29"/>
  <c r="F19" i="29"/>
  <c r="G18" i="29"/>
  <c r="H18" i="29" s="1"/>
  <c r="C90" i="29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C19" i="28" l="1"/>
  <c r="C37" i="28"/>
  <c r="C14" i="28"/>
  <c r="C30" i="28"/>
  <c r="C23" i="28"/>
  <c r="C16" i="28"/>
  <c r="C32" i="28"/>
  <c r="C25" i="28"/>
  <c r="C18" i="28"/>
  <c r="C34" i="28"/>
  <c r="C27" i="28"/>
  <c r="C20" i="28"/>
  <c r="C36" i="28"/>
  <c r="C29" i="28"/>
  <c r="C22" i="28"/>
  <c r="C15" i="28"/>
  <c r="C31" i="28"/>
  <c r="C24" i="28"/>
  <c r="C17" i="28"/>
  <c r="C33" i="28"/>
  <c r="C26" i="28"/>
  <c r="C35" i="28"/>
  <c r="C28" i="28"/>
  <c r="C21" i="28"/>
  <c r="D20" i="29"/>
  <c r="E20" i="29"/>
  <c r="G19" i="29"/>
  <c r="H19" i="29" s="1"/>
  <c r="F20" i="29"/>
  <c r="C91" i="29"/>
  <c r="D21" i="29" l="1"/>
  <c r="E21" i="29"/>
  <c r="F21" i="29"/>
  <c r="G20" i="29"/>
  <c r="H20" i="29" s="1"/>
  <c r="F83" i="29"/>
  <c r="E22" i="29" l="1"/>
  <c r="E23" i="29" s="1"/>
  <c r="D22" i="29"/>
  <c r="F22" i="29"/>
  <c r="G21" i="29"/>
  <c r="H21" i="29" s="1"/>
  <c r="F84" i="29"/>
  <c r="E24" i="29" l="1"/>
  <c r="D23" i="29"/>
  <c r="F23" i="29"/>
  <c r="G22" i="29"/>
  <c r="H22" i="29" s="1"/>
  <c r="F85" i="29"/>
  <c r="D24" i="29" l="1"/>
  <c r="E25" i="29"/>
  <c r="G23" i="29"/>
  <c r="H23" i="29" s="1"/>
  <c r="F24" i="29"/>
  <c r="F86" i="29"/>
  <c r="E26" i="29" l="1"/>
  <c r="D25" i="29"/>
  <c r="F25" i="29"/>
  <c r="G24" i="29"/>
  <c r="H24" i="29" s="1"/>
  <c r="F87" i="29"/>
  <c r="B35" i="25"/>
  <c r="D26" i="29" l="1"/>
  <c r="E27" i="29"/>
  <c r="G25" i="29"/>
  <c r="H25" i="29" s="1"/>
  <c r="F26" i="29"/>
  <c r="F88" i="29"/>
  <c r="E28" i="29" l="1"/>
  <c r="D27" i="29"/>
  <c r="G26" i="29"/>
  <c r="H26" i="29" s="1"/>
  <c r="F27" i="29"/>
  <c r="F89" i="29"/>
  <c r="D28" i="29" l="1"/>
  <c r="E29" i="29"/>
  <c r="G27" i="29"/>
  <c r="H27" i="29" s="1"/>
  <c r="F28" i="29"/>
  <c r="F90" i="29"/>
  <c r="D29" i="29" l="1"/>
  <c r="E30" i="29"/>
  <c r="G28" i="29"/>
  <c r="H28" i="29" s="1"/>
  <c r="F29" i="29"/>
  <c r="F91" i="29"/>
  <c r="D30" i="29" l="1"/>
  <c r="E31" i="29"/>
  <c r="F30" i="29"/>
  <c r="G29" i="29"/>
  <c r="H29" i="29" s="1"/>
  <c r="I83" i="29"/>
  <c r="I30" i="33" l="1"/>
  <c r="J30" i="33" s="1"/>
  <c r="K30" i="33" s="1"/>
  <c r="D31" i="29"/>
  <c r="E32" i="29"/>
  <c r="F31" i="29"/>
  <c r="G30" i="29"/>
  <c r="H30" i="29" s="1"/>
  <c r="I84" i="29"/>
  <c r="I31" i="33" l="1"/>
  <c r="J31" i="33" s="1"/>
  <c r="K31" i="33" s="1"/>
  <c r="D32" i="29"/>
  <c r="E33" i="29"/>
  <c r="F32" i="29"/>
  <c r="G31" i="29"/>
  <c r="H31" i="29" s="1"/>
  <c r="I85" i="29"/>
  <c r="I32" i="33" l="1"/>
  <c r="J32" i="33" s="1"/>
  <c r="K32" i="33" s="1"/>
  <c r="I32" i="36"/>
  <c r="J32" i="36" s="1"/>
  <c r="K32" i="36" s="1"/>
  <c r="D33" i="29"/>
  <c r="E34" i="29"/>
  <c r="F33" i="29"/>
  <c r="G32" i="29"/>
  <c r="H32" i="29" s="1"/>
  <c r="I86" i="29"/>
  <c r="I33" i="33" l="1"/>
  <c r="J33" i="33" s="1"/>
  <c r="K33" i="33" s="1"/>
  <c r="I33" i="36"/>
  <c r="J33" i="36" s="1"/>
  <c r="K33" i="36" s="1"/>
  <c r="D34" i="29"/>
  <c r="E35" i="29"/>
  <c r="F34" i="29"/>
  <c r="G33" i="29"/>
  <c r="H33" i="29" s="1"/>
  <c r="I87" i="29"/>
  <c r="I34" i="33" l="1"/>
  <c r="J34" i="33" s="1"/>
  <c r="K34" i="33" s="1"/>
  <c r="I34" i="36"/>
  <c r="J34" i="36" s="1"/>
  <c r="K34" i="36" s="1"/>
  <c r="D35" i="29"/>
  <c r="E36" i="29"/>
  <c r="F35" i="29"/>
  <c r="G34" i="29"/>
  <c r="H34" i="29" s="1"/>
  <c r="I88" i="29"/>
  <c r="I35" i="33" l="1"/>
  <c r="J35" i="33" s="1"/>
  <c r="K35" i="33" s="1"/>
  <c r="I35" i="36"/>
  <c r="J35" i="36" s="1"/>
  <c r="K35" i="36" s="1"/>
  <c r="D36" i="29"/>
  <c r="E37" i="29"/>
  <c r="G35" i="29"/>
  <c r="H35" i="29" s="1"/>
  <c r="F36" i="29"/>
  <c r="I89" i="29"/>
  <c r="I36" i="33" l="1"/>
  <c r="J36" i="33" s="1"/>
  <c r="K36" i="33" s="1"/>
  <c r="I36" i="36"/>
  <c r="J36" i="36" s="1"/>
  <c r="K36" i="36" s="1"/>
  <c r="D37" i="29"/>
  <c r="E38" i="29"/>
  <c r="F37" i="29"/>
  <c r="G36" i="29"/>
  <c r="H36" i="29" s="1"/>
  <c r="I90" i="29"/>
  <c r="I37" i="33" l="1"/>
  <c r="J37" i="33" s="1"/>
  <c r="K37" i="33" s="1"/>
  <c r="I37" i="36"/>
  <c r="J37" i="36" s="1"/>
  <c r="K37" i="36" s="1"/>
  <c r="D38" i="29"/>
  <c r="E39" i="29"/>
  <c r="F38" i="29"/>
  <c r="G37" i="29"/>
  <c r="H37" i="29" s="1"/>
  <c r="I91" i="29"/>
  <c r="I38" i="33" l="1"/>
  <c r="J38" i="33" s="1"/>
  <c r="K38" i="33" s="1"/>
  <c r="I38" i="36"/>
  <c r="J38" i="36" s="1"/>
  <c r="K38" i="36" s="1"/>
  <c r="I36" i="29"/>
  <c r="J36" i="29" s="1"/>
  <c r="K36" i="29" s="1"/>
  <c r="I33" i="29"/>
  <c r="J33" i="29" s="1"/>
  <c r="K33" i="29" s="1"/>
  <c r="D39" i="29"/>
  <c r="E40" i="29"/>
  <c r="I38" i="29"/>
  <c r="J38" i="29" s="1"/>
  <c r="F39" i="29"/>
  <c r="G38" i="29"/>
  <c r="H38" i="29" s="1"/>
  <c r="I92" i="29"/>
  <c r="I39" i="33" l="1"/>
  <c r="J39" i="33" s="1"/>
  <c r="K39" i="33" s="1"/>
  <c r="I39" i="36"/>
  <c r="J39" i="36" s="1"/>
  <c r="K39" i="36" s="1"/>
  <c r="I29" i="29"/>
  <c r="J29" i="29" s="1"/>
  <c r="K29" i="29" s="1"/>
  <c r="I32" i="29"/>
  <c r="J32" i="29" s="1"/>
  <c r="K32" i="29" s="1"/>
  <c r="I31" i="29"/>
  <c r="J31" i="29" s="1"/>
  <c r="K31" i="29" s="1"/>
  <c r="I37" i="29"/>
  <c r="J37" i="29" s="1"/>
  <c r="K37" i="29" s="1"/>
  <c r="I35" i="29"/>
  <c r="J35" i="29" s="1"/>
  <c r="K35" i="29" s="1"/>
  <c r="I30" i="29"/>
  <c r="J30" i="29" s="1"/>
  <c r="K30" i="29" s="1"/>
  <c r="I34" i="29"/>
  <c r="J34" i="29" s="1"/>
  <c r="K34" i="29" s="1"/>
  <c r="D40" i="29"/>
  <c r="E41" i="29"/>
  <c r="I39" i="29"/>
  <c r="J39" i="29" s="1"/>
  <c r="K38" i="29"/>
  <c r="F40" i="29"/>
  <c r="G39" i="29"/>
  <c r="H39" i="29" s="1"/>
  <c r="I93" i="29"/>
  <c r="I40" i="36" l="1"/>
  <c r="J40" i="36" s="1"/>
  <c r="K40" i="36" s="1"/>
  <c r="I42" i="36"/>
  <c r="J42" i="36" s="1"/>
  <c r="K42" i="36" s="1"/>
  <c r="I41" i="36"/>
  <c r="J41" i="36" s="1"/>
  <c r="K41" i="36" s="1"/>
  <c r="I40" i="33"/>
  <c r="J40" i="33" s="1"/>
  <c r="K40" i="33" s="1"/>
  <c r="I42" i="33"/>
  <c r="J42" i="33" s="1"/>
  <c r="K42" i="33" s="1"/>
  <c r="I41" i="33"/>
  <c r="J41" i="33" s="1"/>
  <c r="K41" i="33" s="1"/>
  <c r="D41" i="29"/>
  <c r="E42" i="29"/>
  <c r="I41" i="29"/>
  <c r="J41" i="29" s="1"/>
  <c r="K39" i="29"/>
  <c r="I42" i="29"/>
  <c r="J42" i="29" s="1"/>
  <c r="I40" i="29"/>
  <c r="J40" i="29" s="1"/>
  <c r="F41" i="29"/>
  <c r="G40" i="29"/>
  <c r="H40" i="29" s="1"/>
  <c r="K40" i="29" l="1"/>
  <c r="D42" i="29"/>
  <c r="F42" i="29"/>
  <c r="G42" i="29" s="1"/>
  <c r="G41" i="29"/>
  <c r="H41" i="29" s="1"/>
  <c r="K41" i="29" s="1"/>
  <c r="H42" i="29" l="1"/>
  <c r="K42" i="29" s="1"/>
  <c r="B3" i="17" l="1"/>
  <c r="D50" i="33" l="1"/>
  <c r="D50" i="29" l="1"/>
  <c r="C10" i="25" l="1"/>
  <c r="B52" i="25"/>
  <c r="B13" i="25" l="1"/>
  <c r="B13" i="17"/>
  <c r="C13" i="25" l="1"/>
  <c r="B14" i="25"/>
  <c r="B8" i="32"/>
  <c r="B14" i="17"/>
  <c r="C14" i="25" l="1"/>
  <c r="B9" i="32"/>
  <c r="B15" i="25"/>
  <c r="B15" i="17"/>
  <c r="C15" i="25" l="1"/>
  <c r="B10" i="32"/>
  <c r="B16" i="17"/>
  <c r="B16" i="25"/>
  <c r="C16" i="25" l="1"/>
  <c r="B17" i="25"/>
  <c r="B17" i="17"/>
  <c r="B11" i="32"/>
  <c r="C17" i="25" l="1"/>
  <c r="B18" i="17"/>
  <c r="B18" i="25"/>
  <c r="B12" i="32"/>
  <c r="C18" i="25" l="1"/>
  <c r="B13" i="32"/>
  <c r="B19" i="25"/>
  <c r="B19" i="17"/>
  <c r="C19" i="25" l="1"/>
  <c r="B20" i="25"/>
  <c r="B14" i="32"/>
  <c r="B20" i="17"/>
  <c r="C20" i="25" l="1"/>
  <c r="B21" i="17"/>
  <c r="B15" i="32"/>
  <c r="B21" i="25"/>
  <c r="C21" i="25" l="1"/>
  <c r="B22" i="25"/>
  <c r="B16" i="32"/>
  <c r="B22" i="17"/>
  <c r="C22" i="25" l="1"/>
  <c r="B23" i="17"/>
  <c r="B23" i="25"/>
  <c r="B17" i="32"/>
  <c r="C23" i="25" l="1"/>
  <c r="B18" i="32"/>
  <c r="B24" i="17"/>
  <c r="B24" i="25"/>
  <c r="C24" i="25" l="1"/>
  <c r="B19" i="32"/>
  <c r="B25" i="17"/>
  <c r="B25" i="25"/>
  <c r="B26" i="17" l="1"/>
  <c r="B26" i="25"/>
  <c r="B20" i="32"/>
  <c r="B27" i="25" l="1"/>
  <c r="B21" i="32"/>
  <c r="B27" i="17"/>
  <c r="B28" i="25" l="1"/>
  <c r="B28" i="17"/>
  <c r="B22" i="32"/>
  <c r="B23" i="32" l="1"/>
  <c r="B29" i="17"/>
  <c r="B29" i="25"/>
  <c r="B30" i="17" l="1"/>
  <c r="B24" i="32"/>
  <c r="B30" i="25"/>
  <c r="B25" i="32" l="1"/>
  <c r="B31" i="25"/>
  <c r="B31" i="17"/>
  <c r="B32" i="25" l="1"/>
  <c r="B26" i="32"/>
  <c r="B33" i="25" l="1"/>
  <c r="B42" i="25"/>
  <c r="B27" i="32"/>
  <c r="B37" i="32" l="1"/>
  <c r="B6" i="17" l="1"/>
  <c r="G9" i="25" l="1"/>
  <c r="C7" i="32" s="1"/>
  <c r="B36" i="32"/>
  <c r="B5" i="25"/>
  <c r="B4" i="32" l="1"/>
  <c r="B5" i="28"/>
  <c r="B5" i="17"/>
  <c r="E33" i="25" l="1"/>
  <c r="E30" i="32" l="1"/>
  <c r="B47" i="25" l="1"/>
  <c r="B46" i="25"/>
  <c r="C25" i="25" l="1"/>
  <c r="B44" i="25"/>
  <c r="Q13" i="17"/>
  <c r="C33" i="25"/>
  <c r="C26" i="25"/>
  <c r="C28" i="25"/>
  <c r="Q14" i="17"/>
  <c r="Q22" i="17"/>
  <c r="C29" i="25"/>
  <c r="D23" i="25"/>
  <c r="D22" i="25"/>
  <c r="D19" i="25"/>
  <c r="D18" i="25"/>
  <c r="D17" i="25"/>
  <c r="D33" i="25"/>
  <c r="G33" i="25" s="1"/>
  <c r="Q18" i="17"/>
  <c r="D14" i="25"/>
  <c r="Q26" i="17"/>
  <c r="D25" i="25"/>
  <c r="D24" i="25"/>
  <c r="D21" i="25"/>
  <c r="Q29" i="17"/>
  <c r="D26" i="25"/>
  <c r="Q24" i="17"/>
  <c r="Q19" i="17"/>
  <c r="D29" i="25" l="1"/>
  <c r="Q21" i="17"/>
  <c r="Q15" i="17"/>
  <c r="Q30" i="17"/>
  <c r="C30" i="25"/>
  <c r="D20" i="25"/>
  <c r="D31" i="25"/>
  <c r="C27" i="25"/>
  <c r="Q12" i="17"/>
  <c r="D16" i="25"/>
  <c r="Q23" i="17"/>
  <c r="D15" i="25"/>
  <c r="C32" i="25"/>
  <c r="Q25" i="17"/>
  <c r="D30" i="25"/>
  <c r="D28" i="25"/>
  <c r="Q16" i="17"/>
  <c r="Q27" i="17"/>
  <c r="Q31" i="17"/>
  <c r="C31" i="25"/>
  <c r="C36" i="25" s="1"/>
  <c r="D32" i="25"/>
  <c r="Q28" i="17"/>
  <c r="Q20" i="17"/>
  <c r="Q17" i="17"/>
  <c r="B45" i="25"/>
  <c r="D27" i="25"/>
  <c r="E28" i="25" l="1"/>
  <c r="G28" i="25" s="1"/>
  <c r="C23" i="32" s="1"/>
  <c r="E23" i="32" s="1"/>
  <c r="E25" i="25"/>
  <c r="G25" i="25" s="1"/>
  <c r="C20" i="32" s="1"/>
  <c r="E20" i="32" s="1"/>
  <c r="E31" i="25"/>
  <c r="G31" i="25" s="1"/>
  <c r="C26" i="32" s="1"/>
  <c r="E26" i="32" s="1"/>
  <c r="E27" i="25"/>
  <c r="G27" i="25" s="1"/>
  <c r="C22" i="32" s="1"/>
  <c r="E22" i="32" s="1"/>
  <c r="E30" i="25"/>
  <c r="G30" i="25" s="1"/>
  <c r="C25" i="32" s="1"/>
  <c r="E25" i="32" s="1"/>
  <c r="E32" i="25"/>
  <c r="G32" i="25" s="1"/>
  <c r="C27" i="32" s="1"/>
  <c r="E27" i="32" s="1"/>
  <c r="E24" i="25"/>
  <c r="G24" i="25" s="1"/>
  <c r="C19" i="32" s="1"/>
  <c r="E19" i="32" s="1"/>
  <c r="E26" i="25"/>
  <c r="G26" i="25" s="1"/>
  <c r="C21" i="32" s="1"/>
  <c r="E21" i="32" s="1"/>
  <c r="E23" i="25"/>
  <c r="G23" i="25" s="1"/>
  <c r="C18" i="32" s="1"/>
  <c r="E18" i="32" s="1"/>
  <c r="E29" i="25"/>
  <c r="G29" i="25" s="1"/>
  <c r="C24" i="32" s="1"/>
  <c r="E24" i="32" s="1"/>
  <c r="E16" i="25" l="1"/>
  <c r="G16" i="25" s="1"/>
  <c r="C11" i="32" s="1"/>
  <c r="E11" i="32" s="1"/>
  <c r="E21" i="25"/>
  <c r="G21" i="25" s="1"/>
  <c r="C16" i="32" s="1"/>
  <c r="E16" i="32" s="1"/>
  <c r="E22" i="25" l="1"/>
  <c r="G22" i="25" s="1"/>
  <c r="C17" i="32" s="1"/>
  <c r="E17" i="32" s="1"/>
  <c r="E17" i="25"/>
  <c r="G17" i="25" s="1"/>
  <c r="C12" i="32" s="1"/>
  <c r="E12" i="32" s="1"/>
  <c r="E14" i="25"/>
  <c r="G14" i="25" s="1"/>
  <c r="C9" i="32" s="1"/>
  <c r="E9" i="32" s="1"/>
  <c r="E13" i="25"/>
  <c r="E19" i="25"/>
  <c r="G19" i="25" s="1"/>
  <c r="C14" i="32" s="1"/>
  <c r="E14" i="32" s="1"/>
  <c r="E18" i="25"/>
  <c r="G18" i="25" s="1"/>
  <c r="C13" i="32" s="1"/>
  <c r="E13" i="32" s="1"/>
  <c r="G13" i="25" l="1"/>
  <c r="E15" i="25"/>
  <c r="G15" i="25" s="1"/>
  <c r="C10" i="32" s="1"/>
  <c r="E10" i="32" s="1"/>
  <c r="E20" i="25" l="1"/>
  <c r="G20" i="25" l="1"/>
  <c r="E37" i="25"/>
  <c r="E8" i="32"/>
  <c r="C15" i="32" l="1"/>
  <c r="G37" i="25"/>
  <c r="E15" i="32" l="1"/>
</calcChain>
</file>

<file path=xl/comments1.xml><?xml version="1.0" encoding="utf-8"?>
<comments xmlns="http://schemas.openxmlformats.org/spreadsheetml/2006/main">
  <authors>
    <author>PacifiCorp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<sst xmlns="http://schemas.openxmlformats.org/spreadsheetml/2006/main" count="275" uniqueCount="122">
  <si>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</si>
  <si>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</si>
  <si>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</si>
  <si>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</si>
  <si>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</si>
  <si>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</si>
  <si>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</si>
  <si>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</si>
  <si>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</si>
  <si>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</si>
  <si>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</si>
  <si>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</si>
  <si>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</si>
  <si>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</si>
  <si>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</si>
  <si>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</si>
  <si>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</si>
  <si>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</si>
  <si>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</si>
  <si>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</si>
  <si>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</si>
  <si>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</si>
  <si>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</si>
  <si>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</si>
  <si>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</si>
  <si>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</si>
  <si>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</si>
  <si>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</si>
  <si>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</si>
  <si>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</si>
  <si>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</si>
  <si>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</si>
  <si>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</si>
  <si>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</si>
  <si>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</si>
  <si>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</si>
  <si>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</si>
  <si>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</si>
  <si>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</si>
  <si>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Annual</t>
  </si>
  <si>
    <t>(2)   'Energy Only' is the GRID calculated costs and includes some capacity costs.</t>
  </si>
  <si>
    <t>Fuel Cost</t>
  </si>
  <si>
    <t>$/MMBtu</t>
  </si>
  <si>
    <t>(g)</t>
  </si>
  <si>
    <t>(h)</t>
  </si>
  <si>
    <t>Energy Only</t>
  </si>
  <si>
    <t>IRP Resource</t>
  </si>
  <si>
    <t>No</t>
  </si>
  <si>
    <t>Cap Energy Prices (Yes / No)</t>
  </si>
  <si>
    <t>Energy Price escalated at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</si>
  <si>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</si>
  <si>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</si>
  <si>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</si>
  <si>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</si>
  <si>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</si>
  <si>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</si>
  <si>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</si>
  <si>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</si>
  <si>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</si>
  <si>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</si>
  <si>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Avoided Energy Costs - Scheduled Hours ($/MWh)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</si>
  <si>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</si>
  <si>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</si>
  <si>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</si>
  <si>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</si>
  <si>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</si>
  <si>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</si>
  <si>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</si>
  <si>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</si>
  <si>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</si>
  <si>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</si>
  <si>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</si>
  <si>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</si>
  <si>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</si>
  <si>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>East Side</t>
  </si>
  <si>
    <t>East Side Natural Gas</t>
  </si>
  <si>
    <t xml:space="preserve">  Heat Rate in btu/kWh</t>
  </si>
  <si>
    <t xml:space="preserve">  Payment Factor</t>
  </si>
  <si>
    <t xml:space="preserve">  Capacity Factor</t>
  </si>
  <si>
    <t xml:space="preserve">  Energy Weighted Capacity Factor</t>
  </si>
  <si>
    <t>Resource Capacity</t>
  </si>
  <si>
    <t>East</t>
  </si>
  <si>
    <t>Avoided Cost Prices $/MWh</t>
  </si>
  <si>
    <t>Difference</t>
  </si>
  <si>
    <t xml:space="preserve">Adjust Capacity payment for Partial Displacement 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</si>
  <si>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</si>
  <si>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</si>
  <si>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</si>
  <si>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Pipeline</t>
  </si>
  <si>
    <t>Avoided Cost at</t>
  </si>
  <si>
    <t xml:space="preserve"> x   Extrapolated</t>
  </si>
  <si>
    <t>Study_Name:</t>
  </si>
  <si>
    <t>Discount Rate - 2013 IRP Page 164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</si>
  <si>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</si>
  <si>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</si>
  <si>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</si>
  <si>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</si>
  <si>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</si>
  <si>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CCCT Dry "J" - Turbine</t>
  </si>
  <si>
    <t>CCCT Dry "J" - Duct Firing</t>
  </si>
  <si>
    <t>Plant Costs  - 2013 IRP - Table 6.1 &amp; 6.2 - Page 112</t>
  </si>
  <si>
    <t>Percent of QF</t>
  </si>
  <si>
    <t>CCCT Resource Costs - 2013 Integrated Resource Plan</t>
  </si>
  <si>
    <t>Energy Cost (1)</t>
  </si>
  <si>
    <t>(1)</t>
  </si>
  <si>
    <t xml:space="preserve">Consistent with Docket No. 03-035-14, QFs requesting a tolling option will have variable energy priced at the IRP Resource Energy Cost (heat rate </t>
  </si>
  <si>
    <t>times the cost of fuel).  Additionally, the energy price for unscheduled or non-firm deliveries is capped at the IRP Resource Energy Cost.</t>
  </si>
  <si>
    <t xml:space="preserve">See Table 3, Column (h). </t>
  </si>
  <si>
    <t>Utah 2014.Q1</t>
  </si>
  <si>
    <t>April 2014</t>
  </si>
  <si>
    <t>423 CCCT (2027)</t>
  </si>
  <si>
    <t>423 CCCT (2028)</t>
  </si>
  <si>
    <t>411 CCCT (2028)</t>
  </si>
  <si>
    <t>661 CCCT (2030)</t>
  </si>
  <si>
    <t>423 MW - CCCT Dry "J", Adv 1x1 - East Side Resource (5,050')</t>
  </si>
  <si>
    <t>441 MW - CCCT Dry "J", Adv 1x1 - East Side Resource (6,500')</t>
  </si>
  <si>
    <t>Table 4</t>
  </si>
  <si>
    <t>Table 3</t>
  </si>
  <si>
    <t>661 MW - CCCT Dry "F" 2x1 - East Side Resource (5,050')</t>
  </si>
  <si>
    <t>AnnMWh</t>
  </si>
  <si>
    <t>Utah 2014.Q2</t>
  </si>
  <si>
    <t>Avoided Cost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</si>
</sst>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* #,##0.000_);_(* \(#,##0.000\);_(* &quot;-&quot;_);_(@_)"/>
    <numFmt numFmtId="170" formatCode="_(&quot;$&quot;* #,##0_);_(&quot;$&quot;* \(#,##0\);_(&quot;$&quot;* &quot;-&quot;??_);_(@_)"/>
    <numFmt numFmtId="171" formatCode="mmm\ yyyy&quot;   &quot;"/>
    <numFmt numFmtId="172" formatCode="_(* #,##0_);[Red]_(* \(#,##0\);_(* &quot;-&quot;_);_(@_)"/>
    <numFmt numFmtId="173" formatCode="_(* #,##0.00_);[Red]_(* \(#,##0.00\);_(* &quot;-&quot;_);_(@_)"/>
    <numFmt numFmtId="174" formatCode="_(* #,##0.0_);[Red]_(* \(#,##0.0\);_(* &quot;-&quot;_);_(@_)"/>
    <numFmt numFmtId="175" formatCode="0.000%"/>
    <numFmt numFmtId="176" formatCode="&quot;$&quot;###0;[Red]\(&quot;$&quot;###0\)"/>
    <numFmt numFmtId="177" formatCode="0.0"/>
  </numFmts>
  <fonts count="29" x14ac:knownFonts="1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10"/>
      <color rgb="FFCCECFF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4">
    <xf numFmtId="172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>
      <protection locked="0"/>
    </xf>
    <xf numFmtId="41" fontId="3" fillId="0" borderId="0"/>
    <xf numFmtId="172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0" fontId="1" fillId="0" borderId="0"/>
    <xf numFmtId="172" fontId="3" fillId="0" borderId="0"/>
    <xf numFmtId="172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7" fillId="0" borderId="0" applyFont="0" applyFill="0" applyBorder="0" applyProtection="0">
      <alignment horizontal="right"/>
    </xf>
    <xf numFmtId="177" fontId="17" fillId="0" borderId="0" applyNumberFormat="0" applyFill="0" applyBorder="0" applyAlignment="0" applyProtection="0"/>
    <xf numFmtId="0" fontId="16" fillId="0" borderId="23" applyNumberFormat="0" applyBorder="0" applyAlignment="0"/>
    <xf numFmtId="12" fontId="28" fillId="8" borderId="22">
      <alignment horizontal="left"/>
    </xf>
    <xf numFmtId="37" fontId="16" fillId="9" borderId="0" applyNumberFormat="0" applyBorder="0" applyAlignment="0" applyProtection="0"/>
    <xf numFmtId="37" fontId="16" fillId="0" borderId="0"/>
    <xf numFmtId="3" fontId="24" fillId="10" borderId="24" applyProtection="0"/>
  </cellStyleXfs>
  <cellXfs count="222">
    <xf numFmtId="172" fontId="0" fillId="0" borderId="0" xfId="0"/>
    <xf numFmtId="172" fontId="4" fillId="0" borderId="0" xfId="0" applyFont="1" applyFill="1" applyAlignment="1">
      <alignment horizontal="centerContinuous"/>
    </xf>
    <xf numFmtId="172" fontId="6" fillId="0" borderId="0" xfId="0" quotePrefix="1" applyFont="1" applyFill="1" applyBorder="1" applyAlignment="1">
      <alignment horizontal="center"/>
    </xf>
    <xf numFmtId="172" fontId="10" fillId="0" borderId="0" xfId="0" applyFont="1" applyFill="1"/>
    <xf numFmtId="172" fontId="10" fillId="0" borderId="1" xfId="0" applyFont="1" applyFill="1" applyBorder="1" applyAlignment="1">
      <alignment horizontal="center"/>
    </xf>
    <xf numFmtId="172" fontId="11" fillId="0" borderId="0" xfId="0" applyFont="1" applyFill="1" applyAlignment="1">
      <alignment horizontal="centerContinuous"/>
    </xf>
    <xf numFmtId="172" fontId="3" fillId="0" borderId="0" xfId="0" applyFont="1" applyFill="1"/>
    <xf numFmtId="172" fontId="5" fillId="0" borderId="0" xfId="0" applyFont="1" applyFill="1" applyAlignment="1">
      <alignment horizontal="centerContinuous"/>
    </xf>
    <xf numFmtId="172" fontId="3" fillId="0" borderId="0" xfId="0" applyFont="1" applyFill="1" applyBorder="1"/>
    <xf numFmtId="172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2" fontId="8" fillId="0" borderId="0" xfId="0" applyFont="1" applyFill="1"/>
    <xf numFmtId="172" fontId="3" fillId="0" borderId="0" xfId="0" quotePrefix="1" applyFont="1" applyFill="1" applyBorder="1" applyAlignment="1">
      <alignment horizontal="center"/>
    </xf>
    <xf numFmtId="172" fontId="8" fillId="0" borderId="0" xfId="0" applyFont="1" applyFill="1" applyAlignment="1">
      <alignment horizontal="centerContinuous"/>
    </xf>
    <xf numFmtId="172" fontId="9" fillId="0" borderId="0" xfId="0" applyFont="1" applyFill="1"/>
    <xf numFmtId="172" fontId="3" fillId="0" borderId="0" xfId="0" quotePrefix="1" applyFont="1" applyFill="1"/>
    <xf numFmtId="172" fontId="2" fillId="0" borderId="0" xfId="0" applyFont="1" applyFill="1" applyBorder="1" applyAlignment="1">
      <alignment horizontal="left"/>
    </xf>
    <xf numFmtId="8" fontId="3" fillId="0" borderId="1" xfId="0" applyNumberFormat="1" applyFont="1" applyFill="1" applyBorder="1" applyAlignment="1">
      <alignment horizontal="center"/>
    </xf>
    <xf numFmtId="172" fontId="9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Continuous"/>
    </xf>
    <xf numFmtId="172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2" fontId="3" fillId="0" borderId="0" xfId="0" quotePrefix="1" applyFont="1" applyFill="1" applyBorder="1"/>
    <xf numFmtId="172" fontId="3" fillId="0" borderId="0" xfId="0" applyFont="1" applyFill="1" applyBorder="1" applyAlignment="1">
      <alignment horizontal="left"/>
    </xf>
    <xf numFmtId="172" fontId="10" fillId="0" borderId="3" xfId="0" applyFont="1" applyFill="1" applyBorder="1" applyAlignment="1">
      <alignment horizontal="centerContinuous"/>
    </xf>
    <xf numFmtId="172" fontId="10" fillId="0" borderId="4" xfId="0" applyFont="1" applyFill="1" applyBorder="1" applyAlignment="1">
      <alignment horizontal="centerContinuous"/>
    </xf>
    <xf numFmtId="172" fontId="10" fillId="0" borderId="5" xfId="0" applyFont="1" applyFill="1" applyBorder="1"/>
    <xf numFmtId="172" fontId="10" fillId="0" borderId="6" xfId="0" applyFont="1" applyFill="1" applyBorder="1" applyAlignment="1">
      <alignment horizontal="center"/>
    </xf>
    <xf numFmtId="172" fontId="10" fillId="0" borderId="0" xfId="0" quotePrefix="1" applyFont="1" applyFill="1" applyBorder="1" applyAlignment="1">
      <alignment horizontal="center"/>
    </xf>
    <xf numFmtId="172" fontId="10" fillId="0" borderId="7" xfId="0" applyFont="1" applyFill="1" applyBorder="1" applyAlignment="1">
      <alignment horizontal="centerContinuous"/>
    </xf>
    <xf numFmtId="172" fontId="10" fillId="0" borderId="5" xfId="0" applyFont="1" applyFill="1" applyBorder="1" applyAlignment="1">
      <alignment horizontal="centerContinuous"/>
    </xf>
    <xf numFmtId="172" fontId="10" fillId="0" borderId="8" xfId="0" applyFont="1" applyFill="1" applyBorder="1" applyAlignment="1">
      <alignment horizontal="centerContinuous"/>
    </xf>
    <xf numFmtId="172" fontId="10" fillId="0" borderId="9" xfId="0" applyFont="1" applyFill="1" applyBorder="1" applyAlignment="1">
      <alignment horizontal="centerContinuous"/>
    </xf>
    <xf numFmtId="172" fontId="10" fillId="0" borderId="8" xfId="0" applyFont="1" applyFill="1" applyBorder="1" applyAlignment="1">
      <alignment horizontal="center"/>
    </xf>
    <xf numFmtId="172" fontId="10" fillId="0" borderId="10" xfId="0" applyFont="1" applyFill="1" applyBorder="1" applyAlignment="1">
      <alignment horizontal="center"/>
    </xf>
    <xf numFmtId="172" fontId="10" fillId="0" borderId="5" xfId="0" quotePrefix="1" applyFont="1" applyFill="1" applyBorder="1" applyAlignment="1">
      <alignment horizontal="centerContinuous"/>
    </xf>
    <xf numFmtId="172" fontId="10" fillId="0" borderId="3" xfId="0" applyFont="1" applyFill="1" applyBorder="1" applyAlignment="1">
      <alignment horizontal="center"/>
    </xf>
    <xf numFmtId="172" fontId="10" fillId="0" borderId="11" xfId="0" applyFont="1" applyFill="1" applyBorder="1" applyAlignment="1">
      <alignment horizontal="center"/>
    </xf>
    <xf numFmtId="172" fontId="10" fillId="0" borderId="4" xfId="0" applyFont="1" applyFill="1" applyBorder="1" applyAlignment="1">
      <alignment horizontal="center"/>
    </xf>
    <xf numFmtId="172" fontId="10" fillId="0" borderId="2" xfId="0" applyFont="1" applyFill="1" applyBorder="1" applyAlignment="1">
      <alignment horizontal="centerContinuous"/>
    </xf>
    <xf numFmtId="43" fontId="3" fillId="0" borderId="0" xfId="1" applyFont="1" applyFill="1"/>
    <xf numFmtId="0" fontId="3" fillId="0" borderId="0" xfId="7" applyFont="1" applyFill="1" applyBorder="1" applyAlignment="1">
      <alignment horizontal="center"/>
    </xf>
    <xf numFmtId="172" fontId="3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8" fontId="3" fillId="0" borderId="15" xfId="1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/>
    </xf>
    <xf numFmtId="172" fontId="3" fillId="2" borderId="0" xfId="0" applyFont="1" applyFill="1"/>
    <xf numFmtId="8" fontId="3" fillId="0" borderId="5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8" fontId="3" fillId="0" borderId="15" xfId="0" applyNumberFormat="1" applyFont="1" applyFill="1" applyBorder="1"/>
    <xf numFmtId="8" fontId="3" fillId="0" borderId="6" xfId="0" applyNumberFormat="1" applyFont="1" applyFill="1" applyBorder="1"/>
    <xf numFmtId="10" fontId="0" fillId="0" borderId="0" xfId="0" applyNumberFormat="1"/>
    <xf numFmtId="172" fontId="0" fillId="0" borderId="0" xfId="0" applyAlignment="1">
      <alignment horizontal="center"/>
    </xf>
    <xf numFmtId="172" fontId="2" fillId="0" borderId="0" xfId="0" applyFont="1" applyFill="1" applyAlignment="1">
      <alignment horizontal="right"/>
    </xf>
    <xf numFmtId="172" fontId="2" fillId="0" borderId="5" xfId="0" applyFont="1" applyFill="1" applyBorder="1" applyAlignment="1">
      <alignment horizontal="center"/>
    </xf>
    <xf numFmtId="172" fontId="2" fillId="0" borderId="5" xfId="0" applyFont="1" applyFill="1" applyBorder="1" applyAlignment="1">
      <alignment horizontal="center" wrapText="1"/>
    </xf>
    <xf numFmtId="172" fontId="2" fillId="0" borderId="5" xfId="0" applyFont="1" applyFill="1" applyBorder="1" applyAlignment="1">
      <alignment horizontal="centerContinuous" wrapText="1"/>
    </xf>
    <xf numFmtId="172" fontId="11" fillId="0" borderId="6" xfId="0" applyFont="1" applyFill="1" applyBorder="1" applyAlignment="1">
      <alignment horizontal="centerContinuous"/>
    </xf>
    <xf numFmtId="172" fontId="14" fillId="0" borderId="6" xfId="0" quotePrefix="1" applyFont="1" applyFill="1" applyBorder="1" applyAlignment="1">
      <alignment horizontal="center" wrapText="1"/>
    </xf>
    <xf numFmtId="172" fontId="14" fillId="0" borderId="6" xfId="0" applyFont="1" applyFill="1" applyBorder="1" applyAlignment="1">
      <alignment horizontal="center" wrapText="1"/>
    </xf>
    <xf numFmtId="172" fontId="2" fillId="0" borderId="0" xfId="0" applyFont="1" applyFill="1" applyAlignment="1">
      <alignment horizontal="centerContinuous"/>
    </xf>
    <xf numFmtId="172" fontId="2" fillId="0" borderId="5" xfId="0" applyFont="1" applyFill="1" applyBorder="1"/>
    <xf numFmtId="172" fontId="2" fillId="0" borderId="15" xfId="0" applyFont="1" applyFill="1" applyBorder="1" applyAlignment="1">
      <alignment horizontal="center"/>
    </xf>
    <xf numFmtId="172" fontId="2" fillId="0" borderId="6" xfId="0" applyFont="1" applyFill="1" applyBorder="1"/>
    <xf numFmtId="172" fontId="2" fillId="0" borderId="6" xfId="0" applyFont="1" applyFill="1" applyBorder="1" applyAlignment="1">
      <alignment horizontal="center"/>
    </xf>
    <xf numFmtId="8" fontId="1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2" fontId="2" fillId="0" borderId="11" xfId="0" applyFont="1" applyFill="1" applyBorder="1" applyAlignment="1">
      <alignment horizontal="centerContinuous"/>
    </xf>
    <xf numFmtId="172" fontId="5" fillId="0" borderId="7" xfId="0" applyFont="1" applyFill="1" applyBorder="1" applyAlignment="1">
      <alignment horizontal="centerContinuous"/>
    </xf>
    <xf numFmtId="172" fontId="16" fillId="3" borderId="0" xfId="0" applyFont="1" applyFill="1" applyAlignment="1">
      <alignment horizontal="centerContinuous"/>
    </xf>
    <xf numFmtId="172" fontId="17" fillId="3" borderId="0" xfId="0" applyFont="1" applyFill="1" applyBorder="1" applyAlignment="1">
      <alignment horizontal="centerContinuous"/>
    </xf>
    <xf numFmtId="171" fontId="16" fillId="3" borderId="0" xfId="1" applyNumberFormat="1" applyFont="1" applyFill="1" applyAlignment="1">
      <alignment horizontal="centerContinuous"/>
    </xf>
    <xf numFmtId="172" fontId="16" fillId="0" borderId="0" xfId="0" applyFont="1" applyFill="1" applyBorder="1"/>
    <xf numFmtId="172" fontId="17" fillId="0" borderId="0" xfId="0" applyFont="1" applyFill="1" applyBorder="1" applyAlignment="1">
      <alignment wrapText="1"/>
    </xf>
    <xf numFmtId="172" fontId="16" fillId="0" borderId="0" xfId="0" applyFont="1" applyFill="1" applyBorder="1" applyAlignment="1">
      <alignment horizontal="center"/>
    </xf>
    <xf numFmtId="168" fontId="16" fillId="0" borderId="0" xfId="0" applyNumberFormat="1" applyFont="1" applyFill="1" applyBorder="1"/>
    <xf numFmtId="8" fontId="3" fillId="0" borderId="10" xfId="0" applyNumberFormat="1" applyFont="1" applyFill="1" applyBorder="1" applyAlignment="1">
      <alignment horizontal="center"/>
    </xf>
    <xf numFmtId="8" fontId="3" fillId="0" borderId="6" xfId="1" applyNumberFormat="1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Continuous"/>
    </xf>
    <xf numFmtId="172" fontId="20" fillId="0" borderId="0" xfId="0" applyFont="1" applyFill="1"/>
    <xf numFmtId="167" fontId="20" fillId="0" borderId="0" xfId="8" applyNumberFormat="1" applyFont="1" applyFill="1"/>
    <xf numFmtId="43" fontId="20" fillId="0" borderId="0" xfId="2" applyNumberFormat="1" applyFont="1" applyFill="1"/>
    <xf numFmtId="164" fontId="20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20" fillId="0" borderId="0" xfId="0" applyNumberFormat="1" applyFont="1" applyFill="1"/>
    <xf numFmtId="8" fontId="20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18" xfId="0" applyFont="1" applyFill="1" applyBorder="1" applyAlignment="1">
      <alignment horizontal="centerContinuous"/>
    </xf>
    <xf numFmtId="172" fontId="2" fillId="0" borderId="19" xfId="0" applyFont="1" applyFill="1" applyBorder="1" applyAlignment="1">
      <alignment horizontal="centerContinuous"/>
    </xf>
    <xf numFmtId="172" fontId="2" fillId="0" borderId="20" xfId="0" applyFont="1" applyFill="1" applyBorder="1" applyAlignment="1">
      <alignment horizontal="centerContinuous"/>
    </xf>
    <xf numFmtId="167" fontId="0" fillId="0" borderId="0" xfId="8" applyNumberFormat="1" applyFont="1" applyFill="1"/>
    <xf numFmtId="172" fontId="2" fillId="0" borderId="18" xfId="5" applyFont="1" applyFill="1" applyBorder="1" applyAlignment="1">
      <alignment horizontal="centerContinuous"/>
    </xf>
    <xf numFmtId="172" fontId="2" fillId="0" borderId="3" xfId="5" applyFont="1" applyFill="1" applyBorder="1" applyAlignment="1">
      <alignment horizontal="centerContinuous"/>
    </xf>
    <xf numFmtId="172" fontId="22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2" fontId="16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left" indent="1"/>
    </xf>
    <xf numFmtId="172" fontId="3" fillId="0" borderId="0" xfId="0" applyFont="1" applyFill="1" applyAlignment="1">
      <alignment horizontal="left" indent="1"/>
    </xf>
    <xf numFmtId="172" fontId="0" fillId="0" borderId="0" xfId="0" applyFill="1"/>
    <xf numFmtId="43" fontId="0" fillId="0" borderId="0" xfId="1" applyFont="1" applyFill="1"/>
    <xf numFmtId="173" fontId="3" fillId="0" borderId="0" xfId="0" applyNumberFormat="1" applyFont="1" applyFill="1"/>
    <xf numFmtId="172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41" fontId="4" fillId="0" borderId="0" xfId="11" applyFont="1" applyFill="1" applyAlignment="1">
      <alignment horizontal="centerContinuous"/>
    </xf>
    <xf numFmtId="41" fontId="11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Continuous"/>
    </xf>
    <xf numFmtId="2" fontId="3" fillId="0" borderId="0" xfId="11" applyNumberFormat="1" applyFont="1" applyFill="1" applyAlignment="1">
      <alignment horizontal="center"/>
    </xf>
    <xf numFmtId="41" fontId="3" fillId="0" borderId="0" xfId="11" applyFont="1" applyFill="1" applyBorder="1"/>
    <xf numFmtId="41" fontId="3" fillId="0" borderId="0" xfId="11"/>
    <xf numFmtId="41" fontId="5" fillId="0" borderId="0" xfId="11" applyFont="1" applyFill="1" applyAlignment="1">
      <alignment horizontal="centerContinuous"/>
    </xf>
    <xf numFmtId="41" fontId="3" fillId="0" borderId="0" xfId="11" applyFont="1" applyFill="1"/>
    <xf numFmtId="41" fontId="3" fillId="0" borderId="0" xfId="11" applyFont="1" applyFill="1" applyAlignment="1">
      <alignment horizontal="center"/>
    </xf>
    <xf numFmtId="17" fontId="3" fillId="0" borderId="0" xfId="11" applyNumberFormat="1" applyFont="1" applyFill="1" applyAlignment="1">
      <alignment horizontal="center"/>
    </xf>
    <xf numFmtId="9" fontId="3" fillId="0" borderId="0" xfId="8" applyFont="1" applyFill="1" applyAlignment="1">
      <alignment horizontal="center"/>
    </xf>
    <xf numFmtId="41" fontId="3" fillId="0" borderId="0" xfId="11" applyFont="1" applyFill="1" applyBorder="1" applyAlignment="1">
      <alignment horizontal="center"/>
    </xf>
    <xf numFmtId="8" fontId="3" fillId="0" borderId="2" xfId="11" applyNumberFormat="1" applyFont="1" applyFill="1" applyBorder="1" applyAlignment="1">
      <alignment horizontal="center"/>
    </xf>
    <xf numFmtId="8" fontId="3" fillId="0" borderId="9" xfId="11" applyNumberFormat="1" applyFont="1" applyFill="1" applyBorder="1" applyAlignment="1">
      <alignment horizontal="center"/>
    </xf>
    <xf numFmtId="2" fontId="3" fillId="0" borderId="0" xfId="11" applyNumberFormat="1" applyFont="1" applyFill="1" applyBorder="1" applyAlignment="1">
      <alignment horizontal="center"/>
    </xf>
    <xf numFmtId="0" fontId="3" fillId="0" borderId="12" xfId="11" applyNumberFormat="1" applyFont="1" applyFill="1" applyBorder="1" applyAlignment="1">
      <alignment horizontal="center"/>
    </xf>
    <xf numFmtId="8" fontId="3" fillId="0" borderId="0" xfId="11" applyNumberFormat="1" applyFont="1" applyFill="1" applyBorder="1" applyAlignment="1">
      <alignment horizontal="center"/>
    </xf>
    <xf numFmtId="0" fontId="3" fillId="0" borderId="10" xfId="11" applyNumberFormat="1" applyFont="1" applyFill="1" applyBorder="1" applyAlignment="1">
      <alignment horizontal="center"/>
    </xf>
    <xf numFmtId="8" fontId="3" fillId="0" borderId="1" xfId="11" applyNumberFormat="1" applyFont="1" applyFill="1" applyBorder="1" applyAlignment="1">
      <alignment horizontal="center"/>
    </xf>
    <xf numFmtId="0" fontId="0" fillId="0" borderId="0" xfId="11" applyNumberFormat="1" applyFont="1" applyFill="1" applyAlignment="1">
      <alignment horizontal="left"/>
    </xf>
    <xf numFmtId="41" fontId="3" fillId="0" borderId="0" xfId="11" applyFont="1" applyFill="1" applyAlignment="1">
      <alignment horizontal="left" indent="1"/>
    </xf>
    <xf numFmtId="39" fontId="3" fillId="0" borderId="0" xfId="12" quotePrefix="1" applyNumberFormat="1" applyFont="1" applyFill="1" applyBorder="1" applyAlignment="1">
      <alignment horizontal="center"/>
    </xf>
    <xf numFmtId="39" fontId="3" fillId="0" borderId="0" xfId="11" applyNumberFormat="1" applyFont="1" applyFill="1" applyBorder="1" applyAlignment="1">
      <alignment horizontal="center"/>
    </xf>
    <xf numFmtId="8" fontId="3" fillId="0" borderId="0" xfId="11" applyNumberFormat="1" applyFont="1" applyFill="1"/>
    <xf numFmtId="172" fontId="1" fillId="0" borderId="0" xfId="10" applyNumberFormat="1" applyFont="1"/>
    <xf numFmtId="174" fontId="1" fillId="6" borderId="0" xfId="10" applyNumberFormat="1" applyFont="1" applyFill="1"/>
    <xf numFmtId="0" fontId="0" fillId="0" borderId="0" xfId="7" applyFont="1" applyFill="1" applyBorder="1" applyAlignment="1">
      <alignment horizontal="center"/>
    </xf>
    <xf numFmtId="172" fontId="0" fillId="0" borderId="0" xfId="0" applyFont="1" applyFill="1" applyAlignment="1">
      <alignment horizontal="centerContinuous"/>
    </xf>
    <xf numFmtId="172" fontId="0" fillId="0" borderId="0" xfId="0" applyFont="1" applyFill="1"/>
    <xf numFmtId="172" fontId="0" fillId="0" borderId="0" xfId="0" applyFont="1" applyFill="1" applyBorder="1" applyAlignment="1">
      <alignment horizontal="centerContinuous"/>
    </xf>
    <xf numFmtId="172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41" fontId="0" fillId="0" borderId="0" xfId="4" applyFont="1" applyFill="1"/>
    <xf numFmtId="172" fontId="0" fillId="0" borderId="0" xfId="0" applyFont="1" applyFill="1" applyAlignment="1">
      <alignment horizontal="center"/>
    </xf>
    <xf numFmtId="172" fontId="0" fillId="0" borderId="21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2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2" fontId="0" fillId="0" borderId="11" xfId="0" applyFont="1" applyFill="1" applyBorder="1" applyAlignment="1">
      <alignment horizontal="centerContinuous"/>
    </xf>
    <xf numFmtId="172" fontId="0" fillId="0" borderId="4" xfId="0" applyFont="1" applyFill="1" applyBorder="1" applyAlignment="1">
      <alignment horizontal="centerContinuous"/>
    </xf>
    <xf numFmtId="170" fontId="0" fillId="0" borderId="0" xfId="2" applyNumberFormat="1" applyFont="1" applyFill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172" fontId="3" fillId="0" borderId="0" xfId="10" applyNumberFormat="1" applyFont="1"/>
    <xf numFmtId="10" fontId="1" fillId="6" borderId="0" xfId="8" applyNumberFormat="1" applyFont="1" applyFill="1"/>
    <xf numFmtId="8" fontId="3" fillId="0" borderId="0" xfId="11" applyNumberFormat="1"/>
    <xf numFmtId="0" fontId="3" fillId="0" borderId="8" xfId="11" applyNumberFormat="1" applyFont="1" applyFill="1" applyBorder="1" applyAlignment="1">
      <alignment horizontal="center"/>
    </xf>
    <xf numFmtId="173" fontId="0" fillId="0" borderId="0" xfId="0" applyNumberFormat="1"/>
    <xf numFmtId="17" fontId="3" fillId="0" borderId="0" xfId="11" applyNumberFormat="1" applyFont="1" applyFill="1" applyBorder="1" applyAlignment="1"/>
    <xf numFmtId="41" fontId="3" fillId="0" borderId="0" xfId="11" applyFont="1" applyFill="1" applyAlignment="1"/>
    <xf numFmtId="168" fontId="23" fillId="0" borderId="0" xfId="11" applyNumberFormat="1" applyFont="1" applyFill="1" applyBorder="1" applyAlignment="1">
      <alignment horizontal="centerContinuous"/>
    </xf>
    <xf numFmtId="6" fontId="0" fillId="0" borderId="0" xfId="2" applyNumberFormat="1" applyFont="1" applyFill="1" applyAlignment="1">
      <alignment horizontal="center"/>
    </xf>
    <xf numFmtId="6" fontId="2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20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172" fontId="21" fillId="7" borderId="0" xfId="10" applyNumberFormat="1" applyFont="1" applyFill="1"/>
    <xf numFmtId="8" fontId="0" fillId="0" borderId="22" xfId="0" applyNumberFormat="1" applyFont="1" applyFill="1" applyBorder="1"/>
    <xf numFmtId="175" fontId="0" fillId="0" borderId="0" xfId="0" applyNumberFormat="1" applyFont="1" applyFill="1" applyBorder="1"/>
    <xf numFmtId="8" fontId="0" fillId="0" borderId="0" xfId="5" applyNumberFormat="1" applyFont="1" applyFill="1" applyBorder="1"/>
    <xf numFmtId="41" fontId="0" fillId="0" borderId="0" xfId="5" applyNumberFormat="1" applyFont="1" applyFill="1" applyBorder="1"/>
    <xf numFmtId="172" fontId="0" fillId="0" borderId="0" xfId="5" applyFont="1" applyFill="1"/>
    <xf numFmtId="172" fontId="2" fillId="0" borderId="7" xfId="5" applyFont="1" applyFill="1" applyBorder="1" applyAlignment="1">
      <alignment horizontal="centerContinuous"/>
    </xf>
    <xf numFmtId="172" fontId="0" fillId="0" borderId="0" xfId="5" applyFont="1" applyFill="1" applyAlignment="1">
      <alignment horizontal="lef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2" fontId="6" fillId="0" borderId="0" xfId="0" applyFont="1" applyFill="1"/>
    <xf numFmtId="172" fontId="17" fillId="3" borderId="0" xfId="0" applyFont="1" applyFill="1" applyBorder="1" applyAlignment="1">
      <alignment horizontal="center"/>
    </xf>
    <xf numFmtId="14" fontId="24" fillId="4" borderId="7" xfId="0" applyNumberFormat="1" applyFont="1" applyFill="1" applyBorder="1" applyAlignment="1">
      <alignment horizontal="center"/>
    </xf>
    <xf numFmtId="172" fontId="17" fillId="3" borderId="0" xfId="0" applyFont="1" applyFill="1" applyAlignment="1">
      <alignment horizontal="centerContinuous"/>
    </xf>
    <xf numFmtId="172" fontId="6" fillId="0" borderId="0" xfId="0" applyFont="1" applyFill="1" applyBorder="1"/>
    <xf numFmtId="14" fontId="25" fillId="3" borderId="0" xfId="0" applyNumberFormat="1" applyFont="1" applyFill="1" applyBorder="1" applyAlignment="1">
      <alignment horizontal="centerContinuous" vertical="center"/>
    </xf>
    <xf numFmtId="172" fontId="6" fillId="0" borderId="0" xfId="0" applyFont="1" applyFill="1" applyBorder="1" applyAlignment="1">
      <alignment horizontal="center"/>
    </xf>
    <xf numFmtId="172" fontId="16" fillId="3" borderId="0" xfId="0" applyFont="1" applyFill="1" applyBorder="1" applyAlignment="1">
      <alignment horizontal="centerContinuous" wrapText="1"/>
    </xf>
    <xf numFmtId="172" fontId="6" fillId="0" borderId="0" xfId="0" applyFont="1" applyFill="1" applyAlignment="1">
      <alignment horizontal="center"/>
    </xf>
    <xf numFmtId="172" fontId="16" fillId="0" borderId="17" xfId="0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2" fontId="6" fillId="5" borderId="16" xfId="0" applyFont="1" applyFill="1" applyBorder="1"/>
    <xf numFmtId="0" fontId="2" fillId="0" borderId="0" xfId="0" applyNumberFormat="1" applyFont="1" applyFill="1" applyAlignment="1"/>
    <xf numFmtId="41" fontId="26" fillId="0" borderId="0" xfId="11" applyFont="1" applyFill="1"/>
    <xf numFmtId="175" fontId="26" fillId="0" borderId="0" xfId="8" applyNumberFormat="1" applyFont="1" applyFill="1"/>
    <xf numFmtId="172" fontId="3" fillId="0" borderId="0" xfId="0" quotePrefix="1" applyFont="1" applyFill="1" applyAlignment="1">
      <alignment horizontal="left" vertical="top"/>
    </xf>
    <xf numFmtId="172" fontId="3" fillId="0" borderId="0" xfId="0" applyFont="1" applyFill="1" applyAlignment="1">
      <alignment wrapText="1"/>
    </xf>
    <xf numFmtId="175" fontId="0" fillId="6" borderId="0" xfId="8" applyNumberFormat="1" applyFont="1" applyFill="1"/>
    <xf numFmtId="167" fontId="26" fillId="6" borderId="0" xfId="8" applyNumberFormat="1" applyFont="1" applyFill="1"/>
    <xf numFmtId="41" fontId="3" fillId="0" borderId="0" xfId="11" quotePrefix="1" applyFont="1" applyFill="1" applyAlignment="1">
      <alignment horizontal="centerContinuous"/>
    </xf>
    <xf numFmtId="8" fontId="0" fillId="0" borderId="22" xfId="0" applyNumberFormat="1" applyFont="1" applyFill="1" applyBorder="1" applyAlignment="1">
      <alignment horizontal="right"/>
    </xf>
    <xf numFmtId="7" fontId="3" fillId="0" borderId="0" xfId="11" applyNumberFormat="1" applyFont="1" applyFill="1" applyBorder="1" applyAlignment="1">
      <alignment horizontal="center"/>
    </xf>
    <xf numFmtId="7" fontId="3" fillId="0" borderId="13" xfId="11" applyNumberFormat="1" applyFont="1" applyFill="1" applyBorder="1" applyAlignment="1">
      <alignment horizontal="center"/>
    </xf>
    <xf numFmtId="7" fontId="3" fillId="0" borderId="14" xfId="11" applyNumberFormat="1" applyFont="1" applyFill="1" applyBorder="1" applyAlignment="1">
      <alignment horizontal="center"/>
    </xf>
  </cellXfs>
  <cellStyles count="24">
    <cellStyle name="Comma" xfId="1" builtinId="3"/>
    <cellStyle name="Comma 2" xfId="15"/>
    <cellStyle name="Currency" xfId="2" builtinId="4"/>
    <cellStyle name="Currency 2" xfId="16"/>
    <cellStyle name="Currency No Comma" xfId="17"/>
    <cellStyle name="Input" xfId="3" builtinId="20" customBuiltin="1"/>
    <cellStyle name="MCP" xfId="18"/>
    <cellStyle name="noninput" xfId="19"/>
    <cellStyle name="Normal" xfId="0" builtinId="0" customBuiltin="1"/>
    <cellStyle name="Normal 2" xfId="9"/>
    <cellStyle name="Normal 2 2" xfId="14"/>
    <cellStyle name="Normal 3" xfId="10"/>
    <cellStyle name="Normal 5" xfId="13"/>
    <cellStyle name="Normal_DRR AC Study - Utah Valley - 53 MW 90 CF (2.28.2005)" xfId="4"/>
    <cellStyle name="Normal_Exhibit GND-1 - 5.24.2005" xfId="12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Password" xfId="20"/>
    <cellStyle name="Percent" xfId="8" builtinId="5"/>
    <cellStyle name="Unprot" xfId="21"/>
    <cellStyle name="Unprot$" xfId="22"/>
    <cellStyle name="Unprotect" xfId="23"/>
  </cellStyles>
  <dxfs count="2">
    <dxf>
      <font>
        <b/>
        <i/>
        <condense val="0"/>
        <extend val="0"/>
      </font>
      <fill>
        <patternFill>
          <bgColor indexed="42"/>
        </patternFill>
      </fill>
    </dxf>
    <dxf>
      <numFmt numFmtId="178" formatCode="&quot;$&quot;#,##0.00_)&quot;x&quot;"/>
    </dxf>
  </dxfs>
  <tableStyles count="0" defaultTableStyle="TableStyleMedium9" defaultPivotStyle="PivotStyleLight16"/>
  <colors>
    <mruColors>
      <color rgb="FFCCECFF"/>
      <color rgb="FF99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44"/>
  <sheetViews>
    <sheetView tabSelected="1" topLeftCell="A34" zoomScale="110" zoomScaleNormal="110" workbookViewId="0">
      <selection activeCell="K15" sqref="K15"/>
    </sheetView>
  </sheetViews>
  <sheetFormatPr defaultRowHeight="12.75" x14ac:dyDescent="0.2"/>
  <cols>
    <col min="1" max="1" width="2.83203125" style="128" customWidth="1"/>
    <col min="2" max="2" width="19.1640625" style="128" customWidth="1"/>
    <col min="3" max="5" width="21.6640625" style="128" customWidth="1"/>
    <col min="6" max="6" width="3.33203125" style="128" customWidth="1"/>
    <col min="7" max="7" width="9.33203125" style="128" hidden="1" customWidth="1"/>
    <col min="8" max="8" width="9.33203125" style="126" customWidth="1"/>
    <col min="9" max="9" width="10.5" style="126" bestFit="1" customWidth="1"/>
    <col min="10" max="16384" width="9.33203125" style="126"/>
  </cols>
  <sheetData>
    <row r="1" spans="2:7" ht="15.75" x14ac:dyDescent="0.25">
      <c r="B1" s="121" t="s">
        <v>73</v>
      </c>
      <c r="C1" s="122"/>
      <c r="D1" s="122"/>
      <c r="E1" s="123"/>
      <c r="F1" s="124"/>
      <c r="G1" s="125"/>
    </row>
    <row r="2" spans="2:7" ht="15.75" x14ac:dyDescent="0.25">
      <c r="B2" s="121"/>
      <c r="C2" s="122"/>
      <c r="D2" s="122"/>
      <c r="E2" s="123"/>
      <c r="F2" s="124"/>
      <c r="G2" s="125"/>
    </row>
    <row r="3" spans="2:7" ht="15.75" x14ac:dyDescent="0.25">
      <c r="B3" s="127" t="s">
        <v>82</v>
      </c>
      <c r="C3" s="127"/>
      <c r="D3" s="127"/>
      <c r="E3" s="121"/>
      <c r="F3" s="124"/>
      <c r="G3" s="125"/>
    </row>
    <row r="4" spans="2:7" ht="15.75" x14ac:dyDescent="0.25">
      <c r="B4" s="7" t="str">
        <f>'Table 1'!B5</f>
        <v>Utah 2014.Q2 - 100.0 MW and 85.0% CF</v>
      </c>
      <c r="C4" s="127"/>
      <c r="D4" s="127"/>
      <c r="E4" s="121"/>
      <c r="F4" s="124"/>
      <c r="G4" s="125"/>
    </row>
    <row r="5" spans="2:7" ht="25.5" customHeight="1" x14ac:dyDescent="0.2">
      <c r="C5" s="129"/>
      <c r="F5" s="124"/>
      <c r="G5" s="125"/>
    </row>
    <row r="6" spans="2:7" x14ac:dyDescent="0.2">
      <c r="B6" s="129" t="s">
        <v>0</v>
      </c>
      <c r="C6" s="130" t="s">
        <v>89</v>
      </c>
      <c r="D6" s="130" t="s">
        <v>108</v>
      </c>
      <c r="E6" s="131" t="s">
        <v>83</v>
      </c>
      <c r="F6" s="124"/>
      <c r="G6" s="180"/>
    </row>
    <row r="7" spans="2:7" x14ac:dyDescent="0.2">
      <c r="B7" s="129"/>
      <c r="C7" s="44" t="str">
        <f>TEXT('Table 1'!G9,"0.0%")&amp;" CF (2)"</f>
        <v>85.0% CF (2)</v>
      </c>
      <c r="D7" s="217" t="s">
        <v>109</v>
      </c>
      <c r="E7" s="132"/>
      <c r="F7" s="124"/>
      <c r="G7" s="181"/>
    </row>
    <row r="8" spans="2:7" x14ac:dyDescent="0.2">
      <c r="B8" s="178">
        <f>'Table 1'!B13</f>
        <v>2015</v>
      </c>
      <c r="C8" s="133">
        <f>'Table 1'!G13</f>
        <v>31.16</v>
      </c>
      <c r="D8" s="133">
        <v>30.39</v>
      </c>
      <c r="E8" s="134">
        <f t="shared" ref="E8:E27" si="0">C8-D8</f>
        <v>0.76999999999999957</v>
      </c>
      <c r="F8" s="124"/>
      <c r="G8" s="182"/>
    </row>
    <row r="9" spans="2:7" x14ac:dyDescent="0.2">
      <c r="B9" s="136">
        <f t="shared" ref="B9:B27" si="1">B8+1</f>
        <v>2016</v>
      </c>
      <c r="C9" s="137">
        <f>'Table 1'!G14</f>
        <v>26.85</v>
      </c>
      <c r="D9" s="137">
        <v>28.29</v>
      </c>
      <c r="E9" s="220">
        <f t="shared" si="0"/>
        <v>-1.4399999999999977</v>
      </c>
      <c r="F9" s="124"/>
      <c r="G9" s="182"/>
    </row>
    <row r="10" spans="2:7" x14ac:dyDescent="0.2">
      <c r="B10" s="136">
        <f t="shared" si="1"/>
        <v>2017</v>
      </c>
      <c r="C10" s="137">
        <f>'Table 1'!G15</f>
        <v>26.79</v>
      </c>
      <c r="D10" s="137">
        <v>27.31</v>
      </c>
      <c r="E10" s="220">
        <f t="shared" si="0"/>
        <v>-0.51999999999999957</v>
      </c>
      <c r="F10" s="124"/>
      <c r="G10" s="182"/>
    </row>
    <row r="11" spans="2:7" x14ac:dyDescent="0.2">
      <c r="B11" s="136">
        <f t="shared" si="1"/>
        <v>2018</v>
      </c>
      <c r="C11" s="137">
        <f>'Table 1'!G16</f>
        <v>28.28</v>
      </c>
      <c r="D11" s="137">
        <v>28.78</v>
      </c>
      <c r="E11" s="220">
        <f t="shared" si="0"/>
        <v>-0.5</v>
      </c>
      <c r="F11" s="124"/>
      <c r="G11" s="182"/>
    </row>
    <row r="12" spans="2:7" x14ac:dyDescent="0.2">
      <c r="B12" s="136">
        <f t="shared" si="1"/>
        <v>2019</v>
      </c>
      <c r="C12" s="137">
        <f>'Table 1'!G17</f>
        <v>29.4</v>
      </c>
      <c r="D12" s="137">
        <v>29.47</v>
      </c>
      <c r="E12" s="220">
        <f t="shared" si="0"/>
        <v>-7.0000000000000284E-2</v>
      </c>
      <c r="F12" s="124"/>
      <c r="G12" s="182"/>
    </row>
    <row r="13" spans="2:7" x14ac:dyDescent="0.2">
      <c r="B13" s="136">
        <f t="shared" si="1"/>
        <v>2020</v>
      </c>
      <c r="C13" s="137">
        <f>'Table 1'!G18</f>
        <v>30.68</v>
      </c>
      <c r="D13" s="137">
        <v>34.42</v>
      </c>
      <c r="E13" s="220">
        <f t="shared" si="0"/>
        <v>-3.740000000000002</v>
      </c>
      <c r="F13" s="124"/>
      <c r="G13" s="182"/>
    </row>
    <row r="14" spans="2:7" x14ac:dyDescent="0.2">
      <c r="B14" s="136">
        <f t="shared" si="1"/>
        <v>2021</v>
      </c>
      <c r="C14" s="137">
        <f>'Table 1'!G19</f>
        <v>32.369999999999997</v>
      </c>
      <c r="D14" s="137">
        <v>38.6</v>
      </c>
      <c r="E14" s="220">
        <f t="shared" si="0"/>
        <v>-6.230000000000004</v>
      </c>
      <c r="F14" s="124"/>
      <c r="G14" s="182"/>
    </row>
    <row r="15" spans="2:7" x14ac:dyDescent="0.2">
      <c r="B15" s="136">
        <f t="shared" si="1"/>
        <v>2022</v>
      </c>
      <c r="C15" s="137">
        <f>'Table 1'!G20</f>
        <v>35.6</v>
      </c>
      <c r="D15" s="137">
        <v>44.42</v>
      </c>
      <c r="E15" s="220">
        <f t="shared" si="0"/>
        <v>-8.82</v>
      </c>
      <c r="F15" s="124"/>
      <c r="G15" s="182"/>
    </row>
    <row r="16" spans="2:7" x14ac:dyDescent="0.2">
      <c r="B16" s="136">
        <f t="shared" si="1"/>
        <v>2023</v>
      </c>
      <c r="C16" s="137">
        <f>'Table 1'!G21</f>
        <v>35.979999999999997</v>
      </c>
      <c r="D16" s="137">
        <v>47.87</v>
      </c>
      <c r="E16" s="220">
        <f t="shared" si="0"/>
        <v>-11.89</v>
      </c>
      <c r="F16" s="124"/>
      <c r="G16" s="182"/>
    </row>
    <row r="17" spans="2:7" x14ac:dyDescent="0.2">
      <c r="B17" s="136">
        <f t="shared" si="1"/>
        <v>2024</v>
      </c>
      <c r="C17" s="137">
        <f>'Table 1'!G22</f>
        <v>36.06</v>
      </c>
      <c r="D17" s="137">
        <v>48.09</v>
      </c>
      <c r="E17" s="220">
        <f t="shared" si="0"/>
        <v>-12.030000000000001</v>
      </c>
      <c r="F17" s="124"/>
      <c r="G17" s="182"/>
    </row>
    <row r="18" spans="2:7" x14ac:dyDescent="0.2">
      <c r="B18" s="136">
        <f t="shared" si="1"/>
        <v>2025</v>
      </c>
      <c r="C18" s="137">
        <f>'Table 1'!G23</f>
        <v>37.299999999999997</v>
      </c>
      <c r="D18" s="137">
        <v>50.35</v>
      </c>
      <c r="E18" s="220">
        <f t="shared" si="0"/>
        <v>-13.050000000000004</v>
      </c>
      <c r="F18" s="124"/>
      <c r="G18" s="182"/>
    </row>
    <row r="19" spans="2:7" x14ac:dyDescent="0.2">
      <c r="B19" s="136">
        <f t="shared" si="1"/>
        <v>2026</v>
      </c>
      <c r="C19" s="137">
        <f>'Table 1'!G24</f>
        <v>39.15</v>
      </c>
      <c r="D19" s="137">
        <v>53.72</v>
      </c>
      <c r="E19" s="220">
        <f t="shared" si="0"/>
        <v>-14.57</v>
      </c>
      <c r="F19" s="124"/>
      <c r="G19" s="182"/>
    </row>
    <row r="20" spans="2:7" x14ac:dyDescent="0.2">
      <c r="B20" s="136">
        <f t="shared" si="1"/>
        <v>2027</v>
      </c>
      <c r="C20" s="137">
        <f>'Table 1'!G25</f>
        <v>40.9</v>
      </c>
      <c r="D20" s="137">
        <v>56.9</v>
      </c>
      <c r="E20" s="220">
        <f t="shared" si="0"/>
        <v>-16</v>
      </c>
      <c r="F20" s="124"/>
      <c r="G20" s="182"/>
    </row>
    <row r="21" spans="2:7" x14ac:dyDescent="0.2">
      <c r="B21" s="136">
        <f t="shared" si="1"/>
        <v>2028</v>
      </c>
      <c r="C21" s="137">
        <f>'Table 1'!G26</f>
        <v>47.95</v>
      </c>
      <c r="D21" s="137">
        <v>65.55</v>
      </c>
      <c r="E21" s="220">
        <f t="shared" si="0"/>
        <v>-17.599999999999994</v>
      </c>
      <c r="F21" s="124"/>
      <c r="G21" s="182"/>
    </row>
    <row r="22" spans="2:7" x14ac:dyDescent="0.2">
      <c r="B22" s="136">
        <f t="shared" si="1"/>
        <v>2029</v>
      </c>
      <c r="C22" s="137">
        <f>'Table 1'!G27</f>
        <v>50.93</v>
      </c>
      <c r="D22" s="137">
        <v>68.06</v>
      </c>
      <c r="E22" s="220">
        <f t="shared" si="0"/>
        <v>-17.130000000000003</v>
      </c>
      <c r="F22" s="124"/>
      <c r="G22" s="182"/>
    </row>
    <row r="23" spans="2:7" x14ac:dyDescent="0.2">
      <c r="B23" s="136">
        <f t="shared" si="1"/>
        <v>2030</v>
      </c>
      <c r="C23" s="137">
        <f>'Table 1'!G28</f>
        <v>66.959999999999994</v>
      </c>
      <c r="D23" s="137">
        <v>69.66</v>
      </c>
      <c r="E23" s="220">
        <f t="shared" si="0"/>
        <v>-2.7000000000000028</v>
      </c>
      <c r="F23" s="124"/>
      <c r="G23" s="182"/>
    </row>
    <row r="24" spans="2:7" x14ac:dyDescent="0.2">
      <c r="B24" s="136">
        <f t="shared" si="1"/>
        <v>2031</v>
      </c>
      <c r="C24" s="137">
        <f>'Table 1'!G29</f>
        <v>68.75</v>
      </c>
      <c r="D24" s="137">
        <v>71.28</v>
      </c>
      <c r="E24" s="220">
        <f t="shared" si="0"/>
        <v>-2.5300000000000011</v>
      </c>
      <c r="F24" s="124"/>
      <c r="G24" s="182"/>
    </row>
    <row r="25" spans="2:7" x14ac:dyDescent="0.2">
      <c r="B25" s="136">
        <f t="shared" si="1"/>
        <v>2032</v>
      </c>
      <c r="C25" s="137">
        <f>'Table 1'!G30</f>
        <v>70.36</v>
      </c>
      <c r="D25" s="137">
        <v>72.7</v>
      </c>
      <c r="E25" s="220">
        <f t="shared" si="0"/>
        <v>-2.3400000000000034</v>
      </c>
      <c r="F25" s="124"/>
      <c r="G25" s="182"/>
    </row>
    <row r="26" spans="2:7" x14ac:dyDescent="0.2">
      <c r="B26" s="136">
        <f t="shared" si="1"/>
        <v>2033</v>
      </c>
      <c r="C26" s="137">
        <f>'Table 1'!G31</f>
        <v>71.8</v>
      </c>
      <c r="D26" s="137">
        <v>74.319999999999993</v>
      </c>
      <c r="E26" s="220">
        <f t="shared" si="0"/>
        <v>-2.519999999999996</v>
      </c>
      <c r="F26" s="135"/>
      <c r="G26" s="182"/>
    </row>
    <row r="27" spans="2:7" x14ac:dyDescent="0.2">
      <c r="B27" s="138">
        <f t="shared" si="1"/>
        <v>2034</v>
      </c>
      <c r="C27" s="139">
        <f>'Table 1'!G32</f>
        <v>73.53</v>
      </c>
      <c r="D27" s="139">
        <v>75.97</v>
      </c>
      <c r="E27" s="221">
        <f t="shared" si="0"/>
        <v>-2.4399999999999977</v>
      </c>
      <c r="F27" s="135"/>
      <c r="G27" s="182"/>
    </row>
    <row r="28" spans="2:7" x14ac:dyDescent="0.2">
      <c r="D28" s="129"/>
      <c r="F28" s="124"/>
    </row>
    <row r="29" spans="2:7" x14ac:dyDescent="0.2">
      <c r="B29" s="140" t="str">
        <f>"20-Year Levelized Prices (Nominal) @ "&amp;TEXT(Discount_Rate,"0.000%")&amp;" Discount Rate (1) (3)"</f>
        <v>20-Year Levelized Prices (Nominal) @ 6.882% Discount Rate (1) (3)</v>
      </c>
      <c r="D29" s="129"/>
      <c r="G29" s="211" t="str">
        <f>'Table 1'!I34</f>
        <v>Discount Rate - 2013 IRP Page 164</v>
      </c>
    </row>
    <row r="30" spans="2:7" x14ac:dyDescent="0.2">
      <c r="B30" s="141" t="s">
        <v>59</v>
      </c>
      <c r="C30" s="12">
        <f>-PMT(Discount_Rate,COUNT(C8:C27),NPV(Discount_Rate,C8:C27))</f>
        <v>38.726829172175329</v>
      </c>
      <c r="D30" s="12">
        <f>-PMT(Discount_Rate,COUNT(D8:D27),NPV(Discount_Rate,D8:D27))</f>
        <v>44.556665348256779</v>
      </c>
      <c r="E30" s="219">
        <f t="shared" ref="E30" si="2">C30-D30</f>
        <v>-5.8298361760814501</v>
      </c>
      <c r="F30" s="124"/>
      <c r="G30" s="212">
        <f>'Table 1'!I35</f>
        <v>6.8820000000000006E-2</v>
      </c>
    </row>
    <row r="31" spans="2:7" ht="5.25" customHeight="1" x14ac:dyDescent="0.2">
      <c r="B31" s="141"/>
      <c r="C31" s="137"/>
      <c r="D31" s="137"/>
      <c r="E31" s="137"/>
      <c r="F31" s="124"/>
    </row>
    <row r="32" spans="2:7" x14ac:dyDescent="0.2">
      <c r="B32" s="141"/>
      <c r="C32" s="137"/>
      <c r="D32" s="137"/>
      <c r="E32" s="137"/>
      <c r="F32" s="124"/>
    </row>
    <row r="33" spans="2:6" ht="5.25" customHeight="1" x14ac:dyDescent="0.2">
      <c r="D33" s="177"/>
      <c r="F33" s="124"/>
    </row>
    <row r="34" spans="2:6" x14ac:dyDescent="0.2">
      <c r="B34" s="128" t="s">
        <v>33</v>
      </c>
      <c r="C34" s="142"/>
      <c r="D34" s="143"/>
      <c r="E34" s="143"/>
      <c r="F34" s="124"/>
    </row>
    <row r="35" spans="2:6" x14ac:dyDescent="0.2">
      <c r="B35" s="43" t="str">
        <f>'Table 1'!B40</f>
        <v>(1)   Discount Rate - 2013 IRP Page 164</v>
      </c>
      <c r="D35" s="124"/>
      <c r="E35" s="124"/>
      <c r="F35" s="124"/>
    </row>
    <row r="36" spans="2:6" x14ac:dyDescent="0.2">
      <c r="B36" s="43" t="str">
        <f>"(2)   Total Avoided Costs with Capacity included at an "&amp;TEXT(Study_CF,"0.0%")&amp;" capacity factor"</f>
        <v>(2)   Total Avoided Costs with Capacity included at an 85.0% capacity factor</v>
      </c>
      <c r="F36" s="124"/>
    </row>
    <row r="37" spans="2:6" x14ac:dyDescent="0.2">
      <c r="B37" s="128" t="str">
        <f>"(3)   20-Year NPC is "&amp;B8&amp;" - "&amp;B27</f>
        <v>(3)   20-Year NPC is 2015 - 2034</v>
      </c>
    </row>
    <row r="38" spans="2:6" x14ac:dyDescent="0.2">
      <c r="B38" s="18"/>
    </row>
    <row r="39" spans="2:6" x14ac:dyDescent="0.2">
      <c r="B39" s="18"/>
    </row>
    <row r="40" spans="2:6" x14ac:dyDescent="0.2">
      <c r="B40" s="18"/>
    </row>
    <row r="41" spans="2:6" hidden="1" x14ac:dyDescent="0.2">
      <c r="B41" s="128" t="s">
        <v>90</v>
      </c>
    </row>
    <row r="42" spans="2:6" x14ac:dyDescent="0.2">
      <c r="C42" s="137"/>
      <c r="D42" s="137"/>
    </row>
    <row r="44" spans="2:6" x14ac:dyDescent="0.2">
      <c r="C44" s="144"/>
      <c r="D44" s="144"/>
      <c r="E44" s="144"/>
    </row>
  </sheetData>
  <conditionalFormatting sqref="D8:D22">
    <cfRule type="expression" dxfId="1" priority="1">
      <formula>ISNA(G8)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3"/>
  <sheetViews>
    <sheetView tabSelected="1" zoomScale="85" zoomScaleNormal="85" zoomScaleSheetLayoutView="100" workbookViewId="0">
      <pane xSplit="2" ySplit="12" topLeftCell="C13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2.75" x14ac:dyDescent="0.2"/>
  <cols>
    <col min="1" max="1" width="2.83203125" style="6" customWidth="1"/>
    <col min="2" max="2" width="10.83203125" style="6" customWidth="1"/>
    <col min="3" max="3" width="18.83203125" style="6" customWidth="1"/>
    <col min="4" max="4" width="3.1640625" style="6" customWidth="1"/>
    <col min="5" max="5" width="18.83203125" style="6" customWidth="1"/>
    <col min="6" max="6" width="3.5" style="6" bestFit="1" customWidth="1"/>
    <col min="7" max="7" width="27.83203125" style="6" customWidth="1"/>
    <col min="8" max="8" width="3.83203125" style="6" customWidth="1"/>
    <col min="9" max="9" width="9.33203125" style="6" hidden="1" customWidth="1"/>
    <col min="10" max="10" width="9.33203125" hidden="1" customWidth="1"/>
    <col min="13" max="13" width="0" hidden="1" customWidth="1"/>
    <col min="14" max="14" width="13.6640625" hidden="1" customWidth="1"/>
    <col min="15" max="15" width="9.83203125" hidden="1" customWidth="1"/>
    <col min="16" max="16" width="9.33203125" hidden="1" customWidth="1"/>
    <col min="17" max="17" width="9.33203125" customWidth="1"/>
  </cols>
  <sheetData>
    <row r="1" spans="2:16" ht="15.75" x14ac:dyDescent="0.25">
      <c r="B1" s="1" t="s">
        <v>73</v>
      </c>
      <c r="C1" s="5"/>
      <c r="D1" s="5"/>
      <c r="E1" s="5"/>
      <c r="F1" s="5"/>
      <c r="G1" s="45"/>
      <c r="H1" s="99"/>
      <c r="I1" s="8"/>
    </row>
    <row r="2" spans="2:16" ht="15.75" x14ac:dyDescent="0.25">
      <c r="B2" s="1"/>
      <c r="C2" s="5"/>
      <c r="D2" s="5"/>
      <c r="E2" s="5"/>
      <c r="G2" s="45"/>
      <c r="H2" s="99"/>
      <c r="I2" s="8"/>
      <c r="O2" s="145" t="s">
        <v>91</v>
      </c>
      <c r="P2" s="145"/>
    </row>
    <row r="3" spans="2:16" ht="15.75" x14ac:dyDescent="0.25">
      <c r="B3" s="1" t="s">
        <v>38</v>
      </c>
      <c r="C3" s="5"/>
      <c r="D3" s="5"/>
      <c r="E3" s="5"/>
      <c r="F3" s="5"/>
      <c r="G3" s="45"/>
      <c r="H3" s="99"/>
      <c r="I3" s="8"/>
      <c r="O3" s="146" t="s">
        <v>120</v>
      </c>
      <c r="P3" s="145"/>
    </row>
    <row r="4" spans="2:16" ht="15.75" x14ac:dyDescent="0.25">
      <c r="B4" s="7" t="s">
        <v>35</v>
      </c>
      <c r="C4" s="7"/>
      <c r="D4" s="7"/>
      <c r="E4" s="7"/>
      <c r="F4" s="7"/>
      <c r="G4" s="1"/>
      <c r="H4" s="99"/>
      <c r="I4" s="8"/>
      <c r="O4" s="145" t="s">
        <v>80</v>
      </c>
      <c r="P4" s="145"/>
    </row>
    <row r="5" spans="2:16" ht="15.75" x14ac:dyDescent="0.25">
      <c r="B5" s="7" t="str">
        <f>'Table 1'!O3&amp; " - "&amp;TEXT(Study_MW,"#.0")&amp;" MW and "&amp;TEXT(Study_CF,"#.0%")&amp;" CF"</f>
        <v>Utah 2014.Q2 - 100.0 MW and 85.0% CF</v>
      </c>
      <c r="C5" s="7"/>
      <c r="D5" s="7"/>
      <c r="E5" s="7"/>
      <c r="F5" s="7"/>
      <c r="G5" s="1"/>
      <c r="H5" s="99"/>
      <c r="I5" s="8"/>
      <c r="O5" s="146">
        <v>100</v>
      </c>
      <c r="P5" s="145" t="s">
        <v>62</v>
      </c>
    </row>
    <row r="6" spans="2:16" ht="14.25" hidden="1" x14ac:dyDescent="0.2">
      <c r="B6" s="71"/>
      <c r="C6" s="7"/>
      <c r="D6" s="7"/>
      <c r="E6" s="7"/>
      <c r="F6" s="7"/>
      <c r="G6" s="45"/>
      <c r="H6" s="99"/>
      <c r="I6" s="8"/>
    </row>
    <row r="7" spans="2:16" x14ac:dyDescent="0.2">
      <c r="C7" s="10"/>
      <c r="D7" s="10"/>
      <c r="H7" s="99"/>
      <c r="I7" t="s">
        <v>84</v>
      </c>
      <c r="O7" s="176">
        <v>0.85</v>
      </c>
      <c r="P7" s="175" t="s">
        <v>67</v>
      </c>
    </row>
    <row r="8" spans="2:16" x14ac:dyDescent="0.2">
      <c r="E8" s="46"/>
      <c r="F8" s="102"/>
      <c r="G8" s="9" t="s">
        <v>31</v>
      </c>
      <c r="H8" s="99"/>
      <c r="I8" s="216">
        <f>IF(IFERROR(FIND("Wind",Study_Name),0),20.5%,IF(IFERROR(FIND("Solar",Study_Name),0),84%,100%))</f>
        <v>1</v>
      </c>
      <c r="N8" s="145">
        <v>332</v>
      </c>
      <c r="O8" s="188" t="s">
        <v>121</v>
      </c>
    </row>
    <row r="9" spans="2:16" x14ac:dyDescent="0.2">
      <c r="C9" s="9" t="s">
        <v>6</v>
      </c>
      <c r="D9" s="9"/>
      <c r="E9" s="46" t="s">
        <v>36</v>
      </c>
      <c r="F9" s="102"/>
      <c r="G9" s="120">
        <f>Study_CF</f>
        <v>0.85</v>
      </c>
      <c r="H9" s="99"/>
      <c r="I9"/>
    </row>
    <row r="10" spans="2:16" x14ac:dyDescent="0.2">
      <c r="B10" s="9" t="s">
        <v>0</v>
      </c>
      <c r="C10" s="9" t="str">
        <f>"Price"&amp;IF(I8&lt;&gt;1," (6)","")</f>
        <v>Price</v>
      </c>
      <c r="D10" s="9"/>
      <c r="E10" s="46" t="s">
        <v>37</v>
      </c>
      <c r="F10" s="102"/>
      <c r="G10" s="46" t="s">
        <v>32</v>
      </c>
      <c r="H10" s="99"/>
      <c r="I10" s="179"/>
    </row>
    <row r="11" spans="2:16" ht="13.5" x14ac:dyDescent="0.2">
      <c r="B11" s="9"/>
      <c r="C11" s="9" t="s">
        <v>34</v>
      </c>
      <c r="D11" s="9"/>
      <c r="E11" s="147" t="s">
        <v>87</v>
      </c>
      <c r="F11" s="102"/>
      <c r="G11" s="46" t="s">
        <v>59</v>
      </c>
      <c r="H11" s="99"/>
      <c r="I11" s="179"/>
      <c r="N11" t="s">
        <v>119</v>
      </c>
    </row>
    <row r="12" spans="2:16" x14ac:dyDescent="0.2">
      <c r="B12" s="9"/>
      <c r="C12" s="15"/>
      <c r="D12" s="46"/>
      <c r="E12" s="46"/>
      <c r="F12" s="46"/>
      <c r="H12" s="99"/>
      <c r="I12" s="179"/>
    </row>
    <row r="13" spans="2:16" x14ac:dyDescent="0.2">
      <c r="B13" s="57">
        <f>'Table 2'!B12</f>
        <v>2015</v>
      </c>
      <c r="C13" s="11">
        <f>ROUND((IF(B13&gt;=2027,VLOOKUP($B13,'Table 3 423'!$B$11:$I$41,7,FALSE)*$I$17,0)+IF(B13&gt;=2028,VLOOKUP($B13,'Table 3 423'!$B$11:$I$41,7,FALSE)*$I$18,0)+IF(B13&gt;=2028,VLOOKUP($B13,'Table 3 411'!$B$11:$I$41,7,FALSE)*$I$19,0)+IF(B13&gt;=2030,VLOOKUP($B13,'Table 3 661'!$B$11:$I$41,7,FALSE)*$I$20,0))*Study_Cap_Adj,2)</f>
        <v>0</v>
      </c>
      <c r="D13" s="11"/>
      <c r="E13" s="11">
        <f>'Table 2'!C12</f>
        <v>31.158838208818064</v>
      </c>
      <c r="F13" s="110"/>
      <c r="G13" s="47">
        <f t="shared" ref="G13:G32" si="0">ROUND((C13*Study_MW*1000/N13+E13),2)</f>
        <v>31.16</v>
      </c>
      <c r="H13" s="99"/>
      <c r="I13"/>
      <c r="N13">
        <v>744600</v>
      </c>
    </row>
    <row r="14" spans="2:16" x14ac:dyDescent="0.2">
      <c r="B14" s="58">
        <f t="shared" ref="B14:B33" si="1">B13+1</f>
        <v>2016</v>
      </c>
      <c r="C14" s="12">
        <f>ROUND((IF(B14&gt;=2027,VLOOKUP($B14,'Table 3 423'!$B$11:$I$41,7,FALSE)*$I$17,0)+IF(B14&gt;=2028,VLOOKUP($B14,'Table 3 423'!$B$11:$I$41,7,FALSE)*$I$18,0)+IF(B14&gt;=2028,VLOOKUP($B14,'Table 3 411'!$B$11:$I$41,7,FALSE)*$I$19,0)+IF(B14&gt;=2030,VLOOKUP($B14,'Table 3 661'!$B$11:$I$41,7,FALSE)*$I$20,0))*Study_Cap_Adj,2)</f>
        <v>0</v>
      </c>
      <c r="D14" s="112" t="str">
        <f t="shared" ref="D14:D32" si="2">IF(OR(AND(B14=2027,_423_CCCT__2027&gt;0),AND(B14=2028,_423_CCCT__2028&gt;0),AND(B14=2028,_411_CCCT__2028&gt;0),AND(B14=2030,_661_CCCT__2030&gt;0)),"(4)","")</f>
        <v/>
      </c>
      <c r="E14" s="12">
        <f>'Table 2'!C13</f>
        <v>26.849941951219105</v>
      </c>
      <c r="F14" s="100"/>
      <c r="G14" s="48">
        <f t="shared" si="0"/>
        <v>26.85</v>
      </c>
      <c r="H14" s="99"/>
      <c r="I14"/>
      <c r="N14">
        <v>746640</v>
      </c>
    </row>
    <row r="15" spans="2:16" x14ac:dyDescent="0.2">
      <c r="B15" s="58">
        <f t="shared" si="1"/>
        <v>2017</v>
      </c>
      <c r="C15" s="12">
        <f>ROUND((IF(B15&gt;=2027,VLOOKUP($B15,'Table 3 423'!$B$11:$I$41,7,FALSE)*$I$17,0)+IF(B15&gt;=2028,VLOOKUP($B15,'Table 3 423'!$B$11:$I$41,7,FALSE)*$I$18,0)+IF(B15&gt;=2028,VLOOKUP($B15,'Table 3 411'!$B$11:$I$41,7,FALSE)*$I$19,0)+IF(B15&gt;=2030,VLOOKUP($B15,'Table 3 661'!$B$11:$I$41,7,FALSE)*$I$20,0))*Study_Cap_Adj,2)</f>
        <v>0</v>
      </c>
      <c r="D15" s="112" t="str">
        <f t="shared" si="2"/>
        <v/>
      </c>
      <c r="E15" s="12">
        <f>'Table 2'!C14</f>
        <v>26.793100547962794</v>
      </c>
      <c r="F15" s="100"/>
      <c r="G15" s="48">
        <f t="shared" si="0"/>
        <v>26.79</v>
      </c>
      <c r="H15" s="99"/>
      <c r="I15"/>
      <c r="N15">
        <v>744600</v>
      </c>
    </row>
    <row r="16" spans="2:16" x14ac:dyDescent="0.2">
      <c r="B16" s="58">
        <f t="shared" si="1"/>
        <v>2018</v>
      </c>
      <c r="C16" s="12">
        <f>ROUND((IF(B16&gt;=2027,VLOOKUP($B16,'Table 3 423'!$B$11:$I$41,7,FALSE)*$I$17,0)+IF(B16&gt;=2028,VLOOKUP($B16,'Table 3 423'!$B$11:$I$41,7,FALSE)*$I$18,0)+IF(B16&gt;=2028,VLOOKUP($B16,'Table 3 411'!$B$11:$I$41,7,FALSE)*$I$19,0)+IF(B16&gt;=2030,VLOOKUP($B16,'Table 3 661'!$B$11:$I$41,7,FALSE)*$I$20,0))*Study_Cap_Adj,2)</f>
        <v>0</v>
      </c>
      <c r="D16" s="112" t="str">
        <f t="shared" si="2"/>
        <v/>
      </c>
      <c r="E16" s="12">
        <f>'Table 2'!C15</f>
        <v>28.28174257376903</v>
      </c>
      <c r="F16" s="100"/>
      <c r="G16" s="48">
        <f t="shared" si="0"/>
        <v>28.28</v>
      </c>
      <c r="H16" s="99"/>
      <c r="I16" t="s">
        <v>101</v>
      </c>
      <c r="N16">
        <v>744600</v>
      </c>
    </row>
    <row r="17" spans="2:14" x14ac:dyDescent="0.2">
      <c r="B17" s="58">
        <f t="shared" si="1"/>
        <v>2019</v>
      </c>
      <c r="C17" s="12">
        <f>ROUND((IF(B17&gt;=2027,VLOOKUP($B17,'Table 3 423'!$B$11:$I$41,7,FALSE)*$I$17,0)+IF(B17&gt;=2028,VLOOKUP($B17,'Table 3 423'!$B$11:$I$41,7,FALSE)*$I$18,0)+IF(B17&gt;=2028,VLOOKUP($B17,'Table 3 411'!$B$11:$I$41,7,FALSE)*$I$19,0)+IF(B17&gt;=2030,VLOOKUP($B17,'Table 3 661'!$B$11:$I$41,7,FALSE)*$I$20,0))*Study_Cap_Adj,2)</f>
        <v>0</v>
      </c>
      <c r="D17" s="112" t="str">
        <f t="shared" si="2"/>
        <v/>
      </c>
      <c r="E17" s="12">
        <f>'Table 2'!C16</f>
        <v>29.403965848626996</v>
      </c>
      <c r="F17" s="100"/>
      <c r="G17" s="48">
        <f t="shared" si="0"/>
        <v>29.4</v>
      </c>
      <c r="H17" s="99"/>
      <c r="I17" s="216">
        <v>0</v>
      </c>
      <c r="J17" t="s">
        <v>110</v>
      </c>
      <c r="N17">
        <v>744600</v>
      </c>
    </row>
    <row r="18" spans="2:14" x14ac:dyDescent="0.2">
      <c r="B18" s="58">
        <f t="shared" si="1"/>
        <v>2020</v>
      </c>
      <c r="C18" s="12">
        <f>ROUND((IF(B18&gt;=2027,VLOOKUP($B18,'Table 3 423'!$B$11:$I$41,7,FALSE)*$I$17,0)+IF(B18&gt;=2028,VLOOKUP($B18,'Table 3 423'!$B$11:$I$41,7,FALSE)*$I$18,0)+IF(B18&gt;=2028,VLOOKUP($B18,'Table 3 411'!$B$11:$I$41,7,FALSE)*$I$19,0)+IF(B18&gt;=2030,VLOOKUP($B18,'Table 3 661'!$B$11:$I$41,7,FALSE)*$I$20,0))*Study_Cap_Adj,2)</f>
        <v>0</v>
      </c>
      <c r="D18" s="112" t="str">
        <f t="shared" si="2"/>
        <v/>
      </c>
      <c r="E18" s="12">
        <f>'Table 2'!C17</f>
        <v>30.681634956196575</v>
      </c>
      <c r="F18" s="100"/>
      <c r="G18" s="48">
        <f t="shared" si="0"/>
        <v>30.68</v>
      </c>
      <c r="H18" s="99"/>
      <c r="I18" s="216">
        <v>0</v>
      </c>
      <c r="J18" t="s">
        <v>111</v>
      </c>
      <c r="N18">
        <v>746640</v>
      </c>
    </row>
    <row r="19" spans="2:14" x14ac:dyDescent="0.2">
      <c r="B19" s="58">
        <f t="shared" si="1"/>
        <v>2021</v>
      </c>
      <c r="C19" s="12">
        <f>ROUND((IF(B19&gt;=2027,VLOOKUP($B19,'Table 3 423'!$B$11:$I$41,7,FALSE)*$I$17,0)+IF(B19&gt;=2028,VLOOKUP($B19,'Table 3 423'!$B$11:$I$41,7,FALSE)*$I$18,0)+IF(B19&gt;=2028,VLOOKUP($B19,'Table 3 411'!$B$11:$I$41,7,FALSE)*$I$19,0)+IF(B19&gt;=2030,VLOOKUP($B19,'Table 3 661'!$B$11:$I$41,7,FALSE)*$I$20,0))*Study_Cap_Adj,2)</f>
        <v>0</v>
      </c>
      <c r="D19" s="112" t="str">
        <f t="shared" si="2"/>
        <v/>
      </c>
      <c r="E19" s="12">
        <f>'Table 2'!C18</f>
        <v>32.374097108763777</v>
      </c>
      <c r="F19" s="100"/>
      <c r="G19" s="48">
        <f t="shared" si="0"/>
        <v>32.369999999999997</v>
      </c>
      <c r="H19" s="99"/>
      <c r="I19" s="216">
        <v>0</v>
      </c>
      <c r="J19" t="s">
        <v>112</v>
      </c>
      <c r="N19">
        <v>744600</v>
      </c>
    </row>
    <row r="20" spans="2:14" x14ac:dyDescent="0.2">
      <c r="B20" s="58">
        <f t="shared" si="1"/>
        <v>2022</v>
      </c>
      <c r="C20" s="12">
        <f>ROUND((IF(B20&gt;=2027,VLOOKUP($B20,'Table 3 423'!$B$11:$I$41,7,FALSE)*$I$17,0)+IF(B20&gt;=2028,VLOOKUP($B20,'Table 3 423'!$B$11:$I$41,7,FALSE)*$I$18,0)+IF(B20&gt;=2028,VLOOKUP($B20,'Table 3 411'!$B$11:$I$41,7,FALSE)*$I$19,0)+IF(B20&gt;=2030,VLOOKUP($B20,'Table 3 661'!$B$11:$I$41,7,FALSE)*$I$20,0))*Study_Cap_Adj,2)</f>
        <v>0</v>
      </c>
      <c r="D20" s="112" t="str">
        <f t="shared" si="2"/>
        <v/>
      </c>
      <c r="E20" s="12">
        <f>'Table 2'!C19</f>
        <v>35.600789318354323</v>
      </c>
      <c r="F20" s="100"/>
      <c r="G20" s="48">
        <f t="shared" si="0"/>
        <v>35.6</v>
      </c>
      <c r="H20" s="99"/>
      <c r="I20" s="216">
        <v>1</v>
      </c>
      <c r="J20" t="s">
        <v>113</v>
      </c>
      <c r="N20">
        <v>744600</v>
      </c>
    </row>
    <row r="21" spans="2:14" x14ac:dyDescent="0.2">
      <c r="B21" s="58">
        <f t="shared" si="1"/>
        <v>2023</v>
      </c>
      <c r="C21" s="12">
        <f>ROUND((IF(B21&gt;=2027,VLOOKUP($B21,'Table 3 423'!$B$11:$I$41,7,FALSE)*$I$17,0)+IF(B21&gt;=2028,VLOOKUP($B21,'Table 3 423'!$B$11:$I$41,7,FALSE)*$I$18,0)+IF(B21&gt;=2028,VLOOKUP($B21,'Table 3 411'!$B$11:$I$41,7,FALSE)*$I$19,0)+IF(B21&gt;=2030,VLOOKUP($B21,'Table 3 661'!$B$11:$I$41,7,FALSE)*$I$20,0))*Study_Cap_Adj,2)</f>
        <v>0</v>
      </c>
      <c r="D21" s="112" t="str">
        <f t="shared" si="2"/>
        <v/>
      </c>
      <c r="E21" s="12">
        <f>'Table 2'!C20</f>
        <v>35.981699336838922</v>
      </c>
      <c r="F21" s="100"/>
      <c r="G21" s="48">
        <f t="shared" si="0"/>
        <v>35.979999999999997</v>
      </c>
      <c r="H21" s="99"/>
      <c r="I21"/>
      <c r="N21">
        <v>744600</v>
      </c>
    </row>
    <row r="22" spans="2:14" x14ac:dyDescent="0.2">
      <c r="B22" s="58">
        <f t="shared" si="1"/>
        <v>2024</v>
      </c>
      <c r="C22" s="12">
        <f>ROUND((IF(B22&gt;=2027,VLOOKUP($B22,'Table 3 423'!$B$11:$I$41,7,FALSE)*$I$17,0)+IF(B22&gt;=2028,VLOOKUP($B22,'Table 3 423'!$B$11:$I$41,7,FALSE)*$I$18,0)+IF(B22&gt;=2028,VLOOKUP($B22,'Table 3 411'!$B$11:$I$41,7,FALSE)*$I$19,0)+IF(B22&gt;=2030,VLOOKUP($B22,'Table 3 661'!$B$11:$I$41,7,FALSE)*$I$20,0))*Study_Cap_Adj,2)</f>
        <v>0</v>
      </c>
      <c r="D22" s="112" t="str">
        <f t="shared" si="2"/>
        <v/>
      </c>
      <c r="E22" s="12">
        <f>'Table 2'!C21</f>
        <v>36.057118635741283</v>
      </c>
      <c r="F22" s="100"/>
      <c r="G22" s="48">
        <f t="shared" si="0"/>
        <v>36.06</v>
      </c>
      <c r="H22" s="99"/>
      <c r="I22"/>
      <c r="N22">
        <v>746640</v>
      </c>
    </row>
    <row r="23" spans="2:14" x14ac:dyDescent="0.2">
      <c r="B23" s="58">
        <f t="shared" si="1"/>
        <v>2025</v>
      </c>
      <c r="C23" s="12">
        <f>ROUND((IF(B23&gt;=2027,VLOOKUP($B23,'Table 3 423'!$B$11:$I$41,7,FALSE)*$I$17,0)+IF(B23&gt;=2028,VLOOKUP($B23,'Table 3 423'!$B$11:$I$41,7,FALSE)*$I$18,0)+IF(B23&gt;=2028,VLOOKUP($B23,'Table 3 411'!$B$11:$I$41,7,FALSE)*$I$19,0)+IF(B23&gt;=2030,VLOOKUP($B23,'Table 3 661'!$B$11:$I$41,7,FALSE)*$I$20,0))*Study_Cap_Adj,2)</f>
        <v>0</v>
      </c>
      <c r="D23" s="112" t="str">
        <f t="shared" si="2"/>
        <v/>
      </c>
      <c r="E23" s="12">
        <f>'Table 2'!C22</f>
        <v>37.301606815458143</v>
      </c>
      <c r="F23" s="100"/>
      <c r="G23" s="48">
        <f t="shared" si="0"/>
        <v>37.299999999999997</v>
      </c>
      <c r="H23" s="99"/>
      <c r="I23"/>
      <c r="N23">
        <v>744600</v>
      </c>
    </row>
    <row r="24" spans="2:14" x14ac:dyDescent="0.2">
      <c r="B24" s="58">
        <f t="shared" si="1"/>
        <v>2026</v>
      </c>
      <c r="C24" s="12">
        <f>ROUND((IF(B24&gt;=2027,VLOOKUP($B24,'Table 3 423'!$B$11:$I$41,7,FALSE)*$I$17,0)+IF(B24&gt;=2028,VLOOKUP($B24,'Table 3 423'!$B$11:$I$41,7,FALSE)*$I$18,0)+IF(B24&gt;=2028,VLOOKUP($B24,'Table 3 411'!$B$11:$I$41,7,FALSE)*$I$19,0)+IF(B24&gt;=2030,VLOOKUP($B24,'Table 3 661'!$B$11:$I$41,7,FALSE)*$I$20,0))*Study_Cap_Adj,2)</f>
        <v>0</v>
      </c>
      <c r="D24" s="112" t="str">
        <f t="shared" si="2"/>
        <v/>
      </c>
      <c r="E24" s="12">
        <f>'Table 2'!C23</f>
        <v>39.15326995239058</v>
      </c>
      <c r="F24" s="100"/>
      <c r="G24" s="48">
        <f t="shared" si="0"/>
        <v>39.15</v>
      </c>
      <c r="H24" s="99"/>
      <c r="I24"/>
      <c r="N24">
        <v>744600</v>
      </c>
    </row>
    <row r="25" spans="2:14" x14ac:dyDescent="0.2">
      <c r="B25" s="58">
        <f t="shared" si="1"/>
        <v>2027</v>
      </c>
      <c r="C25" s="12">
        <f>ROUND((IF(B25&gt;=2027,VLOOKUP($B25,'Table 3 423'!$B$11:$I$41,7,FALSE)*$I$17,0)+IF(B25&gt;=2028,VLOOKUP($B25,'Table 3 423'!$B$11:$I$41,7,FALSE)*$I$18,0)+IF(B25&gt;=2028,VLOOKUP($B25,'Table 3 411'!$B$11:$I$41,7,FALSE)*$I$19,0)+IF(B25&gt;=2030,VLOOKUP($B25,'Table 3 661'!$B$11:$I$41,7,FALSE)*$I$20,0))*Study_Cap_Adj,2)</f>
        <v>0</v>
      </c>
      <c r="D25" s="112" t="str">
        <f t="shared" si="2"/>
        <v/>
      </c>
      <c r="E25" s="12">
        <f>'Table 2'!C24</f>
        <v>40.900951456284609</v>
      </c>
      <c r="F25" s="100"/>
      <c r="G25" s="48">
        <f t="shared" si="0"/>
        <v>40.9</v>
      </c>
      <c r="H25" s="99"/>
      <c r="I25"/>
      <c r="N25">
        <v>744600</v>
      </c>
    </row>
    <row r="26" spans="2:14" x14ac:dyDescent="0.2">
      <c r="B26" s="58">
        <f t="shared" si="1"/>
        <v>2028</v>
      </c>
      <c r="C26" s="12">
        <f>ROUND((IF(B26&gt;=2027,VLOOKUP($B26,'Table 3 423'!$B$11:$I$41,7,FALSE)*$I$17,0)+IF(B26&gt;=2028,VLOOKUP($B26,'Table 3 423'!$B$11:$I$41,7,FALSE)*$I$18,0)+IF(B26&gt;=2028,VLOOKUP($B26,'Table 3 411'!$B$11:$I$41,7,FALSE)*$I$19,0)+IF(B26&gt;=2030,VLOOKUP($B26,'Table 3 661'!$B$11:$I$41,7,FALSE)*$I$20,0))*Study_Cap_Adj,2)</f>
        <v>0</v>
      </c>
      <c r="D26" s="112" t="str">
        <f t="shared" si="2"/>
        <v/>
      </c>
      <c r="E26" s="12">
        <f>'Table 2'!C25</f>
        <v>47.94952383291794</v>
      </c>
      <c r="F26" s="100"/>
      <c r="G26" s="48">
        <f t="shared" si="0"/>
        <v>47.95</v>
      </c>
      <c r="H26" s="99"/>
      <c r="I26"/>
      <c r="N26">
        <v>746640</v>
      </c>
    </row>
    <row r="27" spans="2:14" x14ac:dyDescent="0.2">
      <c r="B27" s="58">
        <f t="shared" si="1"/>
        <v>2029</v>
      </c>
      <c r="C27" s="12">
        <f>ROUND((IF(B27&gt;=2027,VLOOKUP($B27,'Table 3 423'!$B$11:$I$41,7,FALSE)*$I$17,0)+IF(B27&gt;=2028,VLOOKUP($B27,'Table 3 423'!$B$11:$I$41,7,FALSE)*$I$18,0)+IF(B27&gt;=2028,VLOOKUP($B27,'Table 3 411'!$B$11:$I$41,7,FALSE)*$I$19,0)+IF(B27&gt;=2030,VLOOKUP($B27,'Table 3 661'!$B$11:$I$41,7,FALSE)*$I$20,0))*Study_Cap_Adj,2)</f>
        <v>0</v>
      </c>
      <c r="D27" s="112" t="str">
        <f t="shared" si="2"/>
        <v/>
      </c>
      <c r="E27" s="12">
        <f>'Table 2'!C26</f>
        <v>50.927807938905929</v>
      </c>
      <c r="F27" s="100"/>
      <c r="G27" s="48">
        <f t="shared" si="0"/>
        <v>50.93</v>
      </c>
      <c r="H27" s="99"/>
      <c r="I27"/>
      <c r="N27">
        <v>744600</v>
      </c>
    </row>
    <row r="28" spans="2:14" x14ac:dyDescent="0.2">
      <c r="B28" s="58">
        <f t="shared" si="1"/>
        <v>2030</v>
      </c>
      <c r="C28" s="12">
        <f>ROUND((IF(B28&gt;=2027,VLOOKUP($B28,'Table 3 423'!$B$11:$I$41,7,FALSE)*$I$17,0)+IF(B28&gt;=2028,VLOOKUP($B28,'Table 3 423'!$B$11:$I$41,7,FALSE)*$I$18,0)+IF(B28&gt;=2028,VLOOKUP($B28,'Table 3 411'!$B$11:$I$41,7,FALSE)*$I$19,0)+IF(B28&gt;=2030,VLOOKUP($B28,'Table 3 661'!$B$11:$I$41,7,FALSE)*$I$20,0))*Study_Cap_Adj,2)</f>
        <v>157.29</v>
      </c>
      <c r="D28" s="112" t="str">
        <f t="shared" si="2"/>
        <v>(4)</v>
      </c>
      <c r="E28" s="12">
        <f>'Table 2'!C27</f>
        <v>45.836382140948061</v>
      </c>
      <c r="F28" s="100"/>
      <c r="G28" s="48">
        <f t="shared" si="0"/>
        <v>66.959999999999994</v>
      </c>
      <c r="H28" s="99"/>
      <c r="I28"/>
      <c r="N28">
        <v>744600</v>
      </c>
    </row>
    <row r="29" spans="2:14" x14ac:dyDescent="0.2">
      <c r="B29" s="58">
        <f t="shared" si="1"/>
        <v>2031</v>
      </c>
      <c r="C29" s="12">
        <f>ROUND((IF(B29&gt;=2027,VLOOKUP($B29,'Table 3 423'!$B$11:$I$41,7,FALSE)*$I$17,0)+IF(B29&gt;=2028,VLOOKUP($B29,'Table 3 423'!$B$11:$I$41,7,FALSE)*$I$18,0)+IF(B29&gt;=2028,VLOOKUP($B29,'Table 3 411'!$B$11:$I$41,7,FALSE)*$I$19,0)+IF(B29&gt;=2030,VLOOKUP($B29,'Table 3 661'!$B$11:$I$41,7,FALSE)*$I$20,0))*Study_Cap_Adj,2)</f>
        <v>160.26</v>
      </c>
      <c r="D29" s="112" t="str">
        <f t="shared" si="2"/>
        <v/>
      </c>
      <c r="E29" s="12">
        <f>'Table 2'!C28</f>
        <v>47.225536572454182</v>
      </c>
      <c r="F29" s="100"/>
      <c r="G29" s="48">
        <f t="shared" si="0"/>
        <v>68.75</v>
      </c>
      <c r="H29" s="99"/>
      <c r="I29"/>
      <c r="N29">
        <v>744600</v>
      </c>
    </row>
    <row r="30" spans="2:14" x14ac:dyDescent="0.2">
      <c r="B30" s="58">
        <f t="shared" si="1"/>
        <v>2032</v>
      </c>
      <c r="C30" s="12">
        <f>ROUND((IF(B30&gt;=2027,VLOOKUP($B30,'Table 3 423'!$B$11:$I$41,7,FALSE)*$I$17,0)+IF(B30&gt;=2028,VLOOKUP($B30,'Table 3 423'!$B$11:$I$41,7,FALSE)*$I$18,0)+IF(B30&gt;=2028,VLOOKUP($B30,'Table 3 411'!$B$11:$I$41,7,FALSE)*$I$19,0)+IF(B30&gt;=2030,VLOOKUP($B30,'Table 3 661'!$B$11:$I$41,7,FALSE)*$I$20,0))*Study_Cap_Adj,2)</f>
        <v>163.33000000000001</v>
      </c>
      <c r="D30" s="112" t="str">
        <f t="shared" si="2"/>
        <v/>
      </c>
      <c r="E30" s="12">
        <f>'Table 2'!C29</f>
        <v>48.48669276489305</v>
      </c>
      <c r="F30" s="100"/>
      <c r="G30" s="48">
        <f t="shared" si="0"/>
        <v>70.36</v>
      </c>
      <c r="H30" s="99"/>
      <c r="I30"/>
      <c r="N30">
        <v>746640</v>
      </c>
    </row>
    <row r="31" spans="2:14" x14ac:dyDescent="0.2">
      <c r="B31" s="58">
        <f t="shared" si="1"/>
        <v>2033</v>
      </c>
      <c r="C31" s="12">
        <f>ROUND((IF(B31&gt;=2027,VLOOKUP($B31,'Table 3 423'!$B$11:$I$41,7,FALSE)*$I$17,0)+IF(B31&gt;=2028,VLOOKUP($B31,'Table 3 423'!$B$11:$I$41,7,FALSE)*$I$18,0)+IF(B31&gt;=2028,VLOOKUP($B31,'Table 3 411'!$B$11:$I$41,7,FALSE)*$I$19,0)+IF(B31&gt;=2030,VLOOKUP($B31,'Table 3 661'!$B$11:$I$41,7,FALSE)*$I$20,0))*Study_Cap_Adj,2)</f>
        <v>166.59</v>
      </c>
      <c r="D31" s="112" t="str">
        <f t="shared" si="2"/>
        <v/>
      </c>
      <c r="E31" s="12">
        <f>'Table 2'!C30</f>
        <v>49.427681492788317</v>
      </c>
      <c r="F31" s="100"/>
      <c r="G31" s="48">
        <f t="shared" si="0"/>
        <v>71.8</v>
      </c>
      <c r="H31" s="99"/>
      <c r="I31"/>
      <c r="N31">
        <v>744600</v>
      </c>
    </row>
    <row r="32" spans="2:14" x14ac:dyDescent="0.2">
      <c r="B32" s="59">
        <f t="shared" si="1"/>
        <v>2034</v>
      </c>
      <c r="C32" s="20">
        <f>ROUND((IF(B32&gt;=2027,VLOOKUP($B32,'Table 3 423'!$B$11:$I$41,7,FALSE)*$I$17,0)+IF(B32&gt;=2028,VLOOKUP($B32,'Table 3 423'!$B$11:$I$41,7,FALSE)*$I$18,0)+IF(B32&gt;=2028,VLOOKUP($B32,'Table 3 411'!$B$11:$I$41,7,FALSE)*$I$19,0)+IF(B32&gt;=2030,VLOOKUP($B32,'Table 3 661'!$B$11:$I$41,7,FALSE)*$I$20,0))*Study_Cap_Adj,2)</f>
        <v>169.76</v>
      </c>
      <c r="D32" s="20" t="str">
        <f t="shared" si="2"/>
        <v/>
      </c>
      <c r="E32" s="20">
        <f>'Table 2'!C31</f>
        <v>50.734825601637318</v>
      </c>
      <c r="F32" s="111"/>
      <c r="G32" s="49">
        <f t="shared" si="0"/>
        <v>73.53</v>
      </c>
      <c r="H32" s="99"/>
      <c r="I32"/>
      <c r="N32">
        <v>744600</v>
      </c>
    </row>
    <row r="33" spans="2:9" hidden="1" x14ac:dyDescent="0.2">
      <c r="B33" s="59">
        <f t="shared" si="1"/>
        <v>2035</v>
      </c>
      <c r="C33" s="20">
        <f>ROUND((IF(VLOOKUP($B33,'Table 3 423'!$B$11:$I$41,8,FALSE)&lt;&gt;0,VLOOKUP($B33,'Table 3 423'!$B$11:$I$41,7,FALSE),0)*$I$17+IF(VLOOKUP($B33,'Table 3 411'!$B$11:$I$41,8,FALSE)&lt;&gt;0,VLOOKUP($B33,'Table 3 411'!$B$11:$I$41,7,FALSE),0)*$I$19)*$I$8,2)</f>
        <v>0</v>
      </c>
      <c r="D33" s="20" t="str">
        <f t="shared" ref="D33" si="3">IF(OR(AND(B33=2027,_423_CCCT__2027&gt;0),AND(B33=2028,_423_CCCT__2028&gt;0),AND(B33=2028,_411_CCCT__2028&gt;0)),"(4)","")</f>
        <v/>
      </c>
      <c r="E33" s="20" t="str">
        <f>IFERROR(SUMIF(#REF!,'Table 1'!B33,#REF!)/SUMIF(#REF!,'Table 1'!B33,#REF!),"")</f>
        <v/>
      </c>
      <c r="F33" s="111"/>
      <c r="G33" s="49" t="str">
        <f>IFERROR(SUMIF(#REF!,$B$33,#REF!)/SUMIF(#REF!,'Table 1'!D33,#REF!),"")</f>
        <v/>
      </c>
      <c r="H33" s="99"/>
      <c r="I33"/>
    </row>
    <row r="34" spans="2:9" x14ac:dyDescent="0.2">
      <c r="D34" s="12"/>
      <c r="F34" s="100"/>
      <c r="H34" s="99"/>
      <c r="I34" s="116" t="s">
        <v>92</v>
      </c>
    </row>
    <row r="35" spans="2:9" x14ac:dyDescent="0.2">
      <c r="B35" s="140" t="str">
        <f>"20-Year Levelized Prices (Nominal) @ "&amp;TEXT(I35,"0.000%")&amp;" Discount Rate (1) (3) "</f>
        <v xml:space="preserve">20-Year Levelized Prices (Nominal) @ 6.882% Discount Rate (1) (3) </v>
      </c>
      <c r="E35" s="8"/>
      <c r="I35" s="215">
        <v>6.8820000000000006E-2</v>
      </c>
    </row>
    <row r="36" spans="2:9" x14ac:dyDescent="0.2">
      <c r="B36" s="114" t="s">
        <v>8</v>
      </c>
      <c r="C36" s="12">
        <f>-PMT(Discount_Rate,COUNT(C13:C32),NPV(Discount_Rate,C13:C32))</f>
        <v>23.111360851046395</v>
      </c>
      <c r="D36" s="12"/>
      <c r="H36" s="99"/>
    </row>
    <row r="37" spans="2:9" x14ac:dyDescent="0.2">
      <c r="B37" s="115" t="s">
        <v>59</v>
      </c>
      <c r="E37" s="12">
        <f>PMT(Discount_Rate,COUNT(E13:E32),-NPV(Discount_Rate,E13:E32))</f>
        <v>35.625807321824404</v>
      </c>
      <c r="G37" s="12">
        <f>PMT(Discount_Rate,COUNT(G13:G32),-NPV(Discount_Rate,G13:G32))</f>
        <v>38.726829172175329</v>
      </c>
      <c r="H37" s="99"/>
    </row>
    <row r="38" spans="2:9" x14ac:dyDescent="0.2">
      <c r="F38" s="101"/>
      <c r="H38" s="99"/>
    </row>
    <row r="39" spans="2:9" x14ac:dyDescent="0.2">
      <c r="B39" s="6" t="s">
        <v>33</v>
      </c>
      <c r="E39" s="101"/>
      <c r="G39" s="101"/>
      <c r="H39" s="99"/>
    </row>
    <row r="40" spans="2:9" x14ac:dyDescent="0.2">
      <c r="B40" s="117" t="str">
        <f>"(1)   "&amp;I34</f>
        <v>(1)   Discount Rate - 2013 IRP Page 164</v>
      </c>
      <c r="E40" s="99"/>
      <c r="F40" s="101"/>
      <c r="G40" s="99"/>
      <c r="H40" s="99"/>
    </row>
    <row r="41" spans="2:9" x14ac:dyDescent="0.2">
      <c r="B41" s="6" t="s">
        <v>40</v>
      </c>
      <c r="F41" s="101"/>
      <c r="H41" s="99"/>
    </row>
    <row r="42" spans="2:9" x14ac:dyDescent="0.2">
      <c r="B42" s="6" t="str">
        <f>"(3)   20 Year NPC is "&amp;TEXT(B13,"???0")&amp;" - "&amp;TEXT(B32,"???0")</f>
        <v>(3)   20 Year NPC is 2015 - 2034</v>
      </c>
    </row>
    <row r="43" spans="2:9" x14ac:dyDescent="0.2">
      <c r="B43" s="6" t="str">
        <f>IF(Study_Cap_Adj&gt;0,"(4)  The capacity payment is devived from:","")</f>
        <v>(4)  The capacity payment is devived from:</v>
      </c>
    </row>
    <row r="44" spans="2:9" hidden="1" x14ac:dyDescent="0.2">
      <c r="B44" s="6" t="str">
        <f>IF(AND(Study_Cap_Adj&gt;0,_423_CCCT__2027&lt;&gt;0),"       2027 - "&amp;'Table 3 423'!$B$12&amp;"   ("&amp;TEXT(_423_CCCT__2027," 0.0%")&amp;")","")</f>
        <v/>
      </c>
    </row>
    <row r="45" spans="2:9" hidden="1" x14ac:dyDescent="0.2">
      <c r="B45" s="6" t="str">
        <f>IF(AND(Study_Cap_Adj&gt;0,_423_CCCT__2028&lt;&gt;0),"       2028 - "&amp;'Table 3 423'!$B$12&amp;"   ("&amp;TEXT(_423_CCCT__2028," 0.0%")&amp;")","")</f>
        <v/>
      </c>
    </row>
    <row r="46" spans="2:9" hidden="1" x14ac:dyDescent="0.2">
      <c r="B46" s="6" t="str">
        <f>IF(AND(Study_Cap_Adj&gt;0,_411_CCCT__2028&lt;&gt;0),"       2028 - "&amp;'Table 3 411'!$B$12&amp;"   ("&amp;TEXT(_411_CCCT__2028," 0.0%")&amp;")","")</f>
        <v/>
      </c>
    </row>
    <row r="47" spans="2:9" x14ac:dyDescent="0.2">
      <c r="B47" s="6" t="str">
        <f>IF(AND(Study_Cap_Adj&gt;0,_661_CCCT__2030&lt;&gt;0),"       2030 - "&amp;'Table 3 661'!$B$12&amp;"   ("&amp;TEXT(_661_CCCT__2030," 0.0%")&amp;")","")</f>
        <v xml:space="preserve">       2030 - 661 MW - CCCT Dry "F" 2x1 - East Side Resource (5,050')   ( 100.0%)</v>
      </c>
    </row>
    <row r="48" spans="2:9" x14ac:dyDescent="0.2">
      <c r="B48" s="18"/>
      <c r="C48" s="10"/>
      <c r="D48" s="10"/>
      <c r="E48" s="10"/>
      <c r="G48" s="10"/>
    </row>
    <row r="49" spans="1:7" x14ac:dyDescent="0.2">
      <c r="B49" s="18"/>
    </row>
    <row r="50" spans="1:7" s="126" customFormat="1" x14ac:dyDescent="0.2">
      <c r="A50" s="128"/>
      <c r="B50" s="18"/>
      <c r="C50" s="128"/>
      <c r="D50" s="128"/>
      <c r="E50" s="128"/>
      <c r="F50" s="128"/>
      <c r="G50" s="128"/>
    </row>
    <row r="51" spans="1:7" s="126" customFormat="1" x14ac:dyDescent="0.2">
      <c r="A51" s="128"/>
      <c r="B51" s="18"/>
      <c r="C51" s="128"/>
      <c r="D51" s="128"/>
      <c r="E51" s="128"/>
      <c r="F51" s="128"/>
      <c r="G51" s="128"/>
    </row>
    <row r="52" spans="1:7" x14ac:dyDescent="0.2">
      <c r="B52" s="119" t="str">
        <f>IF(I8&lt;&gt;1,"(6)   Capacity Payment is adjusted by "&amp;TEXT(I8,"0.0%")&amp;" Capacity Contribution.","")</f>
        <v/>
      </c>
    </row>
    <row r="53" spans="1:7" x14ac:dyDescent="0.2">
      <c r="F53" s="10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B1:Q52"/>
  <sheetViews>
    <sheetView tabSelected="1" zoomScaleNormal="100" zoomScaleSheetLayoutView="85" workbookViewId="0">
      <pane xSplit="2" ySplit="6" topLeftCell="C7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RowHeight="12.75" x14ac:dyDescent="0.2"/>
  <cols>
    <col min="1" max="1" width="2.83203125" style="6" customWidth="1"/>
    <col min="2" max="2" width="7" style="6" customWidth="1"/>
    <col min="3" max="12" width="9.33203125" style="6"/>
    <col min="13" max="13" width="9.33203125" style="8"/>
    <col min="14" max="15" width="9.33203125" style="6"/>
    <col min="16" max="16" width="1.6640625" style="6" customWidth="1"/>
    <col min="17" max="17" width="15.5" style="6" customWidth="1"/>
    <col min="18" max="16384" width="9.33203125" style="6"/>
  </cols>
  <sheetData>
    <row r="1" spans="2:17" s="14" customFormat="1" ht="15.75" x14ac:dyDescent="0.25">
      <c r="B1" s="1" t="s">
        <v>73</v>
      </c>
      <c r="C1" s="1"/>
      <c r="D1" s="1"/>
      <c r="E1" s="1"/>
      <c r="F1" s="1"/>
      <c r="G1" s="16"/>
      <c r="H1" s="1"/>
      <c r="I1" s="1"/>
      <c r="J1" s="1"/>
      <c r="K1" s="1"/>
      <c r="L1" s="21"/>
      <c r="M1" s="22"/>
      <c r="N1" s="22"/>
      <c r="O1" s="22"/>
      <c r="P1" s="22"/>
      <c r="Q1" s="22"/>
    </row>
    <row r="2" spans="2:17" s="14" customFormat="1" ht="15.75" x14ac:dyDescent="0.25">
      <c r="B2" s="1"/>
      <c r="C2" s="1"/>
      <c r="D2" s="1"/>
      <c r="E2" s="1"/>
      <c r="F2" s="1"/>
      <c r="G2" s="16"/>
      <c r="H2" s="1"/>
      <c r="I2" s="1"/>
      <c r="J2" s="1"/>
      <c r="K2" s="1"/>
      <c r="L2" s="21"/>
      <c r="M2" s="22"/>
      <c r="N2" s="22"/>
      <c r="O2" s="22"/>
      <c r="P2" s="22"/>
      <c r="Q2" s="22"/>
    </row>
    <row r="3" spans="2:17" s="14" customFormat="1" ht="15.75" x14ac:dyDescent="0.25">
      <c r="B3" s="1" t="str">
        <f>"Table "&amp;RIGHT('Table 1'!B3,1)+1</f>
        <v>Table 2</v>
      </c>
      <c r="C3" s="1"/>
      <c r="D3" s="1"/>
      <c r="E3" s="1"/>
      <c r="F3" s="1"/>
      <c r="G3" s="16"/>
      <c r="H3" s="1"/>
      <c r="I3" s="1"/>
      <c r="J3" s="1"/>
      <c r="K3" s="1"/>
      <c r="L3" s="21"/>
      <c r="M3" s="22"/>
      <c r="N3" s="22"/>
      <c r="O3" s="22"/>
      <c r="P3" s="22"/>
      <c r="Q3" s="22"/>
    </row>
    <row r="4" spans="2:17" s="17" customFormat="1" ht="15" x14ac:dyDescent="0.25">
      <c r="B4" s="7" t="s">
        <v>60</v>
      </c>
      <c r="C4" s="7"/>
      <c r="D4" s="7"/>
      <c r="E4" s="7"/>
      <c r="F4" s="7"/>
      <c r="G4" s="7"/>
      <c r="H4" s="7"/>
      <c r="I4" s="7"/>
      <c r="J4" s="7"/>
      <c r="K4" s="7"/>
      <c r="L4" s="7"/>
      <c r="M4" s="23"/>
      <c r="N4" s="23"/>
      <c r="O4" s="23"/>
      <c r="P4" s="23"/>
      <c r="Q4" s="23"/>
    </row>
    <row r="5" spans="2:17" s="17" customFormat="1" ht="15" x14ac:dyDescent="0.25">
      <c r="B5" s="7" t="str">
        <f>'Table 1'!$B$5</f>
        <v>Utah 2014.Q2 - 100.0 MW and 85.0% CF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s="17" customFormat="1" ht="15" x14ac:dyDescent="0.25">
      <c r="B6" s="7">
        <f>'Table 1'!$B$6</f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23"/>
      <c r="N6" s="23"/>
      <c r="O6" s="23"/>
      <c r="P6" s="23"/>
      <c r="Q6" s="23"/>
    </row>
    <row r="7" spans="2:17" s="3" customFormat="1" x14ac:dyDescent="0.2">
      <c r="D7" s="31"/>
      <c r="E7" s="31"/>
      <c r="F7" s="31"/>
      <c r="G7" s="13"/>
      <c r="H7" s="13"/>
      <c r="I7" s="13"/>
      <c r="J7" s="13"/>
      <c r="K7" s="13"/>
      <c r="L7" s="13"/>
      <c r="M7" s="24"/>
    </row>
    <row r="8" spans="2:17" s="3" customFormat="1" x14ac:dyDescent="0.2">
      <c r="B8" s="36" t="s">
        <v>0</v>
      </c>
      <c r="C8" s="36"/>
      <c r="D8" s="33" t="s">
        <v>28</v>
      </c>
      <c r="E8" s="38"/>
      <c r="F8" s="38"/>
      <c r="G8" s="33"/>
      <c r="H8" s="33"/>
      <c r="I8" s="28" t="s">
        <v>29</v>
      </c>
      <c r="J8" s="32"/>
      <c r="K8" s="32"/>
      <c r="L8" s="27"/>
      <c r="M8" s="34" t="s">
        <v>28</v>
      </c>
      <c r="N8" s="42"/>
      <c r="O8" s="35"/>
      <c r="Q8" s="29" t="s">
        <v>46</v>
      </c>
    </row>
    <row r="9" spans="2:17" s="3" customFormat="1" x14ac:dyDescent="0.2">
      <c r="B9" s="37"/>
      <c r="C9" s="37" t="s">
        <v>39</v>
      </c>
      <c r="D9" s="39" t="s">
        <v>16</v>
      </c>
      <c r="E9" s="40" t="s">
        <v>17</v>
      </c>
      <c r="F9" s="40" t="s">
        <v>18</v>
      </c>
      <c r="G9" s="40" t="s">
        <v>19</v>
      </c>
      <c r="H9" s="41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39" t="s">
        <v>25</v>
      </c>
      <c r="N9" s="40" t="s">
        <v>26</v>
      </c>
      <c r="O9" s="41" t="s">
        <v>27</v>
      </c>
      <c r="Q9" s="30" t="s">
        <v>103</v>
      </c>
    </row>
    <row r="10" spans="2:17" ht="12.75" customHeight="1" x14ac:dyDescent="0.2">
      <c r="B10" s="9"/>
      <c r="C10" s="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8"/>
    </row>
    <row r="11" spans="2:17" ht="12.75" customHeight="1" x14ac:dyDescent="0.2">
      <c r="B11" s="19" t="s">
        <v>45</v>
      </c>
      <c r="C11" s="1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/>
      <c r="Q11" s="9"/>
    </row>
    <row r="12" spans="2:17" ht="12.75" customHeight="1" x14ac:dyDescent="0.2">
      <c r="B12" s="57">
        <v>2015</v>
      </c>
      <c r="C12" s="56">
        <v>31.158838208818064</v>
      </c>
      <c r="D12" s="11">
        <v>28.96900875985547</v>
      </c>
      <c r="E12" s="11">
        <v>34.09453300199803</v>
      </c>
      <c r="F12" s="11">
        <v>32.728392607811308</v>
      </c>
      <c r="G12" s="11">
        <v>25.538291281196319</v>
      </c>
      <c r="H12" s="47">
        <v>25.383086391113778</v>
      </c>
      <c r="I12" s="53">
        <v>26.401731952311703</v>
      </c>
      <c r="J12" s="11">
        <v>39.532879517742494</v>
      </c>
      <c r="K12" s="11">
        <v>39.270015130040768</v>
      </c>
      <c r="L12" s="47">
        <v>38.137341304707277</v>
      </c>
      <c r="M12" s="53">
        <v>27.157058949453742</v>
      </c>
      <c r="N12" s="11">
        <v>25.685796712919146</v>
      </c>
      <c r="O12" s="47">
        <v>31.005822664263654</v>
      </c>
      <c r="Q12" s="54">
        <f>IF(_423_CCCT__2027+_423_CCCT__2028,VLOOKUP($B12,'Table 3 423'!$B$11:$K$41,9,FALSE),IF(_411_CCCT__2028,VLOOKUP($B12,'Table 3 411'!$B$11:$K$41,9,FALSE),VLOOKUP($B12,'Table 3 661'!$B$11:$K$41,9,FALSE)))</f>
        <v>0</v>
      </c>
    </row>
    <row r="13" spans="2:17" ht="12.75" customHeight="1" x14ac:dyDescent="0.2">
      <c r="B13" s="58">
        <f>B12+1</f>
        <v>2016</v>
      </c>
      <c r="C13" s="60">
        <v>26.849941951219105</v>
      </c>
      <c r="D13" s="12">
        <v>26.707350889657924</v>
      </c>
      <c r="E13" s="12">
        <v>27.203325800757359</v>
      </c>
      <c r="F13" s="12">
        <v>29.739386203670421</v>
      </c>
      <c r="G13" s="12">
        <v>22.761592889719832</v>
      </c>
      <c r="H13" s="48">
        <v>25.245631036845229</v>
      </c>
      <c r="I13" s="52">
        <v>24.433490994966593</v>
      </c>
      <c r="J13" s="12">
        <v>33.498588055052728</v>
      </c>
      <c r="K13" s="12">
        <v>31.058535521928924</v>
      </c>
      <c r="L13" s="48">
        <v>23.748886030139829</v>
      </c>
      <c r="M13" s="52">
        <v>23.126303524057899</v>
      </c>
      <c r="N13" s="12">
        <v>24.820866911928199</v>
      </c>
      <c r="O13" s="48">
        <v>29.502824159800195</v>
      </c>
      <c r="Q13" s="51">
        <f>IF(_423_CCCT__2027+_423_CCCT__2028,VLOOKUP($B13,'Table 3 423'!$B$11:$K$41,9,FALSE),IF(_411_CCCT__2028,VLOOKUP($B13,'Table 3 411'!$B$11:$K$41,9,FALSE),VLOOKUP($B13,'Table 3 661'!$B$11:$K$41,9,FALSE)))</f>
        <v>0</v>
      </c>
    </row>
    <row r="14" spans="2:17" ht="12.75" customHeight="1" x14ac:dyDescent="0.2">
      <c r="B14" s="58">
        <f t="shared" ref="B14:B31" si="0">B13+1</f>
        <v>2017</v>
      </c>
      <c r="C14" s="60">
        <v>26.793100547962794</v>
      </c>
      <c r="D14" s="12">
        <v>28.766496678957317</v>
      </c>
      <c r="E14" s="12">
        <v>28.490558535722801</v>
      </c>
      <c r="F14" s="12">
        <v>27.865794631305807</v>
      </c>
      <c r="G14" s="12">
        <v>22.682777558054312</v>
      </c>
      <c r="H14" s="48">
        <v>21.89663999045997</v>
      </c>
      <c r="I14" s="52">
        <v>22.24923648089073</v>
      </c>
      <c r="J14" s="12">
        <v>30.495030622945357</v>
      </c>
      <c r="K14" s="12">
        <v>30.672233897439103</v>
      </c>
      <c r="L14" s="48">
        <v>27.161498983968901</v>
      </c>
      <c r="M14" s="52">
        <v>24.122092597365643</v>
      </c>
      <c r="N14" s="12">
        <v>25.442101050063091</v>
      </c>
      <c r="O14" s="48">
        <v>31.526151543364616</v>
      </c>
      <c r="Q14" s="51">
        <f>IF(_423_CCCT__2027+_423_CCCT__2028,VLOOKUP($B14,'Table 3 423'!$B$11:$K$41,9,FALSE),IF(_411_CCCT__2028,VLOOKUP($B14,'Table 3 411'!$B$11:$K$41,9,FALSE),VLOOKUP($B14,'Table 3 661'!$B$11:$K$41,9,FALSE)))</f>
        <v>0</v>
      </c>
    </row>
    <row r="15" spans="2:17" ht="12.75" customHeight="1" x14ac:dyDescent="0.2">
      <c r="B15" s="58">
        <f t="shared" si="0"/>
        <v>2018</v>
      </c>
      <c r="C15" s="60">
        <v>28.28174257376903</v>
      </c>
      <c r="D15" s="12">
        <v>30.204463696151802</v>
      </c>
      <c r="E15" s="12">
        <v>26.283609293017232</v>
      </c>
      <c r="F15" s="12">
        <v>29.343563297051162</v>
      </c>
      <c r="G15" s="12">
        <v>25.536326565116983</v>
      </c>
      <c r="H15" s="48">
        <v>23.80465842746316</v>
      </c>
      <c r="I15" s="52">
        <v>24.792827837279713</v>
      </c>
      <c r="J15" s="12">
        <v>32.675093789094241</v>
      </c>
      <c r="K15" s="12">
        <v>33.025384895270719</v>
      </c>
      <c r="L15" s="48">
        <v>28.801494688671692</v>
      </c>
      <c r="M15" s="52">
        <v>25.85261841588839</v>
      </c>
      <c r="N15" s="12">
        <v>28.853680733526065</v>
      </c>
      <c r="O15" s="48">
        <v>29.847929881772782</v>
      </c>
      <c r="Q15" s="51">
        <f>IF(_423_CCCT__2027+_423_CCCT__2028,VLOOKUP($B15,'Table 3 423'!$B$11:$K$41,9,FALSE),IF(_411_CCCT__2028,VLOOKUP($B15,'Table 3 411'!$B$11:$K$41,9,FALSE),VLOOKUP($B15,'Table 3 661'!$B$11:$K$41,9,FALSE)))</f>
        <v>0</v>
      </c>
    </row>
    <row r="16" spans="2:17" ht="12.75" customHeight="1" x14ac:dyDescent="0.2">
      <c r="B16" s="58">
        <f t="shared" si="0"/>
        <v>2019</v>
      </c>
      <c r="C16" s="60">
        <v>29.403965848626996</v>
      </c>
      <c r="D16" s="12">
        <v>31.485804748493685</v>
      </c>
      <c r="E16" s="12">
        <v>29.791667776798221</v>
      </c>
      <c r="F16" s="12">
        <v>30.312083081056109</v>
      </c>
      <c r="G16" s="12">
        <v>25.443785317717182</v>
      </c>
      <c r="H16" s="48">
        <v>24.703526023891268</v>
      </c>
      <c r="I16" s="52">
        <v>24.039022342984875</v>
      </c>
      <c r="J16" s="12">
        <v>35.148477967036328</v>
      </c>
      <c r="K16" s="12">
        <v>35.826255056659285</v>
      </c>
      <c r="L16" s="48">
        <v>29.357702037138875</v>
      </c>
      <c r="M16" s="52">
        <v>26.373961067353338</v>
      </c>
      <c r="N16" s="12">
        <v>27.587501699184525</v>
      </c>
      <c r="O16" s="48">
        <v>32.454424155108129</v>
      </c>
      <c r="Q16" s="51">
        <f>IF(_423_CCCT__2027+_423_CCCT__2028,VLOOKUP($B16,'Table 3 423'!$B$11:$K$41,9,FALSE),IF(_411_CCCT__2028,VLOOKUP($B16,'Table 3 411'!$B$11:$K$41,9,FALSE),VLOOKUP($B16,'Table 3 661'!$B$11:$K$41,9,FALSE)))</f>
        <v>0</v>
      </c>
    </row>
    <row r="17" spans="2:17" ht="12.75" customHeight="1" x14ac:dyDescent="0.2">
      <c r="B17" s="58">
        <f t="shared" si="0"/>
        <v>2020</v>
      </c>
      <c r="C17" s="60">
        <v>30.681634956196575</v>
      </c>
      <c r="D17" s="12">
        <v>30.519496093237045</v>
      </c>
      <c r="E17" s="12">
        <v>29.660721744816094</v>
      </c>
      <c r="F17" s="12">
        <v>28.775820415838375</v>
      </c>
      <c r="G17" s="12">
        <v>28.629145850271374</v>
      </c>
      <c r="H17" s="48">
        <v>25.06812553484556</v>
      </c>
      <c r="I17" s="52">
        <v>26.308067407717111</v>
      </c>
      <c r="J17" s="12">
        <v>37.005252884992366</v>
      </c>
      <c r="K17" s="12">
        <v>37.118963214296052</v>
      </c>
      <c r="L17" s="48">
        <v>31.042500002489369</v>
      </c>
      <c r="M17" s="52">
        <v>28.503167090155916</v>
      </c>
      <c r="N17" s="12">
        <v>32.094943970386304</v>
      </c>
      <c r="O17" s="48">
        <v>33.237489168002853</v>
      </c>
      <c r="Q17" s="51">
        <f>IF(_423_CCCT__2027+_423_CCCT__2028,VLOOKUP($B17,'Table 3 423'!$B$11:$K$41,9,FALSE),IF(_411_CCCT__2028,VLOOKUP($B17,'Table 3 411'!$B$11:$K$41,9,FALSE),VLOOKUP($B17,'Table 3 661'!$B$11:$K$41,9,FALSE)))</f>
        <v>0</v>
      </c>
    </row>
    <row r="18" spans="2:17" ht="12.75" customHeight="1" x14ac:dyDescent="0.2">
      <c r="B18" s="58">
        <f t="shared" si="0"/>
        <v>2021</v>
      </c>
      <c r="C18" s="60">
        <v>32.374097108763777</v>
      </c>
      <c r="D18" s="12">
        <v>24.36672807391415</v>
      </c>
      <c r="E18" s="12">
        <v>31.22224819947462</v>
      </c>
      <c r="F18" s="12">
        <v>31.07528706497968</v>
      </c>
      <c r="G18" s="12">
        <v>34.9996908095927</v>
      </c>
      <c r="H18" s="48">
        <v>29.460925556836646</v>
      </c>
      <c r="I18" s="52">
        <v>27.442167401578203</v>
      </c>
      <c r="J18" s="12">
        <v>38.377848280115664</v>
      </c>
      <c r="K18" s="12">
        <v>36.834982839763484</v>
      </c>
      <c r="L18" s="48">
        <v>31.662060760789448</v>
      </c>
      <c r="M18" s="52">
        <v>31.13309377711985</v>
      </c>
      <c r="N18" s="12">
        <v>34.955203798816484</v>
      </c>
      <c r="O18" s="48">
        <v>36.833354148888404</v>
      </c>
      <c r="Q18" s="51">
        <f>IF(_423_CCCT__2027+_423_CCCT__2028,VLOOKUP($B18,'Table 3 423'!$B$11:$K$41,9,FALSE),IF(_411_CCCT__2028,VLOOKUP($B18,'Table 3 411'!$B$11:$K$41,9,FALSE),VLOOKUP($B18,'Table 3 661'!$B$11:$K$41,9,FALSE)))</f>
        <v>0</v>
      </c>
    </row>
    <row r="19" spans="2:17" ht="12.75" customHeight="1" x14ac:dyDescent="0.2">
      <c r="B19" s="58">
        <f t="shared" si="0"/>
        <v>2022</v>
      </c>
      <c r="C19" s="60">
        <v>35.600789318354323</v>
      </c>
      <c r="D19" s="12">
        <v>36.640236871767314</v>
      </c>
      <c r="E19" s="12">
        <v>33.188398686922689</v>
      </c>
      <c r="F19" s="12">
        <v>35.817646755900171</v>
      </c>
      <c r="G19" s="12">
        <v>32.715149645132371</v>
      </c>
      <c r="H19" s="48">
        <v>32.625301022664573</v>
      </c>
      <c r="I19" s="52">
        <v>29.240708836085755</v>
      </c>
      <c r="J19" s="12">
        <v>41.351587054263014</v>
      </c>
      <c r="K19" s="12">
        <v>39.756066220757482</v>
      </c>
      <c r="L19" s="48">
        <v>35.974898468333421</v>
      </c>
      <c r="M19" s="52">
        <v>36.875345529732279</v>
      </c>
      <c r="N19" s="12">
        <v>34.651015232936814</v>
      </c>
      <c r="O19" s="48">
        <v>37.822841463975521</v>
      </c>
      <c r="Q19" s="51">
        <f>IF(_423_CCCT__2027+_423_CCCT__2028,VLOOKUP($B19,'Table 3 423'!$B$11:$K$41,9,FALSE),IF(_411_CCCT__2028,VLOOKUP($B19,'Table 3 411'!$B$11:$K$41,9,FALSE),VLOOKUP($B19,'Table 3 661'!$B$11:$K$41,9,FALSE)))</f>
        <v>0</v>
      </c>
    </row>
    <row r="20" spans="2:17" ht="12.75" customHeight="1" x14ac:dyDescent="0.2">
      <c r="B20" s="58">
        <f t="shared" si="0"/>
        <v>2023</v>
      </c>
      <c r="C20" s="60">
        <v>35.981699336838922</v>
      </c>
      <c r="D20" s="12">
        <v>36.502993529148583</v>
      </c>
      <c r="E20" s="12">
        <v>34.683057763317926</v>
      </c>
      <c r="F20" s="12">
        <v>36.242140656729937</v>
      </c>
      <c r="G20" s="12">
        <v>34.545433830656357</v>
      </c>
      <c r="H20" s="48">
        <v>30.486788431427321</v>
      </c>
      <c r="I20" s="52">
        <v>31.032649557517441</v>
      </c>
      <c r="J20" s="12">
        <v>41.407323171989141</v>
      </c>
      <c r="K20" s="12">
        <v>40.90183291458569</v>
      </c>
      <c r="L20" s="48">
        <v>33.706053100817542</v>
      </c>
      <c r="M20" s="52">
        <v>34.721152133617615</v>
      </c>
      <c r="N20" s="12">
        <v>37.173223312581868</v>
      </c>
      <c r="O20" s="48">
        <v>40.011119050442566</v>
      </c>
      <c r="Q20" s="51">
        <f>IF(_423_CCCT__2027+_423_CCCT__2028,VLOOKUP($B20,'Table 3 423'!$B$11:$K$41,9,FALSE),IF(_411_CCCT__2028,VLOOKUP($B20,'Table 3 411'!$B$11:$K$41,9,FALSE),VLOOKUP($B20,'Table 3 661'!$B$11:$K$41,9,FALSE)))</f>
        <v>0</v>
      </c>
    </row>
    <row r="21" spans="2:17" ht="12.75" customHeight="1" x14ac:dyDescent="0.2">
      <c r="B21" s="58">
        <f t="shared" si="0"/>
        <v>2024</v>
      </c>
      <c r="C21" s="60">
        <v>36.057118635741283</v>
      </c>
      <c r="D21" s="12">
        <v>39.448788774509751</v>
      </c>
      <c r="E21" s="12">
        <v>35.326421467376022</v>
      </c>
      <c r="F21" s="12">
        <v>36.636756224383156</v>
      </c>
      <c r="G21" s="12">
        <v>37.804210164705232</v>
      </c>
      <c r="H21" s="48">
        <v>31.668654394528673</v>
      </c>
      <c r="I21" s="52">
        <v>30.509242686438405</v>
      </c>
      <c r="J21" s="12">
        <v>42.363696676628415</v>
      </c>
      <c r="K21" s="12">
        <v>41.77962151929114</v>
      </c>
      <c r="L21" s="48">
        <v>33.251942136928534</v>
      </c>
      <c r="M21" s="52">
        <v>34.176869386938328</v>
      </c>
      <c r="N21" s="12">
        <v>34.172397493954769</v>
      </c>
      <c r="O21" s="48">
        <v>35.225787980707949</v>
      </c>
      <c r="Q21" s="51">
        <f>IF(_423_CCCT__2027+_423_CCCT__2028,VLOOKUP($B21,'Table 3 423'!$B$11:$K$41,9,FALSE),IF(_411_CCCT__2028,VLOOKUP($B21,'Table 3 411'!$B$11:$K$41,9,FALSE),VLOOKUP($B21,'Table 3 661'!$B$11:$K$41,9,FALSE)))</f>
        <v>0</v>
      </c>
    </row>
    <row r="22" spans="2:17" ht="12.75" customHeight="1" x14ac:dyDescent="0.2">
      <c r="B22" s="58">
        <f t="shared" si="0"/>
        <v>2025</v>
      </c>
      <c r="C22" s="60">
        <v>37.301606815458143</v>
      </c>
      <c r="D22" s="12">
        <v>34.378456387887042</v>
      </c>
      <c r="E22" s="12">
        <v>33.481434966386907</v>
      </c>
      <c r="F22" s="12">
        <v>35.938191465369925</v>
      </c>
      <c r="G22" s="12">
        <v>45.080332754248495</v>
      </c>
      <c r="H22" s="48">
        <v>35.056233617964047</v>
      </c>
      <c r="I22" s="52">
        <v>32.48173742107852</v>
      </c>
      <c r="J22" s="12">
        <v>45.742360133934554</v>
      </c>
      <c r="K22" s="12">
        <v>45.18271983523136</v>
      </c>
      <c r="L22" s="48">
        <v>33.64048005408565</v>
      </c>
      <c r="M22" s="52">
        <v>35.552809089025899</v>
      </c>
      <c r="N22" s="12">
        <v>35.498479609477755</v>
      </c>
      <c r="O22" s="48">
        <v>35.135533129189639</v>
      </c>
      <c r="Q22" s="51">
        <f>IF(_423_CCCT__2027+_423_CCCT__2028,VLOOKUP($B22,'Table 3 423'!$B$11:$K$41,9,FALSE),IF(_411_CCCT__2028,VLOOKUP($B22,'Table 3 411'!$B$11:$K$41,9,FALSE),VLOOKUP($B22,'Table 3 661'!$B$11:$K$41,9,FALSE)))</f>
        <v>0</v>
      </c>
    </row>
    <row r="23" spans="2:17" ht="12.75" customHeight="1" x14ac:dyDescent="0.2">
      <c r="B23" s="58">
        <f t="shared" si="0"/>
        <v>2026</v>
      </c>
      <c r="C23" s="60">
        <v>39.15326995239058</v>
      </c>
      <c r="D23" s="12">
        <v>37.22284330913984</v>
      </c>
      <c r="E23" s="12">
        <v>33.837101337534349</v>
      </c>
      <c r="F23" s="12">
        <v>36.685642492251823</v>
      </c>
      <c r="G23" s="12">
        <v>38.503159235785013</v>
      </c>
      <c r="H23" s="48">
        <v>36.153110945130507</v>
      </c>
      <c r="I23" s="52">
        <v>33.405843582025739</v>
      </c>
      <c r="J23" s="12">
        <v>48.620525406862292</v>
      </c>
      <c r="K23" s="12">
        <v>49.501782173307575</v>
      </c>
      <c r="L23" s="48">
        <v>39.542898184640542</v>
      </c>
      <c r="M23" s="52">
        <v>37.563886421410857</v>
      </c>
      <c r="N23" s="12">
        <v>39.866678355882563</v>
      </c>
      <c r="O23" s="48">
        <v>38.250509717109495</v>
      </c>
      <c r="Q23" s="51">
        <f>IF(_423_CCCT__2027+_423_CCCT__2028,VLOOKUP($B23,'Table 3 423'!$B$11:$K$41,9,FALSE),IF(_411_CCCT__2028,VLOOKUP($B23,'Table 3 411'!$B$11:$K$41,9,FALSE),VLOOKUP($B23,'Table 3 661'!$B$11:$K$41,9,FALSE)))</f>
        <v>0</v>
      </c>
    </row>
    <row r="24" spans="2:17" ht="12.75" customHeight="1" x14ac:dyDescent="0.2">
      <c r="B24" s="58">
        <f t="shared" si="0"/>
        <v>2027</v>
      </c>
      <c r="C24" s="60">
        <v>40.900951456284609</v>
      </c>
      <c r="D24" s="12">
        <v>41.774849245730245</v>
      </c>
      <c r="E24" s="12">
        <v>39.075899333333084</v>
      </c>
      <c r="F24" s="12">
        <v>38.570627672516949</v>
      </c>
      <c r="G24" s="12">
        <v>41.223497961601794</v>
      </c>
      <c r="H24" s="48">
        <v>37.724061711416695</v>
      </c>
      <c r="I24" s="52">
        <v>35.506995512254875</v>
      </c>
      <c r="J24" s="12">
        <v>50.263499860374104</v>
      </c>
      <c r="K24" s="12">
        <v>48.357405567045717</v>
      </c>
      <c r="L24" s="48">
        <v>41.712932002451879</v>
      </c>
      <c r="M24" s="52">
        <v>37.904694253795327</v>
      </c>
      <c r="N24" s="12">
        <v>37.765767554084171</v>
      </c>
      <c r="O24" s="48">
        <v>40.516032956831353</v>
      </c>
      <c r="Q24" s="51">
        <f>IF(_423_CCCT__2027+_423_CCCT__2028,VLOOKUP($B24,'Table 3 423'!$B$11:$K$41,9,FALSE),IF(_411_CCCT__2028,VLOOKUP($B24,'Table 3 411'!$B$11:$K$41,9,FALSE),VLOOKUP($B24,'Table 3 661'!$B$11:$K$41,9,FALSE)))</f>
        <v>0</v>
      </c>
    </row>
    <row r="25" spans="2:17" ht="12.75" customHeight="1" x14ac:dyDescent="0.2">
      <c r="B25" s="58">
        <f t="shared" si="0"/>
        <v>2028</v>
      </c>
      <c r="C25" s="60">
        <v>47.94952383291794</v>
      </c>
      <c r="D25" s="12">
        <v>46.70989978494692</v>
      </c>
      <c r="E25" s="12">
        <v>42.90127361021014</v>
      </c>
      <c r="F25" s="12">
        <v>43.087436717425831</v>
      </c>
      <c r="G25" s="12">
        <v>41.744549571731021</v>
      </c>
      <c r="H25" s="48">
        <v>41.568382765180246</v>
      </c>
      <c r="I25" s="52">
        <v>42.775539401470155</v>
      </c>
      <c r="J25" s="12">
        <v>61.74721843769737</v>
      </c>
      <c r="K25" s="12">
        <v>60.416523559773218</v>
      </c>
      <c r="L25" s="48">
        <v>51.867380487581876</v>
      </c>
      <c r="M25" s="52">
        <v>46.720164743358012</v>
      </c>
      <c r="N25" s="12">
        <v>45.550340346731979</v>
      </c>
      <c r="O25" s="48">
        <v>49.661809279569376</v>
      </c>
      <c r="Q25" s="51">
        <f>IF(_423_CCCT__2027+_423_CCCT__2028,VLOOKUP($B25,'Table 3 423'!$B$11:$K$41,9,FALSE),IF(_411_CCCT__2028,VLOOKUP($B25,'Table 3 411'!$B$11:$K$41,9,FALSE),VLOOKUP($B25,'Table 3 661'!$B$11:$K$41,9,FALSE)))</f>
        <v>0</v>
      </c>
    </row>
    <row r="26" spans="2:17" ht="12.75" customHeight="1" x14ac:dyDescent="0.2">
      <c r="B26" s="58">
        <f t="shared" si="0"/>
        <v>2029</v>
      </c>
      <c r="C26" s="60">
        <v>50.927807938905929</v>
      </c>
      <c r="D26" s="12">
        <v>49.501474418090559</v>
      </c>
      <c r="E26" s="12">
        <v>46.831029796918088</v>
      </c>
      <c r="F26" s="12">
        <v>44.351747395952131</v>
      </c>
      <c r="G26" s="12">
        <v>44.026934633332921</v>
      </c>
      <c r="H26" s="48">
        <v>44.226372571790485</v>
      </c>
      <c r="I26" s="52">
        <v>47.198623203431175</v>
      </c>
      <c r="J26" s="12">
        <v>65.79587374746913</v>
      </c>
      <c r="K26" s="12">
        <v>63.842821381247212</v>
      </c>
      <c r="L26" s="48">
        <v>53.181873242321359</v>
      </c>
      <c r="M26" s="52">
        <v>50.040498210625941</v>
      </c>
      <c r="N26" s="12">
        <v>48.408828729900954</v>
      </c>
      <c r="O26" s="48">
        <v>52.979704827008973</v>
      </c>
      <c r="Q26" s="51">
        <f>IF(_423_CCCT__2027+_423_CCCT__2028,VLOOKUP($B26,'Table 3 423'!$B$11:$K$41,9,FALSE),IF(_411_CCCT__2028,VLOOKUP($B26,'Table 3 411'!$B$11:$K$41,9,FALSE),VLOOKUP($B26,'Table 3 661'!$B$11:$K$41,9,FALSE)))</f>
        <v>0</v>
      </c>
    </row>
    <row r="27" spans="2:17" ht="12.75" customHeight="1" x14ac:dyDescent="0.2">
      <c r="B27" s="58">
        <f t="shared" si="0"/>
        <v>2030</v>
      </c>
      <c r="C27" s="60">
        <v>45.836382140948061</v>
      </c>
      <c r="D27" s="12">
        <v>50.301102203035526</v>
      </c>
      <c r="E27" s="12">
        <v>48.264056998949386</v>
      </c>
      <c r="F27" s="12">
        <v>43.339009974382769</v>
      </c>
      <c r="G27" s="12">
        <v>42.616807367810921</v>
      </c>
      <c r="H27" s="48">
        <v>42.945534998893379</v>
      </c>
      <c r="I27" s="52">
        <v>42.763987456535787</v>
      </c>
      <c r="J27" s="12">
        <v>44.533778825268421</v>
      </c>
      <c r="K27" s="12">
        <v>44.99530606325068</v>
      </c>
      <c r="L27" s="48">
        <v>44.274466627124283</v>
      </c>
      <c r="M27" s="52">
        <v>45.158734787477485</v>
      </c>
      <c r="N27" s="12">
        <v>49.273253967319832</v>
      </c>
      <c r="O27" s="48">
        <v>51.662998402909452</v>
      </c>
      <c r="Q27" s="51">
        <f>IF(_423_CCCT__2027+_423_CCCT__2028,VLOOKUP($B27,'Table 3 423'!$B$11:$K$41,9,FALSE),IF(_411_CCCT__2028,VLOOKUP($B27,'Table 3 411'!$B$11:$K$41,9,FALSE),VLOOKUP($B27,'Table 3 661'!$B$11:$K$41,9,FALSE)))</f>
        <v>48.84</v>
      </c>
    </row>
    <row r="28" spans="2:17" ht="12.75" customHeight="1" x14ac:dyDescent="0.2">
      <c r="B28" s="58">
        <f t="shared" si="0"/>
        <v>2031</v>
      </c>
      <c r="C28" s="60">
        <v>47.225536572454182</v>
      </c>
      <c r="D28" s="12">
        <v>52.170830097564561</v>
      </c>
      <c r="E28" s="12">
        <v>49.922533073528811</v>
      </c>
      <c r="F28" s="12">
        <v>44.537167291586854</v>
      </c>
      <c r="G28" s="12">
        <v>45.785434945262722</v>
      </c>
      <c r="H28" s="48">
        <v>44.129685672833467</v>
      </c>
      <c r="I28" s="52">
        <v>43.882403366993749</v>
      </c>
      <c r="J28" s="12">
        <v>45.42687770272078</v>
      </c>
      <c r="K28" s="12">
        <v>46.020466980392762</v>
      </c>
      <c r="L28" s="48">
        <v>45.106420350653281</v>
      </c>
      <c r="M28" s="52">
        <v>46.279031223434764</v>
      </c>
      <c r="N28" s="12">
        <v>50.33962643937835</v>
      </c>
      <c r="O28" s="48">
        <v>53.244759412714004</v>
      </c>
      <c r="Q28" s="51">
        <f>IF(_423_CCCT__2027+_423_CCCT__2028,VLOOKUP($B28,'Table 3 423'!$B$11:$K$41,9,FALSE),IF(_411_CCCT__2028,VLOOKUP($B28,'Table 3 411'!$B$11:$K$41,9,FALSE),VLOOKUP($B28,'Table 3 661'!$B$11:$K$41,9,FALSE)))</f>
        <v>49.87</v>
      </c>
    </row>
    <row r="29" spans="2:17" ht="12.75" customHeight="1" x14ac:dyDescent="0.2">
      <c r="B29" s="58">
        <f t="shared" si="0"/>
        <v>2032</v>
      </c>
      <c r="C29" s="60">
        <v>48.48669276489305</v>
      </c>
      <c r="D29" s="12">
        <v>53.388821975648362</v>
      </c>
      <c r="E29" s="12">
        <v>51.145534940501214</v>
      </c>
      <c r="F29" s="12">
        <v>45.940723798388191</v>
      </c>
      <c r="G29" s="12">
        <v>48.351093593137037</v>
      </c>
      <c r="H29" s="48">
        <v>45.154279641207637</v>
      </c>
      <c r="I29" s="52">
        <v>44.83892884820213</v>
      </c>
      <c r="J29" s="12">
        <v>46.542783250475445</v>
      </c>
      <c r="K29" s="12">
        <v>46.919221366223731</v>
      </c>
      <c r="L29" s="48">
        <v>46.520347188234915</v>
      </c>
      <c r="M29" s="52">
        <v>47.423078308506604</v>
      </c>
      <c r="N29" s="12">
        <v>51.472224475490115</v>
      </c>
      <c r="O29" s="48">
        <v>54.225646999051378</v>
      </c>
      <c r="Q29" s="51">
        <f>IF(_423_CCCT__2027+_423_CCCT__2028,VLOOKUP($B29,'Table 3 423'!$B$11:$K$41,9,FALSE),IF(_411_CCCT__2028,VLOOKUP($B29,'Table 3 411'!$B$11:$K$41,9,FALSE),VLOOKUP($B29,'Table 3 661'!$B$11:$K$41,9,FALSE)))</f>
        <v>50.83</v>
      </c>
    </row>
    <row r="30" spans="2:17" ht="12.75" customHeight="1" x14ac:dyDescent="0.2">
      <c r="B30" s="58">
        <f t="shared" si="0"/>
        <v>2033</v>
      </c>
      <c r="C30" s="60">
        <v>49.427681492788317</v>
      </c>
      <c r="D30" s="12">
        <v>54.473837529726978</v>
      </c>
      <c r="E30" s="12">
        <v>52.247804447829054</v>
      </c>
      <c r="F30" s="12">
        <v>46.831800368753868</v>
      </c>
      <c r="G30" s="12">
        <v>49.718436761274937</v>
      </c>
      <c r="H30" s="48">
        <v>46.127092463472728</v>
      </c>
      <c r="I30" s="52">
        <v>45.617320617319514</v>
      </c>
      <c r="J30" s="12">
        <v>47.357024659392657</v>
      </c>
      <c r="K30" s="12">
        <v>47.916888861796437</v>
      </c>
      <c r="L30" s="48">
        <v>47.317030730718884</v>
      </c>
      <c r="M30" s="52">
        <v>48.303179184218735</v>
      </c>
      <c r="N30" s="12">
        <v>52.210484076796796</v>
      </c>
      <c r="O30" s="48">
        <v>55.192339988930328</v>
      </c>
      <c r="Q30" s="51">
        <f>IF(_423_CCCT__2027+_423_CCCT__2028,VLOOKUP($B30,'Table 3 423'!$B$11:$K$41,9,FALSE),IF(_411_CCCT__2028,VLOOKUP($B30,'Table 3 411'!$B$11:$K$41,9,FALSE),VLOOKUP($B30,'Table 3 661'!$B$11:$K$41,9,FALSE)))</f>
        <v>51.86</v>
      </c>
    </row>
    <row r="31" spans="2:17" ht="12.75" customHeight="1" x14ac:dyDescent="0.2">
      <c r="B31" s="59">
        <f t="shared" si="0"/>
        <v>2034</v>
      </c>
      <c r="C31" s="61">
        <v>50.734825601637318</v>
      </c>
      <c r="D31" s="20">
        <v>55.880441697659109</v>
      </c>
      <c r="E31" s="20">
        <v>53.804018360294968</v>
      </c>
      <c r="F31" s="20">
        <v>48.164367376184501</v>
      </c>
      <c r="G31" s="20">
        <v>50.993955023692422</v>
      </c>
      <c r="H31" s="49">
        <v>47.409303823212873</v>
      </c>
      <c r="I31" s="88">
        <v>46.784698605391327</v>
      </c>
      <c r="J31" s="20">
        <v>48.562582881246314</v>
      </c>
      <c r="K31" s="20">
        <v>48.950577718375754</v>
      </c>
      <c r="L31" s="49">
        <v>48.763419284966645</v>
      </c>
      <c r="M31" s="88">
        <v>49.354385355786953</v>
      </c>
      <c r="N31" s="20">
        <v>53.578817750653798</v>
      </c>
      <c r="O31" s="49">
        <v>56.777441488457093</v>
      </c>
      <c r="Q31" s="89">
        <f>IF(_423_CCCT__2027+_423_CCCT__2028,VLOOKUP($B31,'Table 3 423'!$B$11:$K$41,9,FALSE),IF(_411_CCCT__2028,VLOOKUP($B31,'Table 3 411'!$B$11:$K$41,9,FALSE),VLOOKUP($B31,'Table 3 661'!$B$11:$K$41,9,FALSE)))</f>
        <v>52.89</v>
      </c>
    </row>
    <row r="32" spans="2:17" ht="12.75" customHeight="1" x14ac:dyDescent="0.2">
      <c r="D32" s="18"/>
      <c r="E32" s="18"/>
      <c r="F32" s="18"/>
      <c r="M32" s="26"/>
    </row>
    <row r="33" spans="2:17" x14ac:dyDescent="0.2">
      <c r="B33" s="213" t="s">
        <v>104</v>
      </c>
      <c r="C33" s="6" t="s">
        <v>107</v>
      </c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C34" s="6" t="s">
        <v>105</v>
      </c>
    </row>
    <row r="35" spans="2:17" x14ac:dyDescent="0.2">
      <c r="C35" s="6" t="s">
        <v>106</v>
      </c>
    </row>
    <row r="36" spans="2:17" hidden="1" x14ac:dyDescent="0.2">
      <c r="D36" s="9" t="s">
        <v>48</v>
      </c>
    </row>
    <row r="37" spans="2:17" hidden="1" x14ac:dyDescent="0.2">
      <c r="C37" s="50"/>
      <c r="D37" s="55" t="s">
        <v>47</v>
      </c>
    </row>
    <row r="38" spans="2:17" hidden="1" x14ac:dyDescent="0.2"/>
    <row r="39" spans="2:17" hidden="1" x14ac:dyDescent="0.2"/>
    <row r="40" spans="2:17" hidden="1" x14ac:dyDescent="0.2"/>
    <row r="41" spans="2:17" hidden="1" x14ac:dyDescent="0.2"/>
    <row r="42" spans="2:17" hidden="1" x14ac:dyDescent="0.2"/>
    <row r="43" spans="2:17" hidden="1" x14ac:dyDescent="0.2">
      <c r="F43" s="63" t="s">
        <v>49</v>
      </c>
    </row>
    <row r="44" spans="2:17" hidden="1" x14ac:dyDescent="0.2">
      <c r="F44" s="62">
        <v>1.9E-2</v>
      </c>
    </row>
    <row r="46" spans="2:17" x14ac:dyDescent="0.2">
      <c r="C46" s="118"/>
    </row>
    <row r="47" spans="2:17" x14ac:dyDescent="0.2">
      <c r="C47" s="118"/>
    </row>
    <row r="48" spans="2:17" x14ac:dyDescent="0.2">
      <c r="C48" s="118"/>
    </row>
    <row r="49" spans="3:3" x14ac:dyDescent="0.2">
      <c r="C49" s="118"/>
    </row>
    <row r="50" spans="3:3" x14ac:dyDescent="0.2">
      <c r="C50" s="118"/>
    </row>
    <row r="51" spans="3:3" x14ac:dyDescent="0.2">
      <c r="C51" s="118"/>
    </row>
    <row r="52" spans="3:3" x14ac:dyDescent="0.2">
      <c r="C52" s="118"/>
    </row>
  </sheetData>
  <phoneticPr fontId="6" type="noConversion"/>
  <conditionalFormatting sqref="C17:O31">
    <cfRule type="cellIs" dxfId="0" priority="1" stopIfTrue="1" operator="equal">
      <formula>$Q17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O95"/>
  <sheetViews>
    <sheetView topLeftCell="A10" zoomScaleNormal="100" zoomScaleSheetLayoutView="85" workbookViewId="0">
      <selection activeCell="B3" sqref="B3"/>
    </sheetView>
  </sheetViews>
  <sheetFormatPr defaultColWidth="9.33203125" defaultRowHeight="12.75" x14ac:dyDescent="0.2"/>
  <cols>
    <col min="1" max="1" width="2.83203125" style="149" customWidth="1"/>
    <col min="2" max="2" width="10.83203125" style="149" customWidth="1"/>
    <col min="3" max="3" width="14.1640625" style="149" customWidth="1"/>
    <col min="4" max="4" width="12.33203125" style="149" customWidth="1"/>
    <col min="5" max="5" width="9.1640625" style="149" customWidth="1"/>
    <col min="6" max="6" width="10.5" style="149" customWidth="1"/>
    <col min="7" max="7" width="10.5" style="149" bestFit="1" customWidth="1"/>
    <col min="8" max="8" width="11.6640625" style="149" bestFit="1" customWidth="1"/>
    <col min="9" max="9" width="11.1640625" style="149" customWidth="1"/>
    <col min="10" max="10" width="12" style="149" bestFit="1" customWidth="1"/>
    <col min="11" max="11" width="12" style="149" customWidth="1"/>
    <col min="12" max="13" width="9.33203125" style="149"/>
    <col min="14" max="15" width="9.33203125" style="149" customWidth="1"/>
    <col min="16" max="16384" width="9.33203125" style="149"/>
  </cols>
  <sheetData>
    <row r="1" spans="2:14" ht="15.75" x14ac:dyDescent="0.25">
      <c r="B1" s="1" t="s">
        <v>73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4" ht="15.75" x14ac:dyDescent="0.25">
      <c r="B2" s="1"/>
      <c r="C2" s="148"/>
      <c r="D2" s="148"/>
      <c r="E2" s="148"/>
      <c r="F2" s="148"/>
      <c r="G2" s="148"/>
      <c r="H2" s="148"/>
      <c r="I2" s="148"/>
      <c r="J2" s="148"/>
      <c r="K2" s="148"/>
    </row>
    <row r="3" spans="2:14" ht="15.75" x14ac:dyDescent="0.25">
      <c r="B3" s="1" t="s">
        <v>117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4" ht="15.75" x14ac:dyDescent="0.25">
      <c r="B4" s="1" t="s">
        <v>102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4" ht="15.75" x14ac:dyDescent="0.25">
      <c r="B5" s="1" t="str">
        <f>C54</f>
        <v>423 MW - CCCT Dry "J", Adv 1x1 - East Side Resource (5,050')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2:14" ht="15.75" x14ac:dyDescent="0.25">
      <c r="B6" s="1"/>
      <c r="C6" s="148"/>
      <c r="D6" s="148"/>
      <c r="E6" s="148"/>
      <c r="F6" s="148"/>
      <c r="G6" s="148"/>
      <c r="H6" s="148"/>
      <c r="I6" s="148"/>
      <c r="K6" s="64"/>
    </row>
    <row r="7" spans="2:14" x14ac:dyDescent="0.2">
      <c r="B7" s="150"/>
      <c r="C7" s="150"/>
      <c r="D7" s="150"/>
      <c r="E7" s="150"/>
      <c r="F7" s="150"/>
      <c r="G7" s="150"/>
      <c r="H7" s="150"/>
      <c r="I7" s="148"/>
      <c r="J7" s="151"/>
      <c r="K7" s="151"/>
      <c r="L7" s="151"/>
      <c r="M7" s="151"/>
      <c r="N7" s="151"/>
    </row>
    <row r="8" spans="2:14" ht="51.75" customHeight="1" x14ac:dyDescent="0.2">
      <c r="B8" s="65" t="s">
        <v>0</v>
      </c>
      <c r="C8" s="66" t="s">
        <v>10</v>
      </c>
      <c r="D8" s="66" t="s">
        <v>11</v>
      </c>
      <c r="E8" s="66" t="s">
        <v>12</v>
      </c>
      <c r="F8" s="66" t="s">
        <v>13</v>
      </c>
      <c r="G8" s="66" t="s">
        <v>14</v>
      </c>
      <c r="H8" s="66" t="s">
        <v>15</v>
      </c>
      <c r="I8" s="67" t="s">
        <v>41</v>
      </c>
      <c r="J8" s="67" t="s">
        <v>85</v>
      </c>
      <c r="K8" s="66" t="s">
        <v>86</v>
      </c>
      <c r="L8" s="151"/>
    </row>
    <row r="9" spans="2:14" ht="18.75" customHeight="1" x14ac:dyDescent="0.2">
      <c r="B9" s="68"/>
      <c r="C9" s="69" t="s">
        <v>8</v>
      </c>
      <c r="D9" s="70" t="s">
        <v>9</v>
      </c>
      <c r="E9" s="70" t="s">
        <v>9</v>
      </c>
      <c r="F9" s="69" t="s">
        <v>59</v>
      </c>
      <c r="G9" s="70" t="s">
        <v>9</v>
      </c>
      <c r="H9" s="70" t="s">
        <v>9</v>
      </c>
      <c r="I9" s="70" t="s">
        <v>42</v>
      </c>
      <c r="J9" s="69" t="s">
        <v>59</v>
      </c>
      <c r="K9" s="69" t="s">
        <v>59</v>
      </c>
      <c r="L9" s="151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50</v>
      </c>
    </row>
    <row r="11" spans="2:14" ht="6" customHeight="1" x14ac:dyDescent="0.2"/>
    <row r="12" spans="2:14" ht="15.75" x14ac:dyDescent="0.25">
      <c r="B12" s="109" t="str">
        <f>C54</f>
        <v>423 MW - CCCT Dry "J", Adv 1x1 - East Side Resource (5,050')</v>
      </c>
      <c r="C12" s="151"/>
      <c r="E12" s="151"/>
      <c r="F12" s="151"/>
      <c r="G12" s="151"/>
      <c r="H12" s="151"/>
      <c r="I12" s="150"/>
      <c r="J12" s="150"/>
      <c r="K12" s="150"/>
      <c r="L12" s="151"/>
    </row>
    <row r="13" spans="2:14" ht="4.5" customHeight="1" x14ac:dyDescent="0.2">
      <c r="B13" s="152"/>
      <c r="C13" s="153"/>
      <c r="D13" s="154"/>
      <c r="E13" s="155"/>
      <c r="F13" s="155"/>
      <c r="G13" s="156"/>
      <c r="H13" s="156"/>
      <c r="I13" s="156"/>
      <c r="J13" s="156"/>
      <c r="K13" s="156"/>
    </row>
    <row r="14" spans="2:14" x14ac:dyDescent="0.2">
      <c r="B14" s="152">
        <v>2012</v>
      </c>
      <c r="C14" s="153">
        <f>$H$60</f>
        <v>1015</v>
      </c>
      <c r="D14" s="154">
        <f>ROUND(C14*$C$76,2)</f>
        <v>80.040000000000006</v>
      </c>
      <c r="E14" s="155">
        <f>$I$60</f>
        <v>24.78</v>
      </c>
      <c r="F14" s="155">
        <f>$J$65</f>
        <v>2.64</v>
      </c>
      <c r="G14" s="156">
        <f t="shared" ref="G14:G42" si="0">ROUND(F14*(8.76*$G$65)+E14,2)</f>
        <v>36.78</v>
      </c>
      <c r="H14" s="156">
        <f t="shared" ref="H14:H42" si="1">ROUND(D14+G14,2)</f>
        <v>116.82</v>
      </c>
      <c r="I14" s="156"/>
      <c r="J14" s="156"/>
      <c r="K14" s="156"/>
    </row>
    <row r="15" spans="2:14" x14ac:dyDescent="0.2">
      <c r="B15" s="152">
        <f t="shared" ref="B15:B42" si="2">B14+1</f>
        <v>2013</v>
      </c>
      <c r="C15" s="157"/>
      <c r="D15" s="154">
        <f t="shared" ref="D15:F22" si="3">ROUND(D14*(1+$D84),2)</f>
        <v>81.16</v>
      </c>
      <c r="E15" s="154">
        <f t="shared" si="3"/>
        <v>25.13</v>
      </c>
      <c r="F15" s="154">
        <f t="shared" si="3"/>
        <v>2.68</v>
      </c>
      <c r="G15" s="158">
        <f t="shared" si="0"/>
        <v>37.31</v>
      </c>
      <c r="H15" s="158">
        <f t="shared" si="1"/>
        <v>118.47</v>
      </c>
      <c r="I15" s="156"/>
      <c r="J15" s="156"/>
      <c r="K15" s="156"/>
    </row>
    <row r="16" spans="2:14" x14ac:dyDescent="0.2">
      <c r="B16" s="152">
        <f t="shared" si="2"/>
        <v>2014</v>
      </c>
      <c r="C16" s="157"/>
      <c r="D16" s="154">
        <f t="shared" si="3"/>
        <v>82.54</v>
      </c>
      <c r="E16" s="154">
        <f t="shared" si="3"/>
        <v>25.56</v>
      </c>
      <c r="F16" s="154">
        <f t="shared" si="3"/>
        <v>2.73</v>
      </c>
      <c r="G16" s="156">
        <f t="shared" si="0"/>
        <v>37.97</v>
      </c>
      <c r="H16" s="156">
        <f t="shared" si="1"/>
        <v>120.51</v>
      </c>
      <c r="I16" s="156"/>
      <c r="J16" s="156"/>
      <c r="K16" s="156"/>
    </row>
    <row r="17" spans="2:11" x14ac:dyDescent="0.2">
      <c r="B17" s="152">
        <f t="shared" si="2"/>
        <v>2015</v>
      </c>
      <c r="C17" s="157"/>
      <c r="D17" s="158">
        <f t="shared" si="3"/>
        <v>84.03</v>
      </c>
      <c r="E17" s="158">
        <f t="shared" si="3"/>
        <v>26.02</v>
      </c>
      <c r="F17" s="158">
        <f t="shared" si="3"/>
        <v>2.78</v>
      </c>
      <c r="G17" s="156">
        <f t="shared" si="0"/>
        <v>38.659999999999997</v>
      </c>
      <c r="H17" s="156">
        <f t="shared" si="1"/>
        <v>122.69</v>
      </c>
      <c r="I17" s="156"/>
      <c r="J17" s="156"/>
      <c r="K17" s="156"/>
    </row>
    <row r="18" spans="2:11" x14ac:dyDescent="0.2">
      <c r="B18" s="152">
        <f t="shared" si="2"/>
        <v>2016</v>
      </c>
      <c r="C18" s="157"/>
      <c r="D18" s="158">
        <f t="shared" si="3"/>
        <v>85.29</v>
      </c>
      <c r="E18" s="158">
        <f t="shared" si="3"/>
        <v>26.41</v>
      </c>
      <c r="F18" s="158">
        <f t="shared" si="3"/>
        <v>2.82</v>
      </c>
      <c r="G18" s="156">
        <f t="shared" si="0"/>
        <v>39.229999999999997</v>
      </c>
      <c r="H18" s="156">
        <f t="shared" si="1"/>
        <v>124.52</v>
      </c>
      <c r="I18" s="156"/>
      <c r="J18" s="156"/>
      <c r="K18" s="156"/>
    </row>
    <row r="19" spans="2:11" x14ac:dyDescent="0.2">
      <c r="B19" s="152">
        <f t="shared" si="2"/>
        <v>2017</v>
      </c>
      <c r="C19" s="157"/>
      <c r="D19" s="158">
        <f t="shared" si="3"/>
        <v>86.83</v>
      </c>
      <c r="E19" s="158">
        <f t="shared" si="3"/>
        <v>26.89</v>
      </c>
      <c r="F19" s="158">
        <f t="shared" si="3"/>
        <v>2.87</v>
      </c>
      <c r="G19" s="156">
        <f t="shared" si="0"/>
        <v>39.94</v>
      </c>
      <c r="H19" s="156">
        <f t="shared" si="1"/>
        <v>126.77</v>
      </c>
      <c r="I19" s="156"/>
      <c r="J19" s="156"/>
      <c r="K19" s="156"/>
    </row>
    <row r="20" spans="2:11" x14ac:dyDescent="0.2">
      <c r="B20" s="152">
        <f t="shared" si="2"/>
        <v>2018</v>
      </c>
      <c r="C20" s="157"/>
      <c r="D20" s="158">
        <f t="shared" si="3"/>
        <v>88.48</v>
      </c>
      <c r="E20" s="158">
        <f t="shared" si="3"/>
        <v>27.4</v>
      </c>
      <c r="F20" s="158">
        <f t="shared" si="3"/>
        <v>2.92</v>
      </c>
      <c r="G20" s="156">
        <f t="shared" si="0"/>
        <v>40.68</v>
      </c>
      <c r="H20" s="156">
        <f t="shared" si="1"/>
        <v>129.16</v>
      </c>
      <c r="I20" s="156"/>
      <c r="J20" s="156"/>
      <c r="K20" s="156"/>
    </row>
    <row r="21" spans="2:11" x14ac:dyDescent="0.2">
      <c r="B21" s="152">
        <f t="shared" si="2"/>
        <v>2019</v>
      </c>
      <c r="C21" s="157"/>
      <c r="D21" s="158">
        <f t="shared" si="3"/>
        <v>90.07</v>
      </c>
      <c r="E21" s="158">
        <f t="shared" si="3"/>
        <v>27.89</v>
      </c>
      <c r="F21" s="158">
        <f t="shared" si="3"/>
        <v>2.97</v>
      </c>
      <c r="G21" s="156">
        <f t="shared" si="0"/>
        <v>41.39</v>
      </c>
      <c r="H21" s="156">
        <f t="shared" si="1"/>
        <v>131.46</v>
      </c>
      <c r="I21" s="156"/>
      <c r="J21" s="156"/>
      <c r="K21" s="156"/>
    </row>
    <row r="22" spans="2:11" x14ac:dyDescent="0.2">
      <c r="B22" s="152">
        <f t="shared" si="2"/>
        <v>2020</v>
      </c>
      <c r="C22" s="157"/>
      <c r="D22" s="158">
        <f t="shared" si="3"/>
        <v>91.78</v>
      </c>
      <c r="E22" s="158">
        <f t="shared" si="3"/>
        <v>28.42</v>
      </c>
      <c r="F22" s="158">
        <f t="shared" si="3"/>
        <v>3.03</v>
      </c>
      <c r="G22" s="156">
        <f t="shared" si="0"/>
        <v>42.2</v>
      </c>
      <c r="H22" s="156">
        <f t="shared" si="1"/>
        <v>133.97999999999999</v>
      </c>
      <c r="I22" s="156"/>
      <c r="J22" s="156"/>
      <c r="K22" s="156"/>
    </row>
    <row r="23" spans="2:11" x14ac:dyDescent="0.2">
      <c r="B23" s="152">
        <f t="shared" si="2"/>
        <v>2021</v>
      </c>
      <c r="C23" s="157"/>
      <c r="D23" s="158">
        <f t="shared" ref="D23:F31" si="4">ROUND(D22*(1+$G83),2)</f>
        <v>93.62</v>
      </c>
      <c r="E23" s="158">
        <f t="shared" si="4"/>
        <v>28.99</v>
      </c>
      <c r="F23" s="158">
        <f t="shared" si="4"/>
        <v>3.09</v>
      </c>
      <c r="G23" s="156">
        <f t="shared" si="0"/>
        <v>43.04</v>
      </c>
      <c r="H23" s="156">
        <f t="shared" si="1"/>
        <v>136.66</v>
      </c>
      <c r="I23" s="156"/>
      <c r="J23" s="156"/>
      <c r="K23" s="156"/>
    </row>
    <row r="24" spans="2:11" x14ac:dyDescent="0.2">
      <c r="B24" s="152">
        <f t="shared" si="2"/>
        <v>2022</v>
      </c>
      <c r="C24" s="157"/>
      <c r="D24" s="158">
        <f t="shared" si="4"/>
        <v>95.49</v>
      </c>
      <c r="E24" s="158">
        <f t="shared" si="4"/>
        <v>29.57</v>
      </c>
      <c r="F24" s="158">
        <f t="shared" si="4"/>
        <v>3.15</v>
      </c>
      <c r="G24" s="156">
        <f t="shared" si="0"/>
        <v>43.89</v>
      </c>
      <c r="H24" s="156">
        <f t="shared" si="1"/>
        <v>139.38</v>
      </c>
      <c r="I24" s="156"/>
      <c r="J24" s="156"/>
      <c r="K24" s="156"/>
    </row>
    <row r="25" spans="2:11" x14ac:dyDescent="0.2">
      <c r="B25" s="152">
        <f t="shared" si="2"/>
        <v>2023</v>
      </c>
      <c r="C25" s="157"/>
      <c r="D25" s="158">
        <f t="shared" si="4"/>
        <v>97.4</v>
      </c>
      <c r="E25" s="158">
        <f t="shared" si="4"/>
        <v>30.16</v>
      </c>
      <c r="F25" s="158">
        <f t="shared" si="4"/>
        <v>3.21</v>
      </c>
      <c r="G25" s="156">
        <f t="shared" si="0"/>
        <v>44.75</v>
      </c>
      <c r="H25" s="156">
        <f t="shared" si="1"/>
        <v>142.15</v>
      </c>
      <c r="I25" s="156"/>
      <c r="J25" s="156"/>
      <c r="K25" s="156"/>
    </row>
    <row r="26" spans="2:11" x14ac:dyDescent="0.2">
      <c r="B26" s="152">
        <f t="shared" si="2"/>
        <v>2024</v>
      </c>
      <c r="C26" s="157"/>
      <c r="D26" s="158">
        <f t="shared" si="4"/>
        <v>99.45</v>
      </c>
      <c r="E26" s="158">
        <f t="shared" si="4"/>
        <v>30.79</v>
      </c>
      <c r="F26" s="158">
        <f t="shared" si="4"/>
        <v>3.28</v>
      </c>
      <c r="G26" s="156">
        <f t="shared" si="0"/>
        <v>45.7</v>
      </c>
      <c r="H26" s="156">
        <f t="shared" si="1"/>
        <v>145.15</v>
      </c>
      <c r="I26" s="156"/>
      <c r="J26" s="156"/>
      <c r="K26" s="156"/>
    </row>
    <row r="27" spans="2:11" x14ac:dyDescent="0.2">
      <c r="B27" s="152">
        <f t="shared" si="2"/>
        <v>2025</v>
      </c>
      <c r="C27" s="157"/>
      <c r="D27" s="158">
        <f t="shared" si="4"/>
        <v>101.44</v>
      </c>
      <c r="E27" s="158">
        <f t="shared" si="4"/>
        <v>31.41</v>
      </c>
      <c r="F27" s="158">
        <f t="shared" si="4"/>
        <v>3.35</v>
      </c>
      <c r="G27" s="156">
        <f t="shared" si="0"/>
        <v>46.64</v>
      </c>
      <c r="H27" s="156">
        <f t="shared" si="1"/>
        <v>148.08000000000001</v>
      </c>
      <c r="I27" s="156"/>
      <c r="J27" s="156"/>
      <c r="K27" s="156"/>
    </row>
    <row r="28" spans="2:11" ht="13.5" thickBot="1" x14ac:dyDescent="0.25">
      <c r="B28" s="152">
        <f t="shared" si="2"/>
        <v>2026</v>
      </c>
      <c r="C28" s="157"/>
      <c r="D28" s="218">
        <f t="shared" si="4"/>
        <v>103.47</v>
      </c>
      <c r="E28" s="218">
        <f t="shared" si="4"/>
        <v>32.04</v>
      </c>
      <c r="F28" s="218">
        <f t="shared" si="4"/>
        <v>3.42</v>
      </c>
      <c r="G28" s="189">
        <f t="shared" si="0"/>
        <v>47.59</v>
      </c>
      <c r="H28" s="189">
        <f t="shared" si="1"/>
        <v>151.06</v>
      </c>
      <c r="I28" s="189"/>
      <c r="J28" s="189"/>
      <c r="K28" s="189"/>
    </row>
    <row r="29" spans="2:11" s="193" customFormat="1" x14ac:dyDescent="0.2">
      <c r="B29" s="196">
        <f t="shared" si="2"/>
        <v>2027</v>
      </c>
      <c r="C29" s="197"/>
      <c r="D29" s="191">
        <f t="shared" si="4"/>
        <v>105.54</v>
      </c>
      <c r="E29" s="191">
        <f t="shared" si="4"/>
        <v>32.68</v>
      </c>
      <c r="F29" s="191">
        <f t="shared" si="4"/>
        <v>3.49</v>
      </c>
      <c r="G29" s="191">
        <f t="shared" si="0"/>
        <v>48.55</v>
      </c>
      <c r="H29" s="191">
        <f t="shared" si="1"/>
        <v>154.09</v>
      </c>
      <c r="I29" s="156">
        <f>VLOOKUP(B29,'Table 4'!$B$13:$C$38,2,FALSE)</f>
        <v>6.3</v>
      </c>
      <c r="J29" s="156">
        <f t="shared" ref="J29:J42" si="5">ROUND($K$65*I29/1000,2)</f>
        <v>41.33</v>
      </c>
      <c r="K29" s="156">
        <f t="shared" ref="K29:K42" si="6">ROUND(H29*1000/8760/$G$65+J29,2)</f>
        <v>75.22</v>
      </c>
    </row>
    <row r="30" spans="2:11" s="193" customFormat="1" x14ac:dyDescent="0.2">
      <c r="B30" s="196">
        <f t="shared" si="2"/>
        <v>2028</v>
      </c>
      <c r="C30" s="197"/>
      <c r="D30" s="191">
        <f t="shared" si="4"/>
        <v>107.55</v>
      </c>
      <c r="E30" s="191">
        <f t="shared" si="4"/>
        <v>33.299999999999997</v>
      </c>
      <c r="F30" s="191">
        <f t="shared" si="4"/>
        <v>3.56</v>
      </c>
      <c r="G30" s="191">
        <f>ROUND(F30*(8.76*$G$65)+E30,2)</f>
        <v>49.49</v>
      </c>
      <c r="H30" s="191">
        <f t="shared" si="1"/>
        <v>157.04</v>
      </c>
      <c r="I30" s="156">
        <f>VLOOKUP(B30,'Table 4'!$B$13:$C$38,2,FALSE)</f>
        <v>6.54</v>
      </c>
      <c r="J30" s="156">
        <f t="shared" si="5"/>
        <v>42.9</v>
      </c>
      <c r="K30" s="156">
        <f t="shared" si="6"/>
        <v>77.44</v>
      </c>
    </row>
    <row r="31" spans="2:11" s="193" customFormat="1" x14ac:dyDescent="0.2">
      <c r="B31" s="196">
        <f t="shared" si="2"/>
        <v>2029</v>
      </c>
      <c r="C31" s="197"/>
      <c r="D31" s="191">
        <f t="shared" si="4"/>
        <v>109.59</v>
      </c>
      <c r="E31" s="191">
        <f t="shared" si="4"/>
        <v>33.93</v>
      </c>
      <c r="F31" s="191">
        <f t="shared" si="4"/>
        <v>3.63</v>
      </c>
      <c r="G31" s="191">
        <f t="shared" si="0"/>
        <v>50.43</v>
      </c>
      <c r="H31" s="191">
        <f t="shared" si="1"/>
        <v>160.02000000000001</v>
      </c>
      <c r="I31" s="156">
        <f>VLOOKUP(B31,'Table 4'!$B$13:$C$38,2,FALSE)</f>
        <v>6.83</v>
      </c>
      <c r="J31" s="156">
        <f t="shared" si="5"/>
        <v>44.8</v>
      </c>
      <c r="K31" s="156">
        <f t="shared" si="6"/>
        <v>80</v>
      </c>
    </row>
    <row r="32" spans="2:11" s="193" customFormat="1" x14ac:dyDescent="0.2">
      <c r="B32" s="196">
        <f t="shared" si="2"/>
        <v>2030</v>
      </c>
      <c r="C32" s="197"/>
      <c r="D32" s="191">
        <f t="shared" ref="D32:F42" si="7">ROUND(D31*(1+$J83),2)</f>
        <v>111.67</v>
      </c>
      <c r="E32" s="191">
        <f t="shared" si="7"/>
        <v>34.57</v>
      </c>
      <c r="F32" s="191">
        <f t="shared" si="7"/>
        <v>3.7</v>
      </c>
      <c r="G32" s="191">
        <f t="shared" si="0"/>
        <v>51.39</v>
      </c>
      <c r="H32" s="191">
        <f t="shared" si="1"/>
        <v>163.06</v>
      </c>
      <c r="I32" s="156">
        <f>VLOOKUP(B32,'Table 4'!$B$13:$C$38,2,FALSE)</f>
        <v>7.12</v>
      </c>
      <c r="J32" s="156">
        <f t="shared" si="5"/>
        <v>46.71</v>
      </c>
      <c r="K32" s="156">
        <f t="shared" si="6"/>
        <v>82.58</v>
      </c>
    </row>
    <row r="33" spans="2:15" x14ac:dyDescent="0.2">
      <c r="B33" s="152">
        <f t="shared" si="2"/>
        <v>2031</v>
      </c>
      <c r="C33" s="157"/>
      <c r="D33" s="156">
        <f t="shared" si="7"/>
        <v>113.79</v>
      </c>
      <c r="E33" s="154">
        <f t="shared" si="7"/>
        <v>35.229999999999997</v>
      </c>
      <c r="F33" s="154">
        <f t="shared" si="7"/>
        <v>3.77</v>
      </c>
      <c r="G33" s="156">
        <f t="shared" si="0"/>
        <v>52.37</v>
      </c>
      <c r="H33" s="156">
        <f t="shared" si="1"/>
        <v>166.16</v>
      </c>
      <c r="I33" s="156">
        <f>VLOOKUP(B33,'Table 4'!$B$13:$C$38,2,FALSE)</f>
        <v>7.27</v>
      </c>
      <c r="J33" s="156">
        <f t="shared" si="5"/>
        <v>47.69</v>
      </c>
      <c r="K33" s="156">
        <f t="shared" si="6"/>
        <v>84.24</v>
      </c>
    </row>
    <row r="34" spans="2:15" x14ac:dyDescent="0.2">
      <c r="B34" s="152">
        <f t="shared" si="2"/>
        <v>2032</v>
      </c>
      <c r="C34" s="157"/>
      <c r="D34" s="156">
        <f t="shared" si="7"/>
        <v>115.95</v>
      </c>
      <c r="E34" s="154">
        <f t="shared" si="7"/>
        <v>35.9</v>
      </c>
      <c r="F34" s="154">
        <f t="shared" si="7"/>
        <v>3.84</v>
      </c>
      <c r="G34" s="156">
        <f t="shared" si="0"/>
        <v>53.36</v>
      </c>
      <c r="H34" s="156">
        <f t="shared" si="1"/>
        <v>169.31</v>
      </c>
      <c r="I34" s="156">
        <f>VLOOKUP(B34,'Table 4'!$B$13:$C$38,2,FALSE)</f>
        <v>7.41</v>
      </c>
      <c r="J34" s="156">
        <f t="shared" si="5"/>
        <v>48.61</v>
      </c>
      <c r="K34" s="156">
        <f t="shared" si="6"/>
        <v>85.85</v>
      </c>
    </row>
    <row r="35" spans="2:15" x14ac:dyDescent="0.2">
      <c r="B35" s="152">
        <f t="shared" si="2"/>
        <v>2033</v>
      </c>
      <c r="C35" s="157"/>
      <c r="D35" s="156">
        <f t="shared" si="7"/>
        <v>118.27</v>
      </c>
      <c r="E35" s="154">
        <f t="shared" si="7"/>
        <v>36.619999999999997</v>
      </c>
      <c r="F35" s="154">
        <f t="shared" si="7"/>
        <v>3.92</v>
      </c>
      <c r="G35" s="156">
        <f t="shared" si="0"/>
        <v>54.44</v>
      </c>
      <c r="H35" s="156">
        <f t="shared" si="1"/>
        <v>172.71</v>
      </c>
      <c r="I35" s="156">
        <f>VLOOKUP(B35,'Table 4'!$B$13:$C$38,2,FALSE)</f>
        <v>7.56</v>
      </c>
      <c r="J35" s="156">
        <f t="shared" si="5"/>
        <v>49.59</v>
      </c>
      <c r="K35" s="156">
        <f t="shared" si="6"/>
        <v>87.58</v>
      </c>
    </row>
    <row r="36" spans="2:15" x14ac:dyDescent="0.2">
      <c r="B36" s="152">
        <f t="shared" si="2"/>
        <v>2034</v>
      </c>
      <c r="C36" s="157"/>
      <c r="D36" s="156">
        <f t="shared" si="7"/>
        <v>120.52</v>
      </c>
      <c r="E36" s="154">
        <f t="shared" si="7"/>
        <v>37.32</v>
      </c>
      <c r="F36" s="154">
        <f t="shared" si="7"/>
        <v>3.99</v>
      </c>
      <c r="G36" s="156">
        <f t="shared" si="0"/>
        <v>55.46</v>
      </c>
      <c r="H36" s="156">
        <f t="shared" si="1"/>
        <v>175.98</v>
      </c>
      <c r="I36" s="156">
        <f>VLOOKUP(B36,'Table 4'!$B$13:$C$38,2,FALSE)</f>
        <v>7.71</v>
      </c>
      <c r="J36" s="156">
        <f t="shared" si="5"/>
        <v>50.58</v>
      </c>
      <c r="K36" s="156">
        <f t="shared" si="6"/>
        <v>89.29</v>
      </c>
    </row>
    <row r="37" spans="2:15" x14ac:dyDescent="0.2">
      <c r="B37" s="152">
        <f t="shared" si="2"/>
        <v>2035</v>
      </c>
      <c r="C37" s="157"/>
      <c r="D37" s="156">
        <f t="shared" si="7"/>
        <v>122.93</v>
      </c>
      <c r="E37" s="154">
        <f t="shared" si="7"/>
        <v>38.07</v>
      </c>
      <c r="F37" s="154">
        <f t="shared" si="7"/>
        <v>4.07</v>
      </c>
      <c r="G37" s="156">
        <f t="shared" si="0"/>
        <v>56.57</v>
      </c>
      <c r="H37" s="156">
        <f t="shared" si="1"/>
        <v>179.5</v>
      </c>
      <c r="I37" s="156">
        <f>VLOOKUP(B37,'Table 4'!$B$13:$C$38,2,FALSE)</f>
        <v>7.86</v>
      </c>
      <c r="J37" s="156">
        <f t="shared" si="5"/>
        <v>51.56</v>
      </c>
      <c r="K37" s="156">
        <f t="shared" si="6"/>
        <v>91.04</v>
      </c>
    </row>
    <row r="38" spans="2:15" x14ac:dyDescent="0.2">
      <c r="B38" s="152">
        <f t="shared" si="2"/>
        <v>2036</v>
      </c>
      <c r="C38" s="157"/>
      <c r="D38" s="156">
        <f t="shared" si="7"/>
        <v>125.39</v>
      </c>
      <c r="E38" s="154">
        <f t="shared" si="7"/>
        <v>38.83</v>
      </c>
      <c r="F38" s="154">
        <f t="shared" si="7"/>
        <v>4.1500000000000004</v>
      </c>
      <c r="G38" s="156">
        <f t="shared" si="0"/>
        <v>57.7</v>
      </c>
      <c r="H38" s="156">
        <f t="shared" si="1"/>
        <v>183.09</v>
      </c>
      <c r="I38" s="156">
        <f>VLOOKUP(B38,'Table 4'!$B$13:$C$38,2,FALSE)</f>
        <v>8.0299999999999994</v>
      </c>
      <c r="J38" s="156">
        <f t="shared" si="5"/>
        <v>52.68</v>
      </c>
      <c r="K38" s="156">
        <f t="shared" si="6"/>
        <v>92.95</v>
      </c>
    </row>
    <row r="39" spans="2:15" x14ac:dyDescent="0.2">
      <c r="B39" s="152">
        <f t="shared" si="2"/>
        <v>2037</v>
      </c>
      <c r="C39" s="157"/>
      <c r="D39" s="156">
        <f t="shared" si="7"/>
        <v>127.9</v>
      </c>
      <c r="E39" s="154">
        <f t="shared" si="7"/>
        <v>39.61</v>
      </c>
      <c r="F39" s="154">
        <f t="shared" si="7"/>
        <v>4.2300000000000004</v>
      </c>
      <c r="G39" s="156">
        <f t="shared" si="0"/>
        <v>58.84</v>
      </c>
      <c r="H39" s="156">
        <f t="shared" si="1"/>
        <v>186.74</v>
      </c>
      <c r="I39" s="156">
        <f>VLOOKUP(B39,'Table 4'!$B$13:$C$38,2,FALSE)</f>
        <v>8.1999999999999993</v>
      </c>
      <c r="J39" s="156">
        <f t="shared" si="5"/>
        <v>53.79</v>
      </c>
      <c r="K39" s="156">
        <f t="shared" si="6"/>
        <v>94.86</v>
      </c>
    </row>
    <row r="40" spans="2:15" x14ac:dyDescent="0.2">
      <c r="B40" s="152">
        <f t="shared" si="2"/>
        <v>2038</v>
      </c>
      <c r="C40" s="157"/>
      <c r="D40" s="156">
        <f t="shared" si="7"/>
        <v>130.46</v>
      </c>
      <c r="E40" s="154">
        <f t="shared" si="7"/>
        <v>40.4</v>
      </c>
      <c r="F40" s="154">
        <f t="shared" si="7"/>
        <v>4.3099999999999996</v>
      </c>
      <c r="G40" s="156">
        <f t="shared" si="0"/>
        <v>60</v>
      </c>
      <c r="H40" s="156">
        <f t="shared" si="1"/>
        <v>190.46</v>
      </c>
      <c r="I40" s="156">
        <f>VLOOKUP(B40,'Table 4'!$B$13:$C$38,2,FALSE)</f>
        <v>8.3699999999999992</v>
      </c>
      <c r="J40" s="156">
        <f t="shared" si="5"/>
        <v>54.91</v>
      </c>
      <c r="K40" s="156">
        <f t="shared" si="6"/>
        <v>96.8</v>
      </c>
    </row>
    <row r="41" spans="2:15" hidden="1" x14ac:dyDescent="0.2">
      <c r="B41" s="152">
        <f t="shared" si="2"/>
        <v>2039</v>
      </c>
      <c r="C41" s="157"/>
      <c r="D41" s="156">
        <f t="shared" si="7"/>
        <v>133.07</v>
      </c>
      <c r="E41" s="154">
        <f t="shared" si="7"/>
        <v>41.21</v>
      </c>
      <c r="F41" s="154">
        <f t="shared" si="7"/>
        <v>4.4000000000000004</v>
      </c>
      <c r="G41" s="156">
        <f t="shared" si="0"/>
        <v>61.21</v>
      </c>
      <c r="H41" s="156">
        <f t="shared" si="1"/>
        <v>194.28</v>
      </c>
      <c r="I41" s="156" t="e">
        <f>VLOOKUP(B41,'Table 4'!$B$13:$C$38,2,FALSE)</f>
        <v>#N/A</v>
      </c>
      <c r="J41" s="156" t="e">
        <f t="shared" si="5"/>
        <v>#N/A</v>
      </c>
      <c r="K41" s="156" t="e">
        <f t="shared" si="6"/>
        <v>#N/A</v>
      </c>
    </row>
    <row r="42" spans="2:15" hidden="1" x14ac:dyDescent="0.2">
      <c r="B42" s="152">
        <f t="shared" si="2"/>
        <v>2040</v>
      </c>
      <c r="C42" s="157"/>
      <c r="D42" s="156">
        <f t="shared" si="7"/>
        <v>135.72999999999999</v>
      </c>
      <c r="E42" s="154">
        <f t="shared" si="7"/>
        <v>42.03</v>
      </c>
      <c r="F42" s="154">
        <f t="shared" si="7"/>
        <v>4.49</v>
      </c>
      <c r="G42" s="156">
        <f t="shared" si="0"/>
        <v>62.44</v>
      </c>
      <c r="H42" s="156">
        <f t="shared" si="1"/>
        <v>198.17</v>
      </c>
      <c r="I42" s="156" t="e">
        <f>VLOOKUP(B42,'Table 4'!$B$13:$C$38,2,FALSE)</f>
        <v>#N/A</v>
      </c>
      <c r="J42" s="156" t="e">
        <f t="shared" si="5"/>
        <v>#N/A</v>
      </c>
      <c r="K42" s="156" t="e">
        <f t="shared" si="6"/>
        <v>#N/A</v>
      </c>
    </row>
    <row r="43" spans="2:15" x14ac:dyDescent="0.2">
      <c r="M43" s="152"/>
      <c r="O43" s="159"/>
    </row>
    <row r="44" spans="2:15" ht="14.25" x14ac:dyDescent="0.2">
      <c r="B44" s="7" t="s">
        <v>51</v>
      </c>
      <c r="C44" s="71"/>
      <c r="D44" s="71"/>
      <c r="E44" s="71"/>
      <c r="F44" s="71"/>
      <c r="G44" s="71"/>
      <c r="H44" s="71"/>
      <c r="I44" s="71"/>
      <c r="J44" s="71"/>
      <c r="K44" s="71"/>
      <c r="M44" s="152"/>
      <c r="N44" s="159"/>
      <c r="O44" s="159"/>
    </row>
    <row r="46" spans="2:15" x14ac:dyDescent="0.2">
      <c r="B46" s="149" t="s">
        <v>30</v>
      </c>
      <c r="D46" s="160" t="s">
        <v>100</v>
      </c>
    </row>
    <row r="47" spans="2:15" x14ac:dyDescent="0.2">
      <c r="C47" s="161" t="str">
        <f>D10</f>
        <v>(b)</v>
      </c>
      <c r="D47" s="156" t="str">
        <f>"= "&amp;C10&amp;" x "&amp;C76</f>
        <v>= (a) x 0.07886</v>
      </c>
    </row>
    <row r="48" spans="2:15" x14ac:dyDescent="0.2">
      <c r="C48" s="161" t="str">
        <f>G10</f>
        <v>(e)</v>
      </c>
      <c r="D48" s="156" t="str">
        <f>"= "&amp;$F$10&amp;" x  (8.76 x "&amp;TEXT(G65,"0.0%")&amp;") + "&amp;$E$10</f>
        <v>= (d) x  (8.76 x 51.9%) + (c)</v>
      </c>
    </row>
    <row r="49" spans="3:11" x14ac:dyDescent="0.2">
      <c r="C49" s="161" t="str">
        <f>H10</f>
        <v>(f)</v>
      </c>
      <c r="D49" s="156" t="str">
        <f>"= "&amp;D10&amp;" + "&amp;G10</f>
        <v>= (b) + (e)</v>
      </c>
    </row>
    <row r="50" spans="3:11" x14ac:dyDescent="0.2">
      <c r="C50" s="161" t="str">
        <f>I10</f>
        <v>(g)</v>
      </c>
      <c r="D50" s="192" t="str">
        <f>'Table 4'!B3&amp;" - "&amp;'Table 4'!B4</f>
        <v>Table 4 - Burnertip Natural Gas Price Forecast</v>
      </c>
    </row>
    <row r="51" spans="3:11" x14ac:dyDescent="0.2">
      <c r="C51" s="161" t="str">
        <f>J10</f>
        <v>(h)</v>
      </c>
      <c r="D51" s="156" t="str">
        <f>"= "&amp;TEXT(K65,"?,0")&amp;" MMBtu/MWH x "&amp;I9</f>
        <v>= 6,560 MMBtu/MWH x $/MMBtu</v>
      </c>
    </row>
    <row r="52" spans="3:11" x14ac:dyDescent="0.2">
      <c r="C52" s="161" t="str">
        <f>K10</f>
        <v>(i)</v>
      </c>
      <c r="D52" s="156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7" t="s">
        <v>114</v>
      </c>
      <c r="D54" s="104"/>
      <c r="E54" s="104"/>
      <c r="F54" s="104"/>
      <c r="G54" s="104"/>
      <c r="H54" s="104"/>
      <c r="I54" s="104"/>
      <c r="J54" s="105"/>
      <c r="K54" s="162"/>
    </row>
    <row r="55" spans="3:11" ht="5.25" customHeight="1" x14ac:dyDescent="0.2"/>
    <row r="56" spans="3:11" ht="5.25" customHeight="1" x14ac:dyDescent="0.2"/>
    <row r="57" spans="3:11" x14ac:dyDescent="0.2">
      <c r="C57" s="91" t="s">
        <v>61</v>
      </c>
      <c r="D57" s="79"/>
      <c r="E57" s="91"/>
      <c r="F57" s="90" t="s">
        <v>62</v>
      </c>
      <c r="G57" s="90" t="s">
        <v>63</v>
      </c>
      <c r="H57" s="90" t="s">
        <v>64</v>
      </c>
      <c r="I57" s="90" t="s">
        <v>65</v>
      </c>
    </row>
    <row r="58" spans="3:11" x14ac:dyDescent="0.2">
      <c r="C58" s="193" t="s">
        <v>98</v>
      </c>
      <c r="F58" s="163">
        <f>C69</f>
        <v>380</v>
      </c>
      <c r="G58" s="106">
        <f>F58/F60</f>
        <v>0.89834515366430256</v>
      </c>
      <c r="H58" s="183">
        <f>C70</f>
        <v>1075</v>
      </c>
      <c r="I58" s="185">
        <f>C73</f>
        <v>25.39</v>
      </c>
    </row>
    <row r="59" spans="3:11" x14ac:dyDescent="0.2">
      <c r="C59" s="193" t="s">
        <v>99</v>
      </c>
      <c r="F59" s="97">
        <f>D69</f>
        <v>43</v>
      </c>
      <c r="G59" s="93">
        <f>1-G58</f>
        <v>0.10165484633569744</v>
      </c>
      <c r="H59" s="184">
        <f>D70</f>
        <v>486</v>
      </c>
      <c r="I59" s="186">
        <f>D73</f>
        <v>19.41</v>
      </c>
    </row>
    <row r="60" spans="3:11" x14ac:dyDescent="0.2">
      <c r="C60" s="193" t="s">
        <v>66</v>
      </c>
      <c r="F60" s="163">
        <f>F58+F59</f>
        <v>423</v>
      </c>
      <c r="G60" s="106">
        <f>G58+G59</f>
        <v>1</v>
      </c>
      <c r="H60" s="183">
        <f>ROUND(((F58*H58)+(F59*H59))/F60,0)</f>
        <v>1015</v>
      </c>
      <c r="I60" s="185">
        <f>ROUND(((F58*I58)+(F59*I59))/F60,2)</f>
        <v>24.78</v>
      </c>
    </row>
    <row r="61" spans="3:11" x14ac:dyDescent="0.2">
      <c r="C61" s="193"/>
      <c r="F61" s="163"/>
      <c r="G61" s="106"/>
      <c r="H61" s="164"/>
      <c r="I61" s="165"/>
    </row>
    <row r="62" spans="3:11" x14ac:dyDescent="0.2">
      <c r="C62" s="194" t="s">
        <v>61</v>
      </c>
      <c r="D62" s="79"/>
      <c r="E62" s="91"/>
      <c r="F62" s="90" t="s">
        <v>62</v>
      </c>
      <c r="G62" s="90" t="s">
        <v>67</v>
      </c>
      <c r="H62" s="90" t="s">
        <v>68</v>
      </c>
      <c r="I62" s="90" t="s">
        <v>63</v>
      </c>
      <c r="J62" s="90" t="s">
        <v>69</v>
      </c>
      <c r="K62" s="90" t="s">
        <v>70</v>
      </c>
    </row>
    <row r="63" spans="3:11" x14ac:dyDescent="0.2">
      <c r="C63" s="195" t="str">
        <f>C58</f>
        <v>CCCT Dry "J" - Turbine</v>
      </c>
      <c r="D63" s="166"/>
      <c r="E63" s="166"/>
      <c r="F63" s="149">
        <f>C69</f>
        <v>380</v>
      </c>
      <c r="G63" s="106">
        <f>C77</f>
        <v>0.56000000000000005</v>
      </c>
      <c r="H63" s="149">
        <f>G63*F63</f>
        <v>212.8</v>
      </c>
      <c r="I63" s="106">
        <f>H63/H65</f>
        <v>0.96868171886380194</v>
      </c>
      <c r="J63" s="165">
        <f>C74</f>
        <v>2.72</v>
      </c>
      <c r="K63" s="167">
        <f>C75</f>
        <v>6495</v>
      </c>
    </row>
    <row r="64" spans="3:11" x14ac:dyDescent="0.2">
      <c r="C64" s="195" t="str">
        <f>C59</f>
        <v>CCCT Dry "J" - Duct Firing</v>
      </c>
      <c r="D64" s="166"/>
      <c r="E64" s="166"/>
      <c r="F64" s="92">
        <f>D69</f>
        <v>43</v>
      </c>
      <c r="G64" s="93">
        <f>D77</f>
        <v>0.16</v>
      </c>
      <c r="H64" s="92">
        <f>G64*F64</f>
        <v>6.88</v>
      </c>
      <c r="I64" s="93">
        <f>1-I63</f>
        <v>3.1318281136198056E-2</v>
      </c>
      <c r="J64" s="94">
        <f>D74</f>
        <v>0.08</v>
      </c>
      <c r="K64" s="95">
        <f>D75</f>
        <v>8611</v>
      </c>
    </row>
    <row r="65" spans="3:11" x14ac:dyDescent="0.2">
      <c r="C65" s="193" t="s">
        <v>71</v>
      </c>
      <c r="F65" s="149">
        <f>F63+F64</f>
        <v>423</v>
      </c>
      <c r="G65" s="168">
        <f>ROUND(H65/F65,3)</f>
        <v>0.51900000000000002</v>
      </c>
      <c r="H65" s="149">
        <f>SUM(H63:H64)</f>
        <v>219.68</v>
      </c>
      <c r="I65" s="106">
        <f>I63+I64</f>
        <v>1</v>
      </c>
      <c r="J65" s="165">
        <f>ROUND(($I63*J63)+($I64*J64),2)</f>
        <v>2.64</v>
      </c>
      <c r="K65" s="169">
        <f>ROUND(($I63*K63)+($I64*K64),-1)</f>
        <v>6560</v>
      </c>
    </row>
    <row r="66" spans="3:11" x14ac:dyDescent="0.2">
      <c r="G66" s="168"/>
      <c r="I66" s="106"/>
      <c r="J66" s="165"/>
      <c r="K66" s="96" t="s">
        <v>72</v>
      </c>
    </row>
    <row r="68" spans="3:11" x14ac:dyDescent="0.2">
      <c r="C68" s="90" t="s">
        <v>54</v>
      </c>
      <c r="D68" s="90" t="s">
        <v>55</v>
      </c>
      <c r="E68" s="108" t="str">
        <f>D46</f>
        <v>Plant Costs  - 2013 IRP - Table 6.1 &amp; 6.2 - Page 112</v>
      </c>
      <c r="F68" s="170"/>
      <c r="G68" s="170"/>
      <c r="H68" s="170"/>
      <c r="I68" s="170"/>
      <c r="J68" s="170"/>
      <c r="K68" s="171"/>
    </row>
    <row r="69" spans="3:11" x14ac:dyDescent="0.2">
      <c r="C69" s="149">
        <v>380</v>
      </c>
      <c r="D69" s="149">
        <v>43</v>
      </c>
      <c r="E69" s="149" t="s">
        <v>93</v>
      </c>
      <c r="H69" s="172"/>
    </row>
    <row r="70" spans="3:11" x14ac:dyDescent="0.2">
      <c r="C70" s="164">
        <v>1075</v>
      </c>
      <c r="D70" s="164">
        <v>486</v>
      </c>
      <c r="E70" s="149" t="s">
        <v>94</v>
      </c>
    </row>
    <row r="71" spans="3:11" x14ac:dyDescent="0.2">
      <c r="C71" s="165">
        <f>10.54+0.21</f>
        <v>10.75</v>
      </c>
      <c r="D71" s="165">
        <v>0</v>
      </c>
      <c r="E71" s="149" t="s">
        <v>95</v>
      </c>
    </row>
    <row r="72" spans="3:11" x14ac:dyDescent="0.2">
      <c r="C72" s="98">
        <v>14.64</v>
      </c>
      <c r="D72" s="98">
        <v>19.41</v>
      </c>
      <c r="E72" s="149" t="s">
        <v>88</v>
      </c>
    </row>
    <row r="73" spans="3:11" x14ac:dyDescent="0.2">
      <c r="C73" s="165">
        <f>C71+C72</f>
        <v>25.39</v>
      </c>
      <c r="D73" s="165">
        <f>D71+D72</f>
        <v>19.41</v>
      </c>
      <c r="E73" s="149" t="s">
        <v>96</v>
      </c>
    </row>
    <row r="74" spans="3:11" x14ac:dyDescent="0.2">
      <c r="C74" s="165">
        <f>2.54+0.18</f>
        <v>2.72</v>
      </c>
      <c r="D74" s="165">
        <v>0.08</v>
      </c>
      <c r="E74" s="149" t="s">
        <v>97</v>
      </c>
    </row>
    <row r="75" spans="3:11" x14ac:dyDescent="0.2">
      <c r="C75" s="169">
        <v>6495</v>
      </c>
      <c r="D75" s="169">
        <v>8611</v>
      </c>
      <c r="E75" s="149" t="s">
        <v>76</v>
      </c>
    </row>
    <row r="76" spans="3:11" x14ac:dyDescent="0.2">
      <c r="C76" s="190">
        <v>7.886E-2</v>
      </c>
      <c r="D76" s="190">
        <f>C76</f>
        <v>7.886E-2</v>
      </c>
      <c r="E76" s="149" t="s">
        <v>77</v>
      </c>
    </row>
    <row r="77" spans="3:11" x14ac:dyDescent="0.2">
      <c r="C77" s="173">
        <v>0.56000000000000005</v>
      </c>
      <c r="D77" s="173">
        <v>0.16</v>
      </c>
      <c r="E77" s="149" t="s">
        <v>78</v>
      </c>
    </row>
    <row r="78" spans="3:11" x14ac:dyDescent="0.2">
      <c r="D78" s="106">
        <f>ROUND(H65/F65,3)</f>
        <v>0.51900000000000002</v>
      </c>
      <c r="E78" s="149" t="s">
        <v>79</v>
      </c>
    </row>
    <row r="79" spans="3:11" x14ac:dyDescent="0.2">
      <c r="D79" s="168"/>
      <c r="E79" s="117"/>
    </row>
    <row r="80" spans="3:11" x14ac:dyDescent="0.2">
      <c r="C80" s="173"/>
      <c r="D80" s="173"/>
    </row>
    <row r="82" spans="3:15" ht="13.5" thickBot="1" x14ac:dyDescent="0.25">
      <c r="C82" s="103" t="str">
        <f>"Company Official Inflation Forecast Dated "&amp;TEXT('Table 4'!G5,"mmmm dd, yyyy")</f>
        <v>Company Official Inflation Forecast Dated June 30, 2014</v>
      </c>
      <c r="D82" s="104"/>
      <c r="E82" s="104"/>
      <c r="F82" s="104"/>
      <c r="G82" s="104"/>
      <c r="H82" s="104"/>
      <c r="I82" s="104"/>
      <c r="J82" s="105"/>
      <c r="K82" s="162"/>
    </row>
    <row r="83" spans="3:15" x14ac:dyDescent="0.2">
      <c r="C83" s="174">
        <v>2012</v>
      </c>
      <c r="D83" s="106">
        <v>1.9E-2</v>
      </c>
      <c r="F83" s="174">
        <f>C91+1</f>
        <v>2021</v>
      </c>
      <c r="G83" s="106">
        <v>0.02</v>
      </c>
      <c r="I83" s="174">
        <f>F91+1</f>
        <v>2030</v>
      </c>
      <c r="J83" s="106">
        <v>1.9E-2</v>
      </c>
    </row>
    <row r="84" spans="3:15" x14ac:dyDescent="0.2">
      <c r="C84" s="174">
        <f t="shared" ref="C84:C91" si="8">C83+1</f>
        <v>2013</v>
      </c>
      <c r="D84" s="106">
        <v>1.4E-2</v>
      </c>
      <c r="F84" s="174">
        <f t="shared" ref="F84:F91" si="9">F83+1</f>
        <v>2022</v>
      </c>
      <c r="G84" s="106">
        <v>0.02</v>
      </c>
      <c r="I84" s="174">
        <f t="shared" ref="I84:I93" si="10">I83+1</f>
        <v>2031</v>
      </c>
      <c r="J84" s="106">
        <v>1.9E-2</v>
      </c>
    </row>
    <row r="85" spans="3:15" x14ac:dyDescent="0.2">
      <c r="C85" s="174">
        <f t="shared" si="8"/>
        <v>2014</v>
      </c>
      <c r="D85" s="106">
        <v>1.7000000000000001E-2</v>
      </c>
      <c r="F85" s="174">
        <f t="shared" si="9"/>
        <v>2023</v>
      </c>
      <c r="G85" s="106">
        <v>0.02</v>
      </c>
      <c r="I85" s="174">
        <f t="shared" si="10"/>
        <v>2032</v>
      </c>
      <c r="J85" s="106">
        <v>1.9E-2</v>
      </c>
    </row>
    <row r="86" spans="3:15" x14ac:dyDescent="0.2">
      <c r="C86" s="174">
        <f t="shared" si="8"/>
        <v>2015</v>
      </c>
      <c r="D86" s="106">
        <v>1.7999999999999999E-2</v>
      </c>
      <c r="F86" s="174">
        <f t="shared" si="9"/>
        <v>2024</v>
      </c>
      <c r="G86" s="106">
        <v>2.1000000000000001E-2</v>
      </c>
      <c r="I86" s="174">
        <f t="shared" si="10"/>
        <v>2033</v>
      </c>
      <c r="J86" s="106">
        <v>0.02</v>
      </c>
    </row>
    <row r="87" spans="3:15" x14ac:dyDescent="0.2">
      <c r="C87" s="174">
        <f t="shared" si="8"/>
        <v>2016</v>
      </c>
      <c r="D87" s="106">
        <v>1.4999999999999999E-2</v>
      </c>
      <c r="F87" s="174">
        <f t="shared" si="9"/>
        <v>2025</v>
      </c>
      <c r="G87" s="106">
        <v>0.02</v>
      </c>
      <c r="I87" s="174">
        <f t="shared" si="10"/>
        <v>2034</v>
      </c>
      <c r="J87" s="106">
        <v>1.9E-2</v>
      </c>
    </row>
    <row r="88" spans="3:15" x14ac:dyDescent="0.2">
      <c r="C88" s="174">
        <f t="shared" si="8"/>
        <v>2017</v>
      </c>
      <c r="D88" s="106">
        <v>1.7999999999999999E-2</v>
      </c>
      <c r="F88" s="174">
        <f t="shared" si="9"/>
        <v>2026</v>
      </c>
      <c r="G88" s="106">
        <v>0.02</v>
      </c>
      <c r="I88" s="174">
        <f t="shared" si="10"/>
        <v>2035</v>
      </c>
      <c r="J88" s="106">
        <v>0.02</v>
      </c>
    </row>
    <row r="89" spans="3:15" s="151" customFormat="1" x14ac:dyDescent="0.2">
      <c r="C89" s="174">
        <f t="shared" si="8"/>
        <v>2018</v>
      </c>
      <c r="D89" s="106">
        <v>1.9E-2</v>
      </c>
      <c r="F89" s="174">
        <f t="shared" si="9"/>
        <v>2027</v>
      </c>
      <c r="G89" s="106">
        <v>0.02</v>
      </c>
      <c r="I89" s="174">
        <f t="shared" si="10"/>
        <v>2036</v>
      </c>
      <c r="J89" s="106">
        <v>0.02</v>
      </c>
      <c r="N89" s="149"/>
      <c r="O89" s="149"/>
    </row>
    <row r="90" spans="3:15" s="151" customFormat="1" x14ac:dyDescent="0.2">
      <c r="C90" s="174">
        <f t="shared" si="8"/>
        <v>2019</v>
      </c>
      <c r="D90" s="106">
        <v>1.7999999999999999E-2</v>
      </c>
      <c r="F90" s="174">
        <f t="shared" si="9"/>
        <v>2028</v>
      </c>
      <c r="G90" s="106">
        <v>1.9E-2</v>
      </c>
      <c r="I90" s="174">
        <f t="shared" si="10"/>
        <v>2037</v>
      </c>
      <c r="J90" s="106">
        <v>0.02</v>
      </c>
      <c r="N90" s="149"/>
      <c r="O90" s="149"/>
    </row>
    <row r="91" spans="3:15" s="151" customFormat="1" x14ac:dyDescent="0.2">
      <c r="C91" s="174">
        <f t="shared" si="8"/>
        <v>2020</v>
      </c>
      <c r="D91" s="106">
        <v>1.9E-2</v>
      </c>
      <c r="F91" s="174">
        <f t="shared" si="9"/>
        <v>2029</v>
      </c>
      <c r="G91" s="106">
        <v>1.9E-2</v>
      </c>
      <c r="I91" s="174">
        <f t="shared" si="10"/>
        <v>2038</v>
      </c>
      <c r="J91" s="106">
        <v>0.02</v>
      </c>
      <c r="N91" s="149"/>
      <c r="O91" s="149"/>
    </row>
    <row r="92" spans="3:15" s="151" customFormat="1" x14ac:dyDescent="0.2">
      <c r="I92" s="174">
        <f t="shared" si="10"/>
        <v>2039</v>
      </c>
      <c r="J92" s="106">
        <v>0.02</v>
      </c>
      <c r="N92" s="149"/>
      <c r="O92" s="149"/>
    </row>
    <row r="93" spans="3:15" s="151" customFormat="1" x14ac:dyDescent="0.2">
      <c r="I93" s="174">
        <f t="shared" si="10"/>
        <v>2040</v>
      </c>
      <c r="J93" s="106">
        <v>0.02</v>
      </c>
      <c r="N93" s="149"/>
      <c r="O93" s="149"/>
    </row>
    <row r="94" spans="3:15" x14ac:dyDescent="0.2">
      <c r="D94" s="187"/>
    </row>
    <row r="95" spans="3:15" x14ac:dyDescent="0.2">
      <c r="D95" s="187"/>
    </row>
  </sheetData>
  <phoneticPr fontId="6" type="noConversion"/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O95"/>
  <sheetViews>
    <sheetView zoomScaleNormal="100" zoomScaleSheetLayoutView="85" workbookViewId="0">
      <selection activeCell="B3" sqref="B3"/>
    </sheetView>
  </sheetViews>
  <sheetFormatPr defaultColWidth="9.33203125" defaultRowHeight="12.75" x14ac:dyDescent="0.2"/>
  <cols>
    <col min="1" max="1" width="2.83203125" style="149" customWidth="1"/>
    <col min="2" max="2" width="10.83203125" style="149" customWidth="1"/>
    <col min="3" max="3" width="14.1640625" style="149" customWidth="1"/>
    <col min="4" max="4" width="12.33203125" style="149" customWidth="1"/>
    <col min="5" max="5" width="9.1640625" style="149" customWidth="1"/>
    <col min="6" max="6" width="10.5" style="149" customWidth="1"/>
    <col min="7" max="7" width="10.5" style="149" bestFit="1" customWidth="1"/>
    <col min="8" max="8" width="11.6640625" style="149" bestFit="1" customWidth="1"/>
    <col min="9" max="9" width="11.1640625" style="149" customWidth="1"/>
    <col min="10" max="10" width="12" style="149" bestFit="1" customWidth="1"/>
    <col min="11" max="11" width="12" style="149" customWidth="1"/>
    <col min="12" max="13" width="9.33203125" style="149"/>
    <col min="14" max="15" width="9.33203125" style="149" customWidth="1"/>
    <col min="16" max="16384" width="9.33203125" style="149"/>
  </cols>
  <sheetData>
    <row r="1" spans="2:14" ht="15.75" x14ac:dyDescent="0.25">
      <c r="B1" s="1" t="s">
        <v>73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4" ht="15.75" x14ac:dyDescent="0.25">
      <c r="B2" s="1"/>
      <c r="C2" s="148"/>
      <c r="D2" s="148"/>
      <c r="E2" s="148"/>
      <c r="F2" s="148"/>
      <c r="G2" s="148"/>
      <c r="H2" s="148"/>
      <c r="I2" s="148"/>
      <c r="J2" s="148"/>
      <c r="K2" s="148"/>
    </row>
    <row r="3" spans="2:14" ht="15.75" x14ac:dyDescent="0.25">
      <c r="B3" s="1" t="s">
        <v>117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4" ht="15.75" x14ac:dyDescent="0.25">
      <c r="B4" s="1" t="s">
        <v>102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4" ht="15.75" x14ac:dyDescent="0.25">
      <c r="B5" s="1" t="str">
        <f>C54</f>
        <v>441 MW - CCCT Dry "J", Adv 1x1 - East Side Resource (6,500')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2:14" ht="15.75" x14ac:dyDescent="0.25">
      <c r="B6" s="1"/>
      <c r="C6" s="148"/>
      <c r="D6" s="148"/>
      <c r="E6" s="148"/>
      <c r="F6" s="148"/>
      <c r="G6" s="148"/>
      <c r="H6" s="148"/>
      <c r="I6" s="148"/>
      <c r="K6" s="64"/>
    </row>
    <row r="7" spans="2:14" x14ac:dyDescent="0.2">
      <c r="B7" s="150"/>
      <c r="C7" s="150"/>
      <c r="D7" s="150"/>
      <c r="E7" s="150"/>
      <c r="F7" s="150"/>
      <c r="G7" s="150"/>
      <c r="H7" s="150"/>
      <c r="I7" s="148"/>
      <c r="J7" s="151"/>
      <c r="K7" s="151"/>
      <c r="L7" s="151"/>
      <c r="M7" s="151"/>
      <c r="N7" s="151"/>
    </row>
    <row r="8" spans="2:14" ht="51.75" customHeight="1" x14ac:dyDescent="0.2">
      <c r="B8" s="65" t="s">
        <v>0</v>
      </c>
      <c r="C8" s="66" t="s">
        <v>10</v>
      </c>
      <c r="D8" s="66" t="s">
        <v>11</v>
      </c>
      <c r="E8" s="66" t="s">
        <v>12</v>
      </c>
      <c r="F8" s="66" t="s">
        <v>13</v>
      </c>
      <c r="G8" s="66" t="s">
        <v>14</v>
      </c>
      <c r="H8" s="66" t="s">
        <v>15</v>
      </c>
      <c r="I8" s="67" t="s">
        <v>41</v>
      </c>
      <c r="J8" s="67" t="s">
        <v>85</v>
      </c>
      <c r="K8" s="66" t="s">
        <v>86</v>
      </c>
      <c r="L8" s="151"/>
    </row>
    <row r="9" spans="2:14" ht="18.75" customHeight="1" x14ac:dyDescent="0.2">
      <c r="B9" s="68"/>
      <c r="C9" s="69" t="s">
        <v>8</v>
      </c>
      <c r="D9" s="70" t="s">
        <v>9</v>
      </c>
      <c r="E9" s="70" t="s">
        <v>9</v>
      </c>
      <c r="F9" s="69" t="s">
        <v>59</v>
      </c>
      <c r="G9" s="70" t="s">
        <v>9</v>
      </c>
      <c r="H9" s="70" t="s">
        <v>9</v>
      </c>
      <c r="I9" s="70" t="s">
        <v>42</v>
      </c>
      <c r="J9" s="69" t="s">
        <v>59</v>
      </c>
      <c r="K9" s="69" t="s">
        <v>59</v>
      </c>
      <c r="L9" s="151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50</v>
      </c>
    </row>
    <row r="11" spans="2:14" ht="6" customHeight="1" x14ac:dyDescent="0.2"/>
    <row r="12" spans="2:14" ht="15.75" x14ac:dyDescent="0.25">
      <c r="B12" s="109" t="str">
        <f>C54</f>
        <v>441 MW - CCCT Dry "J", Adv 1x1 - East Side Resource (6,500')</v>
      </c>
      <c r="C12" s="151"/>
      <c r="E12" s="151"/>
      <c r="F12" s="151"/>
      <c r="G12" s="151"/>
      <c r="H12" s="151"/>
      <c r="I12" s="150"/>
      <c r="J12" s="150"/>
      <c r="K12" s="150"/>
      <c r="L12" s="151"/>
    </row>
    <row r="13" spans="2:14" ht="4.5" customHeight="1" x14ac:dyDescent="0.2">
      <c r="B13" s="152"/>
      <c r="C13" s="153"/>
      <c r="D13" s="154"/>
      <c r="E13" s="155"/>
      <c r="F13" s="155"/>
      <c r="G13" s="156"/>
      <c r="H13" s="156"/>
      <c r="I13" s="156"/>
      <c r="J13" s="156"/>
      <c r="K13" s="156"/>
    </row>
    <row r="14" spans="2:14" x14ac:dyDescent="0.2">
      <c r="B14" s="152">
        <v>2012</v>
      </c>
      <c r="C14" s="153">
        <f>$H$60</f>
        <v>1045</v>
      </c>
      <c r="D14" s="154">
        <f>ROUND(C14*$C$76,2)</f>
        <v>82.41</v>
      </c>
      <c r="E14" s="155">
        <f>$I$60</f>
        <v>23.16</v>
      </c>
      <c r="F14" s="155">
        <f>$J$65</f>
        <v>2.71</v>
      </c>
      <c r="G14" s="156">
        <f t="shared" ref="G14:G42" si="0">ROUND(F14*(8.76*$G$65)+E14,2)</f>
        <v>35.46</v>
      </c>
      <c r="H14" s="156">
        <f t="shared" ref="H14:H42" si="1">ROUND(D14+G14,2)</f>
        <v>117.87</v>
      </c>
      <c r="I14" s="156"/>
      <c r="J14" s="156"/>
      <c r="K14" s="156"/>
    </row>
    <row r="15" spans="2:14" x14ac:dyDescent="0.2">
      <c r="B15" s="152">
        <f t="shared" ref="B15:B42" si="2">B14+1</f>
        <v>2013</v>
      </c>
      <c r="C15" s="157"/>
      <c r="D15" s="154">
        <f t="shared" ref="D15:F22" si="3">ROUND(D14*(1+$D84),2)</f>
        <v>83.56</v>
      </c>
      <c r="E15" s="154">
        <f t="shared" si="3"/>
        <v>23.48</v>
      </c>
      <c r="F15" s="154">
        <f t="shared" si="3"/>
        <v>2.75</v>
      </c>
      <c r="G15" s="158">
        <f t="shared" si="0"/>
        <v>35.96</v>
      </c>
      <c r="H15" s="158">
        <f t="shared" si="1"/>
        <v>119.52</v>
      </c>
      <c r="I15" s="156"/>
      <c r="J15" s="156"/>
      <c r="K15" s="156"/>
    </row>
    <row r="16" spans="2:14" x14ac:dyDescent="0.2">
      <c r="B16" s="152">
        <f t="shared" si="2"/>
        <v>2014</v>
      </c>
      <c r="C16" s="157"/>
      <c r="D16" s="154">
        <f t="shared" si="3"/>
        <v>84.98</v>
      </c>
      <c r="E16" s="154">
        <f t="shared" si="3"/>
        <v>23.88</v>
      </c>
      <c r="F16" s="154">
        <f t="shared" si="3"/>
        <v>2.8</v>
      </c>
      <c r="G16" s="156">
        <f t="shared" si="0"/>
        <v>36.590000000000003</v>
      </c>
      <c r="H16" s="156">
        <f t="shared" si="1"/>
        <v>121.57</v>
      </c>
      <c r="I16" s="156"/>
      <c r="J16" s="156"/>
      <c r="K16" s="156"/>
    </row>
    <row r="17" spans="2:11" x14ac:dyDescent="0.2">
      <c r="B17" s="152">
        <f t="shared" si="2"/>
        <v>2015</v>
      </c>
      <c r="C17" s="157"/>
      <c r="D17" s="158">
        <f t="shared" si="3"/>
        <v>86.51</v>
      </c>
      <c r="E17" s="158">
        <f t="shared" si="3"/>
        <v>24.31</v>
      </c>
      <c r="F17" s="158">
        <f t="shared" si="3"/>
        <v>2.85</v>
      </c>
      <c r="G17" s="156">
        <f t="shared" si="0"/>
        <v>37.24</v>
      </c>
      <c r="H17" s="156">
        <f t="shared" si="1"/>
        <v>123.75</v>
      </c>
      <c r="I17" s="156"/>
      <c r="J17" s="156"/>
      <c r="K17" s="156"/>
    </row>
    <row r="18" spans="2:11" x14ac:dyDescent="0.2">
      <c r="B18" s="152">
        <f t="shared" si="2"/>
        <v>2016</v>
      </c>
      <c r="C18" s="157"/>
      <c r="D18" s="158">
        <f t="shared" si="3"/>
        <v>87.81</v>
      </c>
      <c r="E18" s="158">
        <f t="shared" si="3"/>
        <v>24.67</v>
      </c>
      <c r="F18" s="158">
        <f t="shared" si="3"/>
        <v>2.89</v>
      </c>
      <c r="G18" s="156">
        <f t="shared" si="0"/>
        <v>37.78</v>
      </c>
      <c r="H18" s="156">
        <f t="shared" si="1"/>
        <v>125.59</v>
      </c>
      <c r="I18" s="156"/>
      <c r="J18" s="156"/>
      <c r="K18" s="156"/>
    </row>
    <row r="19" spans="2:11" x14ac:dyDescent="0.2">
      <c r="B19" s="152">
        <f t="shared" si="2"/>
        <v>2017</v>
      </c>
      <c r="C19" s="157"/>
      <c r="D19" s="158">
        <f t="shared" si="3"/>
        <v>89.39</v>
      </c>
      <c r="E19" s="158">
        <f t="shared" si="3"/>
        <v>25.11</v>
      </c>
      <c r="F19" s="158">
        <f t="shared" si="3"/>
        <v>2.94</v>
      </c>
      <c r="G19" s="156">
        <f t="shared" si="0"/>
        <v>38.450000000000003</v>
      </c>
      <c r="H19" s="156">
        <f t="shared" si="1"/>
        <v>127.84</v>
      </c>
      <c r="I19" s="156"/>
      <c r="J19" s="156"/>
      <c r="K19" s="156"/>
    </row>
    <row r="20" spans="2:11" x14ac:dyDescent="0.2">
      <c r="B20" s="152">
        <f t="shared" si="2"/>
        <v>2018</v>
      </c>
      <c r="C20" s="157"/>
      <c r="D20" s="158">
        <f t="shared" si="3"/>
        <v>91.09</v>
      </c>
      <c r="E20" s="158">
        <f t="shared" si="3"/>
        <v>25.59</v>
      </c>
      <c r="F20" s="158">
        <f t="shared" si="3"/>
        <v>3</v>
      </c>
      <c r="G20" s="156">
        <f t="shared" si="0"/>
        <v>39.200000000000003</v>
      </c>
      <c r="H20" s="156">
        <f t="shared" si="1"/>
        <v>130.29</v>
      </c>
      <c r="I20" s="156"/>
      <c r="J20" s="156"/>
      <c r="K20" s="156"/>
    </row>
    <row r="21" spans="2:11" x14ac:dyDescent="0.2">
      <c r="B21" s="152">
        <f t="shared" si="2"/>
        <v>2019</v>
      </c>
      <c r="C21" s="157"/>
      <c r="D21" s="158">
        <f t="shared" si="3"/>
        <v>92.73</v>
      </c>
      <c r="E21" s="158">
        <f t="shared" si="3"/>
        <v>26.05</v>
      </c>
      <c r="F21" s="158">
        <f t="shared" si="3"/>
        <v>3.05</v>
      </c>
      <c r="G21" s="156">
        <f t="shared" si="0"/>
        <v>39.89</v>
      </c>
      <c r="H21" s="156">
        <f t="shared" si="1"/>
        <v>132.62</v>
      </c>
      <c r="I21" s="156"/>
      <c r="J21" s="156"/>
      <c r="K21" s="156"/>
    </row>
    <row r="22" spans="2:11" x14ac:dyDescent="0.2">
      <c r="B22" s="152">
        <f t="shared" si="2"/>
        <v>2020</v>
      </c>
      <c r="C22" s="157"/>
      <c r="D22" s="158">
        <f t="shared" si="3"/>
        <v>94.49</v>
      </c>
      <c r="E22" s="158">
        <f t="shared" si="3"/>
        <v>26.54</v>
      </c>
      <c r="F22" s="158">
        <f t="shared" si="3"/>
        <v>3.11</v>
      </c>
      <c r="G22" s="156">
        <f t="shared" si="0"/>
        <v>40.65</v>
      </c>
      <c r="H22" s="156">
        <f t="shared" si="1"/>
        <v>135.13999999999999</v>
      </c>
      <c r="I22" s="156"/>
      <c r="J22" s="156"/>
      <c r="K22" s="156"/>
    </row>
    <row r="23" spans="2:11" x14ac:dyDescent="0.2">
      <c r="B23" s="152">
        <f t="shared" si="2"/>
        <v>2021</v>
      </c>
      <c r="C23" s="157"/>
      <c r="D23" s="158">
        <f t="shared" ref="D23:F31" si="4">ROUND(D22*(1+$G83),2)</f>
        <v>96.38</v>
      </c>
      <c r="E23" s="158">
        <f t="shared" si="4"/>
        <v>27.07</v>
      </c>
      <c r="F23" s="158">
        <f t="shared" si="4"/>
        <v>3.17</v>
      </c>
      <c r="G23" s="156">
        <f t="shared" si="0"/>
        <v>41.45</v>
      </c>
      <c r="H23" s="156">
        <f t="shared" si="1"/>
        <v>137.83000000000001</v>
      </c>
      <c r="I23" s="156"/>
      <c r="J23" s="156"/>
      <c r="K23" s="156"/>
    </row>
    <row r="24" spans="2:11" x14ac:dyDescent="0.2">
      <c r="B24" s="152">
        <f t="shared" si="2"/>
        <v>2022</v>
      </c>
      <c r="C24" s="157"/>
      <c r="D24" s="158">
        <f t="shared" si="4"/>
        <v>98.31</v>
      </c>
      <c r="E24" s="158">
        <f t="shared" si="4"/>
        <v>27.61</v>
      </c>
      <c r="F24" s="158">
        <f t="shared" si="4"/>
        <v>3.23</v>
      </c>
      <c r="G24" s="156">
        <f t="shared" si="0"/>
        <v>42.27</v>
      </c>
      <c r="H24" s="156">
        <f t="shared" si="1"/>
        <v>140.58000000000001</v>
      </c>
      <c r="I24" s="156"/>
      <c r="J24" s="156"/>
      <c r="K24" s="156"/>
    </row>
    <row r="25" spans="2:11" x14ac:dyDescent="0.2">
      <c r="B25" s="152">
        <f t="shared" si="2"/>
        <v>2023</v>
      </c>
      <c r="C25" s="157"/>
      <c r="D25" s="158">
        <f t="shared" si="4"/>
        <v>100.28</v>
      </c>
      <c r="E25" s="158">
        <f t="shared" si="4"/>
        <v>28.16</v>
      </c>
      <c r="F25" s="158">
        <f t="shared" si="4"/>
        <v>3.29</v>
      </c>
      <c r="G25" s="156">
        <f t="shared" si="0"/>
        <v>43.09</v>
      </c>
      <c r="H25" s="156">
        <f t="shared" si="1"/>
        <v>143.37</v>
      </c>
      <c r="I25" s="156"/>
      <c r="J25" s="156"/>
      <c r="K25" s="156"/>
    </row>
    <row r="26" spans="2:11" x14ac:dyDescent="0.2">
      <c r="B26" s="152">
        <f t="shared" si="2"/>
        <v>2024</v>
      </c>
      <c r="C26" s="157"/>
      <c r="D26" s="158">
        <f t="shared" si="4"/>
        <v>102.39</v>
      </c>
      <c r="E26" s="158">
        <f t="shared" si="4"/>
        <v>28.75</v>
      </c>
      <c r="F26" s="158">
        <f t="shared" si="4"/>
        <v>3.36</v>
      </c>
      <c r="G26" s="156">
        <f t="shared" si="0"/>
        <v>44</v>
      </c>
      <c r="H26" s="156">
        <f t="shared" si="1"/>
        <v>146.38999999999999</v>
      </c>
      <c r="I26" s="156"/>
      <c r="J26" s="156"/>
      <c r="K26" s="156"/>
    </row>
    <row r="27" spans="2:11" x14ac:dyDescent="0.2">
      <c r="B27" s="152">
        <f t="shared" si="2"/>
        <v>2025</v>
      </c>
      <c r="C27" s="157"/>
      <c r="D27" s="158">
        <f t="shared" si="4"/>
        <v>104.44</v>
      </c>
      <c r="E27" s="158">
        <f t="shared" si="4"/>
        <v>29.33</v>
      </c>
      <c r="F27" s="158">
        <f t="shared" si="4"/>
        <v>3.43</v>
      </c>
      <c r="G27" s="156">
        <f t="shared" si="0"/>
        <v>44.89</v>
      </c>
      <c r="H27" s="156">
        <f t="shared" si="1"/>
        <v>149.33000000000001</v>
      </c>
      <c r="I27" s="156"/>
      <c r="J27" s="156"/>
      <c r="K27" s="156"/>
    </row>
    <row r="28" spans="2:11" x14ac:dyDescent="0.2">
      <c r="B28" s="152">
        <f t="shared" si="2"/>
        <v>2026</v>
      </c>
      <c r="C28" s="157"/>
      <c r="D28" s="158">
        <f t="shared" si="4"/>
        <v>106.53</v>
      </c>
      <c r="E28" s="158">
        <f t="shared" si="4"/>
        <v>29.92</v>
      </c>
      <c r="F28" s="158">
        <f t="shared" si="4"/>
        <v>3.5</v>
      </c>
      <c r="G28" s="156">
        <f t="shared" si="0"/>
        <v>45.8</v>
      </c>
      <c r="H28" s="156">
        <f t="shared" si="1"/>
        <v>152.33000000000001</v>
      </c>
      <c r="I28" s="156"/>
      <c r="J28" s="156"/>
      <c r="K28" s="156"/>
    </row>
    <row r="29" spans="2:11" ht="13.5" thickBot="1" x14ac:dyDescent="0.25">
      <c r="B29" s="152">
        <f t="shared" si="2"/>
        <v>2027</v>
      </c>
      <c r="C29" s="157"/>
      <c r="D29" s="218">
        <f t="shared" si="4"/>
        <v>108.66</v>
      </c>
      <c r="E29" s="218">
        <f t="shared" si="4"/>
        <v>30.52</v>
      </c>
      <c r="F29" s="218">
        <f t="shared" si="4"/>
        <v>3.57</v>
      </c>
      <c r="G29" s="189">
        <f t="shared" si="0"/>
        <v>46.72</v>
      </c>
      <c r="H29" s="189">
        <f t="shared" si="1"/>
        <v>155.38</v>
      </c>
      <c r="I29" s="189"/>
      <c r="J29" s="189"/>
      <c r="K29" s="189"/>
    </row>
    <row r="30" spans="2:11" s="193" customFormat="1" x14ac:dyDescent="0.2">
      <c r="B30" s="196">
        <f t="shared" si="2"/>
        <v>2028</v>
      </c>
      <c r="C30" s="197"/>
      <c r="D30" s="191">
        <f t="shared" si="4"/>
        <v>110.72</v>
      </c>
      <c r="E30" s="191">
        <f t="shared" si="4"/>
        <v>31.1</v>
      </c>
      <c r="F30" s="191">
        <f t="shared" si="4"/>
        <v>3.64</v>
      </c>
      <c r="G30" s="191">
        <f>ROUND(F30*(8.76*$G$65)+E30,2)</f>
        <v>47.62</v>
      </c>
      <c r="H30" s="191">
        <f t="shared" si="1"/>
        <v>158.34</v>
      </c>
      <c r="I30" s="156">
        <f>VLOOKUP(B30,'Table 4'!$B$13:$C$38,2,FALSE)</f>
        <v>6.54</v>
      </c>
      <c r="J30" s="156">
        <f t="shared" ref="J30:J42" si="5">ROUND($K$65*I30/1000,2)</f>
        <v>42.9</v>
      </c>
      <c r="K30" s="156">
        <f t="shared" ref="K30:K42" si="6">ROUND(H30*1000/8760/$G$65+J30,2)</f>
        <v>77.790000000000006</v>
      </c>
    </row>
    <row r="31" spans="2:11" s="193" customFormat="1" x14ac:dyDescent="0.2">
      <c r="B31" s="196">
        <f t="shared" si="2"/>
        <v>2029</v>
      </c>
      <c r="C31" s="197"/>
      <c r="D31" s="191">
        <f t="shared" si="4"/>
        <v>112.82</v>
      </c>
      <c r="E31" s="191">
        <f t="shared" si="4"/>
        <v>31.69</v>
      </c>
      <c r="F31" s="191">
        <f t="shared" si="4"/>
        <v>3.71</v>
      </c>
      <c r="G31" s="191">
        <f t="shared" si="0"/>
        <v>48.52</v>
      </c>
      <c r="H31" s="191">
        <f t="shared" si="1"/>
        <v>161.34</v>
      </c>
      <c r="I31" s="156">
        <f>VLOOKUP(B31,'Table 4'!$B$13:$C$38,2,FALSE)</f>
        <v>6.83</v>
      </c>
      <c r="J31" s="156">
        <f t="shared" si="5"/>
        <v>44.8</v>
      </c>
      <c r="K31" s="156">
        <f t="shared" si="6"/>
        <v>80.36</v>
      </c>
    </row>
    <row r="32" spans="2:11" s="193" customFormat="1" x14ac:dyDescent="0.2">
      <c r="B32" s="196">
        <f t="shared" si="2"/>
        <v>2030</v>
      </c>
      <c r="C32" s="197"/>
      <c r="D32" s="191">
        <f t="shared" ref="D32:F42" si="7">ROUND(D31*(1+$J83),2)</f>
        <v>114.96</v>
      </c>
      <c r="E32" s="191">
        <f t="shared" si="7"/>
        <v>32.29</v>
      </c>
      <c r="F32" s="191">
        <f t="shared" si="7"/>
        <v>3.78</v>
      </c>
      <c r="G32" s="191">
        <f t="shared" si="0"/>
        <v>49.44</v>
      </c>
      <c r="H32" s="191">
        <f t="shared" si="1"/>
        <v>164.4</v>
      </c>
      <c r="I32" s="156">
        <f>VLOOKUP(B32,'Table 4'!$B$13:$C$38,2,FALSE)</f>
        <v>7.12</v>
      </c>
      <c r="J32" s="156">
        <f t="shared" si="5"/>
        <v>46.71</v>
      </c>
      <c r="K32" s="156">
        <f t="shared" si="6"/>
        <v>82.94</v>
      </c>
    </row>
    <row r="33" spans="2:15" x14ac:dyDescent="0.2">
      <c r="B33" s="152">
        <f t="shared" si="2"/>
        <v>2031</v>
      </c>
      <c r="C33" s="157"/>
      <c r="D33" s="156">
        <f t="shared" si="7"/>
        <v>117.14</v>
      </c>
      <c r="E33" s="154">
        <f t="shared" si="7"/>
        <v>32.9</v>
      </c>
      <c r="F33" s="154">
        <f t="shared" si="7"/>
        <v>3.85</v>
      </c>
      <c r="G33" s="156">
        <f t="shared" si="0"/>
        <v>50.37</v>
      </c>
      <c r="H33" s="156">
        <f t="shared" si="1"/>
        <v>167.51</v>
      </c>
      <c r="I33" s="156">
        <f>VLOOKUP(B33,'Table 4'!$B$13:$C$38,2,FALSE)</f>
        <v>7.27</v>
      </c>
      <c r="J33" s="156">
        <f t="shared" si="5"/>
        <v>47.69</v>
      </c>
      <c r="K33" s="156">
        <f t="shared" si="6"/>
        <v>84.61</v>
      </c>
    </row>
    <row r="34" spans="2:15" x14ac:dyDescent="0.2">
      <c r="B34" s="152">
        <f t="shared" si="2"/>
        <v>2032</v>
      </c>
      <c r="C34" s="157"/>
      <c r="D34" s="156">
        <f t="shared" si="7"/>
        <v>119.37</v>
      </c>
      <c r="E34" s="154">
        <f t="shared" si="7"/>
        <v>33.53</v>
      </c>
      <c r="F34" s="154">
        <f t="shared" si="7"/>
        <v>3.92</v>
      </c>
      <c r="G34" s="156">
        <f t="shared" si="0"/>
        <v>51.32</v>
      </c>
      <c r="H34" s="156">
        <f t="shared" si="1"/>
        <v>170.69</v>
      </c>
      <c r="I34" s="156">
        <f>VLOOKUP(B34,'Table 4'!$B$13:$C$38,2,FALSE)</f>
        <v>7.41</v>
      </c>
      <c r="J34" s="156">
        <f t="shared" si="5"/>
        <v>48.61</v>
      </c>
      <c r="K34" s="156">
        <f t="shared" si="6"/>
        <v>86.23</v>
      </c>
    </row>
    <row r="35" spans="2:15" x14ac:dyDescent="0.2">
      <c r="B35" s="152">
        <f t="shared" si="2"/>
        <v>2033</v>
      </c>
      <c r="C35" s="157"/>
      <c r="D35" s="156">
        <f t="shared" si="7"/>
        <v>121.76</v>
      </c>
      <c r="E35" s="154">
        <f t="shared" si="7"/>
        <v>34.200000000000003</v>
      </c>
      <c r="F35" s="154">
        <f t="shared" si="7"/>
        <v>4</v>
      </c>
      <c r="G35" s="156">
        <f t="shared" si="0"/>
        <v>52.35</v>
      </c>
      <c r="H35" s="156">
        <f t="shared" si="1"/>
        <v>174.11</v>
      </c>
      <c r="I35" s="156">
        <f>VLOOKUP(B35,'Table 4'!$B$13:$C$38,2,FALSE)</f>
        <v>7.56</v>
      </c>
      <c r="J35" s="156">
        <f t="shared" si="5"/>
        <v>49.59</v>
      </c>
      <c r="K35" s="156">
        <f t="shared" si="6"/>
        <v>87.96</v>
      </c>
    </row>
    <row r="36" spans="2:15" x14ac:dyDescent="0.2">
      <c r="B36" s="152">
        <f t="shared" si="2"/>
        <v>2034</v>
      </c>
      <c r="C36" s="157"/>
      <c r="D36" s="156">
        <f t="shared" si="7"/>
        <v>124.07</v>
      </c>
      <c r="E36" s="154">
        <f t="shared" si="7"/>
        <v>34.85</v>
      </c>
      <c r="F36" s="154">
        <f t="shared" si="7"/>
        <v>4.08</v>
      </c>
      <c r="G36" s="156">
        <f t="shared" si="0"/>
        <v>53.36</v>
      </c>
      <c r="H36" s="156">
        <f t="shared" si="1"/>
        <v>177.43</v>
      </c>
      <c r="I36" s="156">
        <f>VLOOKUP(B36,'Table 4'!$B$13:$C$38,2,FALSE)</f>
        <v>7.71</v>
      </c>
      <c r="J36" s="156">
        <f t="shared" si="5"/>
        <v>50.58</v>
      </c>
      <c r="K36" s="156">
        <f t="shared" si="6"/>
        <v>89.68</v>
      </c>
    </row>
    <row r="37" spans="2:15" x14ac:dyDescent="0.2">
      <c r="B37" s="152">
        <f t="shared" si="2"/>
        <v>2035</v>
      </c>
      <c r="C37" s="157"/>
      <c r="D37" s="156">
        <f t="shared" si="7"/>
        <v>126.55</v>
      </c>
      <c r="E37" s="154">
        <f t="shared" si="7"/>
        <v>35.549999999999997</v>
      </c>
      <c r="F37" s="154">
        <f t="shared" si="7"/>
        <v>4.16</v>
      </c>
      <c r="G37" s="156">
        <f t="shared" si="0"/>
        <v>54.43</v>
      </c>
      <c r="H37" s="156">
        <f t="shared" si="1"/>
        <v>180.98</v>
      </c>
      <c r="I37" s="156">
        <f>VLOOKUP(B37,'Table 4'!$B$13:$C$38,2,FALSE)</f>
        <v>7.86</v>
      </c>
      <c r="J37" s="156">
        <f t="shared" si="5"/>
        <v>51.56</v>
      </c>
      <c r="K37" s="156">
        <f t="shared" si="6"/>
        <v>91.44</v>
      </c>
    </row>
    <row r="38" spans="2:15" x14ac:dyDescent="0.2">
      <c r="B38" s="152">
        <f t="shared" si="2"/>
        <v>2036</v>
      </c>
      <c r="C38" s="157"/>
      <c r="D38" s="156">
        <f t="shared" si="7"/>
        <v>129.08000000000001</v>
      </c>
      <c r="E38" s="154">
        <f t="shared" si="7"/>
        <v>36.26</v>
      </c>
      <c r="F38" s="154">
        <f t="shared" si="7"/>
        <v>4.24</v>
      </c>
      <c r="G38" s="156">
        <f t="shared" si="0"/>
        <v>55.5</v>
      </c>
      <c r="H38" s="156">
        <f t="shared" si="1"/>
        <v>184.58</v>
      </c>
      <c r="I38" s="156">
        <f>VLOOKUP(B38,'Table 4'!$B$13:$C$38,2,FALSE)</f>
        <v>8.0299999999999994</v>
      </c>
      <c r="J38" s="156">
        <f t="shared" si="5"/>
        <v>52.68</v>
      </c>
      <c r="K38" s="156">
        <f t="shared" si="6"/>
        <v>93.36</v>
      </c>
    </row>
    <row r="39" spans="2:15" x14ac:dyDescent="0.2">
      <c r="B39" s="152">
        <f t="shared" si="2"/>
        <v>2037</v>
      </c>
      <c r="C39" s="157"/>
      <c r="D39" s="156">
        <f t="shared" si="7"/>
        <v>131.66</v>
      </c>
      <c r="E39" s="154">
        <f t="shared" si="7"/>
        <v>36.99</v>
      </c>
      <c r="F39" s="154">
        <f t="shared" si="7"/>
        <v>4.32</v>
      </c>
      <c r="G39" s="156">
        <f t="shared" si="0"/>
        <v>56.59</v>
      </c>
      <c r="H39" s="156">
        <f t="shared" si="1"/>
        <v>188.25</v>
      </c>
      <c r="I39" s="156">
        <f>VLOOKUP(B39,'Table 4'!$B$13:$C$38,2,FALSE)</f>
        <v>8.1999999999999993</v>
      </c>
      <c r="J39" s="156">
        <f t="shared" si="5"/>
        <v>53.79</v>
      </c>
      <c r="K39" s="156">
        <f t="shared" si="6"/>
        <v>95.28</v>
      </c>
    </row>
    <row r="40" spans="2:15" x14ac:dyDescent="0.2">
      <c r="B40" s="152">
        <f t="shared" si="2"/>
        <v>2038</v>
      </c>
      <c r="C40" s="157"/>
      <c r="D40" s="156">
        <f t="shared" si="7"/>
        <v>134.29</v>
      </c>
      <c r="E40" s="154">
        <f t="shared" si="7"/>
        <v>37.729999999999997</v>
      </c>
      <c r="F40" s="154">
        <f t="shared" si="7"/>
        <v>4.41</v>
      </c>
      <c r="G40" s="156">
        <f t="shared" si="0"/>
        <v>57.74</v>
      </c>
      <c r="H40" s="156">
        <f t="shared" si="1"/>
        <v>192.03</v>
      </c>
      <c r="I40" s="156">
        <f>VLOOKUP(B40,'Table 4'!$B$13:$C$38,2,FALSE)</f>
        <v>8.3699999999999992</v>
      </c>
      <c r="J40" s="156">
        <f t="shared" si="5"/>
        <v>54.91</v>
      </c>
      <c r="K40" s="156">
        <f t="shared" si="6"/>
        <v>97.23</v>
      </c>
    </row>
    <row r="41" spans="2:15" hidden="1" x14ac:dyDescent="0.2">
      <c r="B41" s="152">
        <f t="shared" si="2"/>
        <v>2039</v>
      </c>
      <c r="C41" s="157"/>
      <c r="D41" s="156">
        <f t="shared" si="7"/>
        <v>136.97999999999999</v>
      </c>
      <c r="E41" s="154">
        <f t="shared" si="7"/>
        <v>38.479999999999997</v>
      </c>
      <c r="F41" s="154">
        <f t="shared" si="7"/>
        <v>4.5</v>
      </c>
      <c r="G41" s="156">
        <f t="shared" si="0"/>
        <v>58.9</v>
      </c>
      <c r="H41" s="156">
        <f t="shared" si="1"/>
        <v>195.88</v>
      </c>
      <c r="I41" s="156" t="e">
        <f>VLOOKUP(B41,'Table 4'!$B$13:$C$38,2,FALSE)</f>
        <v>#N/A</v>
      </c>
      <c r="J41" s="156" t="e">
        <f t="shared" si="5"/>
        <v>#N/A</v>
      </c>
      <c r="K41" s="156" t="e">
        <f t="shared" si="6"/>
        <v>#N/A</v>
      </c>
    </row>
    <row r="42" spans="2:15" hidden="1" x14ac:dyDescent="0.2">
      <c r="B42" s="152">
        <f t="shared" si="2"/>
        <v>2040</v>
      </c>
      <c r="C42" s="157"/>
      <c r="D42" s="156">
        <f t="shared" si="7"/>
        <v>139.72</v>
      </c>
      <c r="E42" s="154">
        <f t="shared" si="7"/>
        <v>39.25</v>
      </c>
      <c r="F42" s="154">
        <f t="shared" si="7"/>
        <v>4.59</v>
      </c>
      <c r="G42" s="156">
        <f t="shared" si="0"/>
        <v>60.08</v>
      </c>
      <c r="H42" s="156">
        <f t="shared" si="1"/>
        <v>199.8</v>
      </c>
      <c r="I42" s="156" t="e">
        <f>VLOOKUP(B42,'Table 4'!$B$13:$C$38,2,FALSE)</f>
        <v>#N/A</v>
      </c>
      <c r="J42" s="156" t="e">
        <f t="shared" si="5"/>
        <v>#N/A</v>
      </c>
      <c r="K42" s="156" t="e">
        <f t="shared" si="6"/>
        <v>#N/A</v>
      </c>
    </row>
    <row r="43" spans="2:15" x14ac:dyDescent="0.2">
      <c r="M43" s="152"/>
      <c r="O43" s="159"/>
    </row>
    <row r="44" spans="2:15" ht="14.25" x14ac:dyDescent="0.2">
      <c r="B44" s="7" t="s">
        <v>51</v>
      </c>
      <c r="C44" s="71"/>
      <c r="D44" s="71"/>
      <c r="E44" s="71"/>
      <c r="F44" s="71"/>
      <c r="G44" s="71"/>
      <c r="H44" s="71"/>
      <c r="I44" s="71"/>
      <c r="J44" s="71"/>
      <c r="K44" s="71"/>
      <c r="M44" s="152"/>
      <c r="N44" s="159"/>
      <c r="O44" s="159"/>
    </row>
    <row r="46" spans="2:15" x14ac:dyDescent="0.2">
      <c r="B46" s="149" t="s">
        <v>30</v>
      </c>
      <c r="D46" s="160" t="s">
        <v>100</v>
      </c>
    </row>
    <row r="47" spans="2:15" x14ac:dyDescent="0.2">
      <c r="C47" s="161" t="str">
        <f>D10</f>
        <v>(b)</v>
      </c>
      <c r="D47" s="156" t="str">
        <f>"= "&amp;C10&amp;" x "&amp;C76</f>
        <v>= (a) x 0.07886</v>
      </c>
    </row>
    <row r="48" spans="2:15" x14ac:dyDescent="0.2">
      <c r="C48" s="161" t="str">
        <f>G10</f>
        <v>(e)</v>
      </c>
      <c r="D48" s="156" t="str">
        <f>"= "&amp;$F$10&amp;" x  (8.76 x "&amp;TEXT(G65,"0.0%")&amp;") + "&amp;$E$10</f>
        <v>= (d) x  (8.76 x 51.8%) + (c)</v>
      </c>
    </row>
    <row r="49" spans="3:11" x14ac:dyDescent="0.2">
      <c r="C49" s="161" t="str">
        <f>H10</f>
        <v>(f)</v>
      </c>
      <c r="D49" s="156" t="str">
        <f>"= "&amp;D10&amp;" + "&amp;G10</f>
        <v>= (b) + (e)</v>
      </c>
    </row>
    <row r="50" spans="3:11" x14ac:dyDescent="0.2">
      <c r="C50" s="161" t="str">
        <f>I10</f>
        <v>(g)</v>
      </c>
      <c r="D50" s="192" t="str">
        <f>'Table 4'!B3&amp;" - "&amp;'Table 4'!B4</f>
        <v>Table 4 - Burnertip Natural Gas Price Forecast</v>
      </c>
    </row>
    <row r="51" spans="3:11" x14ac:dyDescent="0.2">
      <c r="C51" s="161" t="str">
        <f>J10</f>
        <v>(h)</v>
      </c>
      <c r="D51" s="156" t="str">
        <f>"= "&amp;TEXT(K65,"?,0")&amp;" MMBtu/MWH x "&amp;I9</f>
        <v>= 6,560 MMBtu/MWH x $/MMBtu</v>
      </c>
    </row>
    <row r="52" spans="3:11" x14ac:dyDescent="0.2">
      <c r="C52" s="161" t="str">
        <f>K10</f>
        <v>(i)</v>
      </c>
      <c r="D52" s="156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7" t="s">
        <v>115</v>
      </c>
      <c r="D54" s="104"/>
      <c r="E54" s="104"/>
      <c r="F54" s="104"/>
      <c r="G54" s="104"/>
      <c r="H54" s="104"/>
      <c r="I54" s="104"/>
      <c r="J54" s="105"/>
      <c r="K54" s="162"/>
    </row>
    <row r="55" spans="3:11" ht="5.25" customHeight="1" x14ac:dyDescent="0.2"/>
    <row r="56" spans="3:11" ht="5.25" customHeight="1" x14ac:dyDescent="0.2"/>
    <row r="57" spans="3:11" x14ac:dyDescent="0.2">
      <c r="C57" s="91" t="s">
        <v>61</v>
      </c>
      <c r="D57" s="79"/>
      <c r="E57" s="91"/>
      <c r="F57" s="90" t="s">
        <v>62</v>
      </c>
      <c r="G57" s="90" t="s">
        <v>63</v>
      </c>
      <c r="H57" s="90" t="s">
        <v>64</v>
      </c>
      <c r="I57" s="90" t="s">
        <v>65</v>
      </c>
    </row>
    <row r="58" spans="3:11" x14ac:dyDescent="0.2">
      <c r="C58" s="193" t="s">
        <v>98</v>
      </c>
      <c r="F58" s="163">
        <f>C69</f>
        <v>368</v>
      </c>
      <c r="G58" s="106">
        <f>F58/F60</f>
        <v>0.89537712895377131</v>
      </c>
      <c r="H58" s="183">
        <f>C70</f>
        <v>1110</v>
      </c>
      <c r="I58" s="185">
        <f>C73</f>
        <v>23.6</v>
      </c>
    </row>
    <row r="59" spans="3:11" x14ac:dyDescent="0.2">
      <c r="C59" s="193" t="s">
        <v>99</v>
      </c>
      <c r="F59" s="97">
        <f>D69</f>
        <v>43</v>
      </c>
      <c r="G59" s="93">
        <f>1-G58</f>
        <v>0.10462287104622869</v>
      </c>
      <c r="H59" s="184">
        <f>D70</f>
        <v>486</v>
      </c>
      <c r="I59" s="186">
        <f>D73</f>
        <v>19.41</v>
      </c>
    </row>
    <row r="60" spans="3:11" x14ac:dyDescent="0.2">
      <c r="C60" s="193" t="s">
        <v>66</v>
      </c>
      <c r="F60" s="163">
        <f>F58+F59</f>
        <v>411</v>
      </c>
      <c r="G60" s="106">
        <f>G58+G59</f>
        <v>1</v>
      </c>
      <c r="H60" s="183">
        <f>ROUND(((F58*H58)+(F59*H59))/F60,0)</f>
        <v>1045</v>
      </c>
      <c r="I60" s="185">
        <f>ROUND(((F58*I58)+(F59*I59))/F60,2)</f>
        <v>23.16</v>
      </c>
    </row>
    <row r="61" spans="3:11" x14ac:dyDescent="0.2">
      <c r="C61" s="193"/>
      <c r="F61" s="163"/>
      <c r="G61" s="106"/>
      <c r="H61" s="164"/>
      <c r="I61" s="165"/>
    </row>
    <row r="62" spans="3:11" x14ac:dyDescent="0.2">
      <c r="C62" s="194" t="s">
        <v>61</v>
      </c>
      <c r="D62" s="79"/>
      <c r="E62" s="91"/>
      <c r="F62" s="90" t="s">
        <v>62</v>
      </c>
      <c r="G62" s="90" t="s">
        <v>67</v>
      </c>
      <c r="H62" s="90" t="s">
        <v>68</v>
      </c>
      <c r="I62" s="90" t="s">
        <v>63</v>
      </c>
      <c r="J62" s="90" t="s">
        <v>69</v>
      </c>
      <c r="K62" s="90" t="s">
        <v>70</v>
      </c>
    </row>
    <row r="63" spans="3:11" x14ac:dyDescent="0.2">
      <c r="C63" s="195" t="str">
        <f>C58</f>
        <v>CCCT Dry "J" - Turbine</v>
      </c>
      <c r="D63" s="166"/>
      <c r="E63" s="166"/>
      <c r="F63" s="149">
        <f>C69</f>
        <v>368</v>
      </c>
      <c r="G63" s="106">
        <f>C77</f>
        <v>0.56000000000000005</v>
      </c>
      <c r="H63" s="149">
        <f>G63*F63</f>
        <v>206.08</v>
      </c>
      <c r="I63" s="106">
        <f>H63/H65</f>
        <v>0.9676934635612322</v>
      </c>
      <c r="J63" s="165">
        <f>C74</f>
        <v>2.8000000000000003</v>
      </c>
      <c r="K63" s="167">
        <f>C75</f>
        <v>6495</v>
      </c>
    </row>
    <row r="64" spans="3:11" x14ac:dyDescent="0.2">
      <c r="C64" s="195" t="str">
        <f>C59</f>
        <v>CCCT Dry "J" - Duct Firing</v>
      </c>
      <c r="D64" s="166"/>
      <c r="E64" s="166"/>
      <c r="F64" s="92">
        <f>D69</f>
        <v>43</v>
      </c>
      <c r="G64" s="93">
        <f>D77</f>
        <v>0.16</v>
      </c>
      <c r="H64" s="92">
        <f>G64*F64</f>
        <v>6.88</v>
      </c>
      <c r="I64" s="93">
        <f>1-I63</f>
        <v>3.2306536438767797E-2</v>
      </c>
      <c r="J64" s="94">
        <f>D74</f>
        <v>0.08</v>
      </c>
      <c r="K64" s="95">
        <f>D75</f>
        <v>8611</v>
      </c>
    </row>
    <row r="65" spans="3:11" x14ac:dyDescent="0.2">
      <c r="C65" s="193" t="s">
        <v>71</v>
      </c>
      <c r="F65" s="149">
        <f>F63+F64</f>
        <v>411</v>
      </c>
      <c r="G65" s="168">
        <f>ROUND(H65/F65,3)</f>
        <v>0.51800000000000002</v>
      </c>
      <c r="H65" s="149">
        <f>SUM(H63:H64)</f>
        <v>212.96</v>
      </c>
      <c r="I65" s="106">
        <f>I63+I64</f>
        <v>1</v>
      </c>
      <c r="J65" s="165">
        <f>ROUND(($I63*J63)+($I64*J64),2)</f>
        <v>2.71</v>
      </c>
      <c r="K65" s="169">
        <f>ROUND(($I63*K63)+($I64*K64),-1)</f>
        <v>6560</v>
      </c>
    </row>
    <row r="66" spans="3:11" x14ac:dyDescent="0.2">
      <c r="G66" s="168"/>
      <c r="I66" s="106"/>
      <c r="J66" s="165"/>
      <c r="K66" s="96" t="s">
        <v>72</v>
      </c>
    </row>
    <row r="68" spans="3:11" x14ac:dyDescent="0.2">
      <c r="C68" s="90" t="s">
        <v>54</v>
      </c>
      <c r="D68" s="90" t="s">
        <v>55</v>
      </c>
      <c r="E68" s="108" t="str">
        <f>D46</f>
        <v>Plant Costs  - 2013 IRP - Table 6.1 &amp; 6.2 - Page 112</v>
      </c>
      <c r="F68" s="170"/>
      <c r="G68" s="170"/>
      <c r="H68" s="170"/>
      <c r="I68" s="170"/>
      <c r="J68" s="170"/>
      <c r="K68" s="171"/>
    </row>
    <row r="69" spans="3:11" x14ac:dyDescent="0.2">
      <c r="C69" s="149">
        <v>368</v>
      </c>
      <c r="D69" s="149">
        <v>43</v>
      </c>
      <c r="E69" s="149" t="s">
        <v>93</v>
      </c>
      <c r="H69" s="172"/>
    </row>
    <row r="70" spans="3:11" x14ac:dyDescent="0.2">
      <c r="C70" s="164">
        <v>1110</v>
      </c>
      <c r="D70" s="164">
        <v>486</v>
      </c>
      <c r="E70" s="149" t="s">
        <v>94</v>
      </c>
    </row>
    <row r="71" spans="3:11" x14ac:dyDescent="0.2">
      <c r="C71" s="165">
        <f>10.88+0.21</f>
        <v>11.090000000000002</v>
      </c>
      <c r="D71" s="165">
        <v>0</v>
      </c>
      <c r="E71" s="149" t="s">
        <v>95</v>
      </c>
    </row>
    <row r="72" spans="3:11" x14ac:dyDescent="0.2">
      <c r="C72" s="98">
        <v>12.51</v>
      </c>
      <c r="D72" s="98">
        <v>19.41</v>
      </c>
      <c r="E72" s="149" t="s">
        <v>88</v>
      </c>
    </row>
    <row r="73" spans="3:11" x14ac:dyDescent="0.2">
      <c r="C73" s="165">
        <f>C71+C72</f>
        <v>23.6</v>
      </c>
      <c r="D73" s="165">
        <f>D71+D72</f>
        <v>19.41</v>
      </c>
      <c r="E73" s="149" t="s">
        <v>96</v>
      </c>
    </row>
    <row r="74" spans="3:11" x14ac:dyDescent="0.2">
      <c r="C74" s="165">
        <f>2.62+0.18</f>
        <v>2.8000000000000003</v>
      </c>
      <c r="D74" s="165">
        <v>0.08</v>
      </c>
      <c r="E74" s="149" t="s">
        <v>97</v>
      </c>
    </row>
    <row r="75" spans="3:11" x14ac:dyDescent="0.2">
      <c r="C75" s="169">
        <v>6495</v>
      </c>
      <c r="D75" s="169">
        <v>8611</v>
      </c>
      <c r="E75" s="149" t="s">
        <v>76</v>
      </c>
    </row>
    <row r="76" spans="3:11" x14ac:dyDescent="0.2">
      <c r="C76" s="190">
        <v>7.886E-2</v>
      </c>
      <c r="D76" s="190">
        <f>C76</f>
        <v>7.886E-2</v>
      </c>
      <c r="E76" s="149" t="s">
        <v>77</v>
      </c>
    </row>
    <row r="77" spans="3:11" x14ac:dyDescent="0.2">
      <c r="C77" s="173">
        <v>0.56000000000000005</v>
      </c>
      <c r="D77" s="173">
        <v>0.16</v>
      </c>
      <c r="E77" s="149" t="s">
        <v>78</v>
      </c>
    </row>
    <row r="78" spans="3:11" x14ac:dyDescent="0.2">
      <c r="D78" s="106">
        <f>ROUND(H65/F65,3)</f>
        <v>0.51800000000000002</v>
      </c>
      <c r="E78" s="149" t="s">
        <v>79</v>
      </c>
    </row>
    <row r="79" spans="3:11" x14ac:dyDescent="0.2">
      <c r="D79" s="168"/>
      <c r="E79" s="117"/>
    </row>
    <row r="80" spans="3:11" x14ac:dyDescent="0.2">
      <c r="C80" s="173"/>
      <c r="D80" s="173"/>
    </row>
    <row r="82" spans="3:15" ht="13.5" thickBot="1" x14ac:dyDescent="0.25">
      <c r="C82" s="103" t="str">
        <f>"Company Official Inflation Forecast Dated "&amp;TEXT('Table 4'!G5,"mmmm dd, yyyy")</f>
        <v>Company Official Inflation Forecast Dated June 30, 2014</v>
      </c>
      <c r="D82" s="104"/>
      <c r="E82" s="104"/>
      <c r="F82" s="104"/>
      <c r="G82" s="104"/>
      <c r="H82" s="104"/>
      <c r="I82" s="104"/>
      <c r="J82" s="105"/>
      <c r="K82" s="162"/>
    </row>
    <row r="83" spans="3:15" x14ac:dyDescent="0.2">
      <c r="C83" s="174">
        <v>2012</v>
      </c>
      <c r="D83" s="106">
        <v>1.9E-2</v>
      </c>
      <c r="F83" s="174">
        <f>C91+1</f>
        <v>2021</v>
      </c>
      <c r="G83" s="106">
        <v>0.02</v>
      </c>
      <c r="I83" s="174">
        <f>F91+1</f>
        <v>2030</v>
      </c>
      <c r="J83" s="106">
        <v>1.9E-2</v>
      </c>
    </row>
    <row r="84" spans="3:15" x14ac:dyDescent="0.2">
      <c r="C84" s="174">
        <f t="shared" ref="C84:C91" si="8">C83+1</f>
        <v>2013</v>
      </c>
      <c r="D84" s="106">
        <v>1.4E-2</v>
      </c>
      <c r="F84" s="174">
        <f t="shared" ref="F84:F91" si="9">F83+1</f>
        <v>2022</v>
      </c>
      <c r="G84" s="106">
        <v>0.02</v>
      </c>
      <c r="I84" s="174">
        <f t="shared" ref="I84:I93" si="10">I83+1</f>
        <v>2031</v>
      </c>
      <c r="J84" s="106">
        <v>1.9E-2</v>
      </c>
    </row>
    <row r="85" spans="3:15" x14ac:dyDescent="0.2">
      <c r="C85" s="174">
        <f t="shared" si="8"/>
        <v>2014</v>
      </c>
      <c r="D85" s="106">
        <v>1.7000000000000001E-2</v>
      </c>
      <c r="F85" s="174">
        <f t="shared" si="9"/>
        <v>2023</v>
      </c>
      <c r="G85" s="106">
        <v>0.02</v>
      </c>
      <c r="I85" s="174">
        <f t="shared" si="10"/>
        <v>2032</v>
      </c>
      <c r="J85" s="106">
        <v>1.9E-2</v>
      </c>
    </row>
    <row r="86" spans="3:15" x14ac:dyDescent="0.2">
      <c r="C86" s="174">
        <f t="shared" si="8"/>
        <v>2015</v>
      </c>
      <c r="D86" s="106">
        <v>1.7999999999999999E-2</v>
      </c>
      <c r="F86" s="174">
        <f t="shared" si="9"/>
        <v>2024</v>
      </c>
      <c r="G86" s="106">
        <v>2.1000000000000001E-2</v>
      </c>
      <c r="I86" s="174">
        <f t="shared" si="10"/>
        <v>2033</v>
      </c>
      <c r="J86" s="106">
        <v>0.02</v>
      </c>
    </row>
    <row r="87" spans="3:15" x14ac:dyDescent="0.2">
      <c r="C87" s="174">
        <f t="shared" si="8"/>
        <v>2016</v>
      </c>
      <c r="D87" s="106">
        <v>1.4999999999999999E-2</v>
      </c>
      <c r="F87" s="174">
        <f t="shared" si="9"/>
        <v>2025</v>
      </c>
      <c r="G87" s="106">
        <v>0.02</v>
      </c>
      <c r="I87" s="174">
        <f t="shared" si="10"/>
        <v>2034</v>
      </c>
      <c r="J87" s="106">
        <v>1.9E-2</v>
      </c>
    </row>
    <row r="88" spans="3:15" x14ac:dyDescent="0.2">
      <c r="C88" s="174">
        <f t="shared" si="8"/>
        <v>2017</v>
      </c>
      <c r="D88" s="106">
        <v>1.7999999999999999E-2</v>
      </c>
      <c r="F88" s="174">
        <f t="shared" si="9"/>
        <v>2026</v>
      </c>
      <c r="G88" s="106">
        <v>0.02</v>
      </c>
      <c r="I88" s="174">
        <f t="shared" si="10"/>
        <v>2035</v>
      </c>
      <c r="J88" s="106">
        <v>0.02</v>
      </c>
    </row>
    <row r="89" spans="3:15" s="151" customFormat="1" x14ac:dyDescent="0.2">
      <c r="C89" s="174">
        <f t="shared" si="8"/>
        <v>2018</v>
      </c>
      <c r="D89" s="106">
        <v>1.9E-2</v>
      </c>
      <c r="F89" s="174">
        <f t="shared" si="9"/>
        <v>2027</v>
      </c>
      <c r="G89" s="106">
        <v>0.02</v>
      </c>
      <c r="I89" s="174">
        <f t="shared" si="10"/>
        <v>2036</v>
      </c>
      <c r="J89" s="106">
        <v>0.02</v>
      </c>
      <c r="N89" s="149"/>
      <c r="O89" s="149"/>
    </row>
    <row r="90" spans="3:15" s="151" customFormat="1" x14ac:dyDescent="0.2">
      <c r="C90" s="174">
        <f t="shared" si="8"/>
        <v>2019</v>
      </c>
      <c r="D90" s="106">
        <v>1.7999999999999999E-2</v>
      </c>
      <c r="F90" s="174">
        <f t="shared" si="9"/>
        <v>2028</v>
      </c>
      <c r="G90" s="106">
        <v>1.9E-2</v>
      </c>
      <c r="I90" s="174">
        <f t="shared" si="10"/>
        <v>2037</v>
      </c>
      <c r="J90" s="106">
        <v>0.02</v>
      </c>
      <c r="N90" s="149"/>
      <c r="O90" s="149"/>
    </row>
    <row r="91" spans="3:15" s="151" customFormat="1" x14ac:dyDescent="0.2">
      <c r="C91" s="174">
        <f t="shared" si="8"/>
        <v>2020</v>
      </c>
      <c r="D91" s="106">
        <v>1.9E-2</v>
      </c>
      <c r="F91" s="174">
        <f t="shared" si="9"/>
        <v>2029</v>
      </c>
      <c r="G91" s="106">
        <v>1.9E-2</v>
      </c>
      <c r="I91" s="174">
        <f t="shared" si="10"/>
        <v>2038</v>
      </c>
      <c r="J91" s="106">
        <v>0.02</v>
      </c>
      <c r="N91" s="149"/>
      <c r="O91" s="149"/>
    </row>
    <row r="92" spans="3:15" s="151" customFormat="1" x14ac:dyDescent="0.2">
      <c r="I92" s="174">
        <f t="shared" si="10"/>
        <v>2039</v>
      </c>
      <c r="J92" s="106">
        <v>0.02</v>
      </c>
      <c r="N92" s="149"/>
      <c r="O92" s="149"/>
    </row>
    <row r="93" spans="3:15" s="151" customFormat="1" x14ac:dyDescent="0.2">
      <c r="I93" s="174">
        <f t="shared" si="10"/>
        <v>2040</v>
      </c>
      <c r="J93" s="106">
        <v>0.02</v>
      </c>
      <c r="N93" s="149"/>
      <c r="O93" s="149"/>
    </row>
    <row r="94" spans="3:15" x14ac:dyDescent="0.2">
      <c r="D94" s="187"/>
    </row>
    <row r="95" spans="3:15" x14ac:dyDescent="0.2">
      <c r="D95" s="187"/>
    </row>
  </sheetData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tabSelected="1" topLeftCell="A103" zoomScaleNormal="100" zoomScaleSheetLayoutView="85" workbookViewId="0">
      <selection activeCell="K15" sqref="K15"/>
    </sheetView>
  </sheetViews>
  <sheetFormatPr defaultColWidth="9.33203125" defaultRowHeight="12.75" x14ac:dyDescent="0.2"/>
  <cols>
    <col min="1" max="1" width="2.83203125" style="149" customWidth="1"/>
    <col min="2" max="2" width="10.83203125" style="149" customWidth="1"/>
    <col min="3" max="3" width="14.1640625" style="149" customWidth="1"/>
    <col min="4" max="4" width="12.33203125" style="149" customWidth="1"/>
    <col min="5" max="5" width="9.1640625" style="149" customWidth="1"/>
    <col min="6" max="6" width="10.5" style="149" customWidth="1"/>
    <col min="7" max="7" width="10.5" style="149" bestFit="1" customWidth="1"/>
    <col min="8" max="8" width="11.6640625" style="149" bestFit="1" customWidth="1"/>
    <col min="9" max="9" width="11.1640625" style="149" customWidth="1"/>
    <col min="10" max="10" width="12" style="149" bestFit="1" customWidth="1"/>
    <col min="11" max="11" width="12" style="149" customWidth="1"/>
    <col min="12" max="13" width="9.33203125" style="149"/>
    <col min="14" max="15" width="9.33203125" style="149" customWidth="1"/>
    <col min="16" max="16384" width="9.33203125" style="149"/>
  </cols>
  <sheetData>
    <row r="1" spans="2:14" ht="15.75" x14ac:dyDescent="0.25">
      <c r="B1" s="1" t="s">
        <v>73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2:14" ht="15.75" x14ac:dyDescent="0.25">
      <c r="B2" s="1"/>
      <c r="C2" s="148"/>
      <c r="D2" s="148"/>
      <c r="E2" s="148"/>
      <c r="F2" s="148"/>
      <c r="G2" s="148"/>
      <c r="H2" s="148"/>
      <c r="I2" s="148"/>
      <c r="J2" s="148"/>
      <c r="K2" s="148"/>
    </row>
    <row r="3" spans="2:14" ht="15.75" x14ac:dyDescent="0.25">
      <c r="B3" s="1" t="s">
        <v>117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4" ht="15.75" x14ac:dyDescent="0.25">
      <c r="B4" s="1" t="s">
        <v>102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2:14" ht="15.75" x14ac:dyDescent="0.25">
      <c r="B5" s="1" t="str">
        <f>C54</f>
        <v>661 MW - CCCT Dry "F" 2x1 - East Side Resource (5,050')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2:14" ht="15.75" x14ac:dyDescent="0.25">
      <c r="B6" s="1"/>
      <c r="C6" s="148"/>
      <c r="D6" s="148"/>
      <c r="E6" s="148"/>
      <c r="F6" s="148"/>
      <c r="G6" s="148"/>
      <c r="H6" s="148"/>
      <c r="I6" s="148"/>
      <c r="K6" s="64"/>
    </row>
    <row r="7" spans="2:14" x14ac:dyDescent="0.2">
      <c r="B7" s="150"/>
      <c r="C7" s="150"/>
      <c r="D7" s="150"/>
      <c r="E7" s="150"/>
      <c r="F7" s="150"/>
      <c r="G7" s="150"/>
      <c r="H7" s="150"/>
      <c r="I7" s="148"/>
      <c r="J7" s="151"/>
      <c r="K7" s="151"/>
      <c r="L7" s="151"/>
      <c r="M7" s="151"/>
      <c r="N7" s="151"/>
    </row>
    <row r="8" spans="2:14" ht="51.75" customHeight="1" x14ac:dyDescent="0.2">
      <c r="B8" s="65" t="s">
        <v>0</v>
      </c>
      <c r="C8" s="66" t="s">
        <v>10</v>
      </c>
      <c r="D8" s="66" t="s">
        <v>11</v>
      </c>
      <c r="E8" s="66" t="s">
        <v>12</v>
      </c>
      <c r="F8" s="66" t="s">
        <v>13</v>
      </c>
      <c r="G8" s="66" t="s">
        <v>14</v>
      </c>
      <c r="H8" s="66" t="s">
        <v>15</v>
      </c>
      <c r="I8" s="67" t="s">
        <v>41</v>
      </c>
      <c r="J8" s="67" t="s">
        <v>85</v>
      </c>
      <c r="K8" s="66" t="s">
        <v>86</v>
      </c>
      <c r="L8" s="151"/>
    </row>
    <row r="9" spans="2:14" ht="18.75" customHeight="1" x14ac:dyDescent="0.2">
      <c r="B9" s="68"/>
      <c r="C9" s="69" t="s">
        <v>8</v>
      </c>
      <c r="D9" s="70" t="s">
        <v>9</v>
      </c>
      <c r="E9" s="70" t="s">
        <v>9</v>
      </c>
      <c r="F9" s="69" t="s">
        <v>59</v>
      </c>
      <c r="G9" s="70" t="s">
        <v>9</v>
      </c>
      <c r="H9" s="70" t="s">
        <v>9</v>
      </c>
      <c r="I9" s="70" t="s">
        <v>42</v>
      </c>
      <c r="J9" s="69" t="s">
        <v>59</v>
      </c>
      <c r="K9" s="69" t="s">
        <v>59</v>
      </c>
      <c r="L9" s="151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50</v>
      </c>
    </row>
    <row r="11" spans="2:14" ht="6" customHeight="1" x14ac:dyDescent="0.2"/>
    <row r="12" spans="2:14" ht="15.75" x14ac:dyDescent="0.25">
      <c r="B12" s="109" t="str">
        <f>C54</f>
        <v>661 MW - CCCT Dry "F" 2x1 - East Side Resource (5,050')</v>
      </c>
      <c r="C12" s="151"/>
      <c r="E12" s="151"/>
      <c r="F12" s="151"/>
      <c r="G12" s="151"/>
      <c r="H12" s="151"/>
      <c r="I12" s="150"/>
      <c r="J12" s="150"/>
      <c r="K12" s="150"/>
      <c r="L12" s="151"/>
    </row>
    <row r="13" spans="2:14" ht="4.5" customHeight="1" x14ac:dyDescent="0.2">
      <c r="B13" s="152"/>
      <c r="C13" s="153"/>
      <c r="D13" s="154"/>
      <c r="E13" s="155"/>
      <c r="F13" s="155"/>
      <c r="G13" s="156"/>
      <c r="H13" s="156"/>
      <c r="I13" s="156"/>
      <c r="J13" s="156"/>
      <c r="K13" s="156"/>
    </row>
    <row r="14" spans="2:14" x14ac:dyDescent="0.2">
      <c r="B14" s="152">
        <v>2012</v>
      </c>
      <c r="C14" s="153">
        <f>$H$60</f>
        <v>1026</v>
      </c>
      <c r="D14" s="154">
        <f>ROUND(C14*$C$76,2)</f>
        <v>80.91</v>
      </c>
      <c r="E14" s="155">
        <f>$I$60</f>
        <v>21.73</v>
      </c>
      <c r="F14" s="155">
        <f>$J$65</f>
        <v>2.4300000000000002</v>
      </c>
      <c r="G14" s="156">
        <f t="shared" ref="G14:G42" si="0">ROUND(F14*(8.76*$G$65)+E14,2)</f>
        <v>31.86</v>
      </c>
      <c r="H14" s="156">
        <f t="shared" ref="H14:H42" si="1">ROUND(D14+G14,2)</f>
        <v>112.77</v>
      </c>
      <c r="I14" s="156"/>
      <c r="J14" s="156"/>
      <c r="K14" s="156"/>
    </row>
    <row r="15" spans="2:14" x14ac:dyDescent="0.2">
      <c r="B15" s="152">
        <f t="shared" ref="B15:B42" si="2">B14+1</f>
        <v>2013</v>
      </c>
      <c r="C15" s="157"/>
      <c r="D15" s="154">
        <f t="shared" ref="D15:F22" si="3">ROUND(D14*(1+$D84),2)</f>
        <v>82.04</v>
      </c>
      <c r="E15" s="154">
        <f t="shared" si="3"/>
        <v>22.03</v>
      </c>
      <c r="F15" s="154">
        <f t="shared" si="3"/>
        <v>2.46</v>
      </c>
      <c r="G15" s="158">
        <f t="shared" si="0"/>
        <v>32.29</v>
      </c>
      <c r="H15" s="158">
        <f t="shared" si="1"/>
        <v>114.33</v>
      </c>
      <c r="I15" s="156"/>
      <c r="J15" s="156"/>
      <c r="K15" s="156"/>
    </row>
    <row r="16" spans="2:14" x14ac:dyDescent="0.2">
      <c r="B16" s="152">
        <f t="shared" si="2"/>
        <v>2014</v>
      </c>
      <c r="C16" s="157"/>
      <c r="D16" s="154">
        <f t="shared" si="3"/>
        <v>83.43</v>
      </c>
      <c r="E16" s="154">
        <f t="shared" si="3"/>
        <v>22.4</v>
      </c>
      <c r="F16" s="154">
        <f t="shared" si="3"/>
        <v>2.5</v>
      </c>
      <c r="G16" s="156">
        <f t="shared" si="0"/>
        <v>32.82</v>
      </c>
      <c r="H16" s="156">
        <f t="shared" si="1"/>
        <v>116.25</v>
      </c>
      <c r="I16" s="156"/>
      <c r="J16" s="156"/>
      <c r="K16" s="156"/>
    </row>
    <row r="17" spans="2:11" x14ac:dyDescent="0.2">
      <c r="B17" s="152">
        <f t="shared" si="2"/>
        <v>2015</v>
      </c>
      <c r="C17" s="157"/>
      <c r="D17" s="158">
        <f t="shared" si="3"/>
        <v>84.93</v>
      </c>
      <c r="E17" s="158">
        <f t="shared" si="3"/>
        <v>22.8</v>
      </c>
      <c r="F17" s="158">
        <f t="shared" si="3"/>
        <v>2.5499999999999998</v>
      </c>
      <c r="G17" s="156">
        <f t="shared" si="0"/>
        <v>33.43</v>
      </c>
      <c r="H17" s="156">
        <f t="shared" si="1"/>
        <v>118.36</v>
      </c>
      <c r="I17" s="156"/>
      <c r="J17" s="156"/>
      <c r="K17" s="156"/>
    </row>
    <row r="18" spans="2:11" x14ac:dyDescent="0.2">
      <c r="B18" s="152">
        <f t="shared" si="2"/>
        <v>2016</v>
      </c>
      <c r="C18" s="157"/>
      <c r="D18" s="158">
        <f t="shared" si="3"/>
        <v>86.2</v>
      </c>
      <c r="E18" s="158">
        <f t="shared" si="3"/>
        <v>23.14</v>
      </c>
      <c r="F18" s="158">
        <f t="shared" si="3"/>
        <v>2.59</v>
      </c>
      <c r="G18" s="156">
        <f t="shared" si="0"/>
        <v>33.94</v>
      </c>
      <c r="H18" s="156">
        <f t="shared" si="1"/>
        <v>120.14</v>
      </c>
      <c r="I18" s="156"/>
      <c r="J18" s="156"/>
      <c r="K18" s="156"/>
    </row>
    <row r="19" spans="2:11" x14ac:dyDescent="0.2">
      <c r="B19" s="152">
        <f t="shared" si="2"/>
        <v>2017</v>
      </c>
      <c r="C19" s="157"/>
      <c r="D19" s="158">
        <f t="shared" si="3"/>
        <v>87.75</v>
      </c>
      <c r="E19" s="158">
        <f t="shared" si="3"/>
        <v>23.56</v>
      </c>
      <c r="F19" s="158">
        <f t="shared" si="3"/>
        <v>2.64</v>
      </c>
      <c r="G19" s="156">
        <f t="shared" si="0"/>
        <v>34.57</v>
      </c>
      <c r="H19" s="156">
        <f t="shared" si="1"/>
        <v>122.32</v>
      </c>
      <c r="I19" s="156"/>
      <c r="J19" s="156"/>
      <c r="K19" s="156"/>
    </row>
    <row r="20" spans="2:11" x14ac:dyDescent="0.2">
      <c r="B20" s="152">
        <f t="shared" si="2"/>
        <v>2018</v>
      </c>
      <c r="C20" s="157"/>
      <c r="D20" s="158">
        <f t="shared" si="3"/>
        <v>89.42</v>
      </c>
      <c r="E20" s="158">
        <f t="shared" si="3"/>
        <v>24.01</v>
      </c>
      <c r="F20" s="158">
        <f t="shared" si="3"/>
        <v>2.69</v>
      </c>
      <c r="G20" s="156">
        <f t="shared" si="0"/>
        <v>35.229999999999997</v>
      </c>
      <c r="H20" s="156">
        <f t="shared" si="1"/>
        <v>124.65</v>
      </c>
      <c r="I20" s="156"/>
      <c r="J20" s="156"/>
      <c r="K20" s="156"/>
    </row>
    <row r="21" spans="2:11" x14ac:dyDescent="0.2">
      <c r="B21" s="152">
        <f t="shared" si="2"/>
        <v>2019</v>
      </c>
      <c r="C21" s="157"/>
      <c r="D21" s="158">
        <f t="shared" si="3"/>
        <v>91.03</v>
      </c>
      <c r="E21" s="158">
        <f t="shared" si="3"/>
        <v>24.44</v>
      </c>
      <c r="F21" s="158">
        <f t="shared" si="3"/>
        <v>2.74</v>
      </c>
      <c r="G21" s="156">
        <f t="shared" si="0"/>
        <v>35.869999999999997</v>
      </c>
      <c r="H21" s="156">
        <f t="shared" si="1"/>
        <v>126.9</v>
      </c>
      <c r="I21" s="156"/>
      <c r="J21" s="156"/>
      <c r="K21" s="156"/>
    </row>
    <row r="22" spans="2:11" x14ac:dyDescent="0.2">
      <c r="B22" s="152">
        <f t="shared" si="2"/>
        <v>2020</v>
      </c>
      <c r="C22" s="157"/>
      <c r="D22" s="158">
        <f t="shared" si="3"/>
        <v>92.76</v>
      </c>
      <c r="E22" s="158">
        <f t="shared" si="3"/>
        <v>24.9</v>
      </c>
      <c r="F22" s="158">
        <f t="shared" si="3"/>
        <v>2.79</v>
      </c>
      <c r="G22" s="156">
        <f t="shared" si="0"/>
        <v>36.53</v>
      </c>
      <c r="H22" s="156">
        <f t="shared" si="1"/>
        <v>129.29</v>
      </c>
      <c r="I22" s="156"/>
      <c r="J22" s="156"/>
      <c r="K22" s="156"/>
    </row>
    <row r="23" spans="2:11" x14ac:dyDescent="0.2">
      <c r="B23" s="152">
        <f t="shared" si="2"/>
        <v>2021</v>
      </c>
      <c r="C23" s="157"/>
      <c r="D23" s="158">
        <f t="shared" ref="D23:F31" si="4">ROUND(D22*(1+$G83),2)</f>
        <v>94.62</v>
      </c>
      <c r="E23" s="158">
        <f t="shared" si="4"/>
        <v>25.4</v>
      </c>
      <c r="F23" s="158">
        <f t="shared" si="4"/>
        <v>2.85</v>
      </c>
      <c r="G23" s="156">
        <f t="shared" si="0"/>
        <v>37.28</v>
      </c>
      <c r="H23" s="156">
        <f t="shared" si="1"/>
        <v>131.9</v>
      </c>
      <c r="I23" s="156"/>
      <c r="J23" s="156"/>
      <c r="K23" s="156"/>
    </row>
    <row r="24" spans="2:11" x14ac:dyDescent="0.2">
      <c r="B24" s="152">
        <f t="shared" si="2"/>
        <v>2022</v>
      </c>
      <c r="C24" s="157"/>
      <c r="D24" s="158">
        <f t="shared" si="4"/>
        <v>96.51</v>
      </c>
      <c r="E24" s="158">
        <f t="shared" si="4"/>
        <v>25.91</v>
      </c>
      <c r="F24" s="158">
        <f t="shared" si="4"/>
        <v>2.91</v>
      </c>
      <c r="G24" s="156">
        <f t="shared" si="0"/>
        <v>38.04</v>
      </c>
      <c r="H24" s="156">
        <f t="shared" si="1"/>
        <v>134.55000000000001</v>
      </c>
      <c r="I24" s="156"/>
      <c r="J24" s="156"/>
      <c r="K24" s="156"/>
    </row>
    <row r="25" spans="2:11" x14ac:dyDescent="0.2">
      <c r="B25" s="152">
        <f t="shared" si="2"/>
        <v>2023</v>
      </c>
      <c r="C25" s="157"/>
      <c r="D25" s="158">
        <f t="shared" si="4"/>
        <v>98.44</v>
      </c>
      <c r="E25" s="158">
        <f t="shared" si="4"/>
        <v>26.43</v>
      </c>
      <c r="F25" s="158">
        <f t="shared" si="4"/>
        <v>2.97</v>
      </c>
      <c r="G25" s="156">
        <f t="shared" si="0"/>
        <v>38.81</v>
      </c>
      <c r="H25" s="156">
        <f t="shared" si="1"/>
        <v>137.25</v>
      </c>
      <c r="I25" s="156"/>
      <c r="J25" s="156"/>
      <c r="K25" s="156"/>
    </row>
    <row r="26" spans="2:11" x14ac:dyDescent="0.2">
      <c r="B26" s="152">
        <f t="shared" si="2"/>
        <v>2024</v>
      </c>
      <c r="C26" s="157"/>
      <c r="D26" s="158">
        <f t="shared" si="4"/>
        <v>100.51</v>
      </c>
      <c r="E26" s="158">
        <f t="shared" si="4"/>
        <v>26.99</v>
      </c>
      <c r="F26" s="158">
        <f t="shared" si="4"/>
        <v>3.03</v>
      </c>
      <c r="G26" s="156">
        <f t="shared" si="0"/>
        <v>39.619999999999997</v>
      </c>
      <c r="H26" s="156">
        <f t="shared" si="1"/>
        <v>140.13</v>
      </c>
      <c r="I26" s="156"/>
      <c r="J26" s="156"/>
      <c r="K26" s="156"/>
    </row>
    <row r="27" spans="2:11" x14ac:dyDescent="0.2">
      <c r="B27" s="152">
        <f t="shared" si="2"/>
        <v>2025</v>
      </c>
      <c r="C27" s="157"/>
      <c r="D27" s="158">
        <f t="shared" si="4"/>
        <v>102.52</v>
      </c>
      <c r="E27" s="158">
        <f t="shared" si="4"/>
        <v>27.53</v>
      </c>
      <c r="F27" s="158">
        <f t="shared" si="4"/>
        <v>3.09</v>
      </c>
      <c r="G27" s="156">
        <f t="shared" si="0"/>
        <v>40.409999999999997</v>
      </c>
      <c r="H27" s="156">
        <f t="shared" si="1"/>
        <v>142.93</v>
      </c>
      <c r="I27" s="156"/>
      <c r="J27" s="156"/>
      <c r="K27" s="156"/>
    </row>
    <row r="28" spans="2:11" x14ac:dyDescent="0.2">
      <c r="B28" s="152">
        <f t="shared" si="2"/>
        <v>2026</v>
      </c>
      <c r="C28" s="157"/>
      <c r="D28" s="158">
        <f t="shared" si="4"/>
        <v>104.57</v>
      </c>
      <c r="E28" s="158">
        <f t="shared" si="4"/>
        <v>28.08</v>
      </c>
      <c r="F28" s="158">
        <f t="shared" si="4"/>
        <v>3.15</v>
      </c>
      <c r="G28" s="156">
        <f t="shared" si="0"/>
        <v>41.21</v>
      </c>
      <c r="H28" s="156">
        <f t="shared" si="1"/>
        <v>145.78</v>
      </c>
      <c r="I28" s="156"/>
      <c r="J28" s="156"/>
      <c r="K28" s="156"/>
    </row>
    <row r="29" spans="2:11" x14ac:dyDescent="0.2">
      <c r="B29" s="152">
        <f t="shared" si="2"/>
        <v>2027</v>
      </c>
      <c r="C29" s="157"/>
      <c r="D29" s="158">
        <f t="shared" si="4"/>
        <v>106.66</v>
      </c>
      <c r="E29" s="158">
        <f t="shared" si="4"/>
        <v>28.64</v>
      </c>
      <c r="F29" s="158">
        <f t="shared" si="4"/>
        <v>3.21</v>
      </c>
      <c r="G29" s="156">
        <f t="shared" si="0"/>
        <v>42.02</v>
      </c>
      <c r="H29" s="156">
        <f t="shared" si="1"/>
        <v>148.68</v>
      </c>
      <c r="I29" s="156"/>
      <c r="J29" s="156"/>
      <c r="K29" s="156"/>
    </row>
    <row r="30" spans="2:11" s="193" customFormat="1" x14ac:dyDescent="0.2">
      <c r="B30" s="196">
        <f t="shared" si="2"/>
        <v>2028</v>
      </c>
      <c r="C30" s="197"/>
      <c r="D30" s="158">
        <f t="shared" si="4"/>
        <v>108.69</v>
      </c>
      <c r="E30" s="158">
        <f t="shared" si="4"/>
        <v>29.18</v>
      </c>
      <c r="F30" s="158">
        <f t="shared" si="4"/>
        <v>3.27</v>
      </c>
      <c r="G30" s="156">
        <f>ROUND(F30*(8.76*$G$65)+E30,2)</f>
        <v>42.82</v>
      </c>
      <c r="H30" s="156">
        <f t="shared" si="1"/>
        <v>151.51</v>
      </c>
      <c r="I30" s="156"/>
      <c r="J30" s="156"/>
      <c r="K30" s="156"/>
    </row>
    <row r="31" spans="2:11" s="193" customFormat="1" ht="13.5" thickBot="1" x14ac:dyDescent="0.25">
      <c r="B31" s="196">
        <f t="shared" si="2"/>
        <v>2029</v>
      </c>
      <c r="C31" s="197"/>
      <c r="D31" s="218">
        <f t="shared" si="4"/>
        <v>110.76</v>
      </c>
      <c r="E31" s="218">
        <f t="shared" si="4"/>
        <v>29.73</v>
      </c>
      <c r="F31" s="218">
        <f t="shared" si="4"/>
        <v>3.33</v>
      </c>
      <c r="G31" s="189">
        <f t="shared" si="0"/>
        <v>43.62</v>
      </c>
      <c r="H31" s="189">
        <f t="shared" si="1"/>
        <v>154.38</v>
      </c>
      <c r="I31" s="189"/>
      <c r="J31" s="189"/>
      <c r="K31" s="189"/>
    </row>
    <row r="32" spans="2:11" s="193" customFormat="1" x14ac:dyDescent="0.2">
      <c r="B32" s="196">
        <f t="shared" si="2"/>
        <v>2030</v>
      </c>
      <c r="C32" s="197"/>
      <c r="D32" s="191">
        <f t="shared" ref="D32:F42" si="5">ROUND(D31*(1+$J83),2)</f>
        <v>112.86</v>
      </c>
      <c r="E32" s="191">
        <f t="shared" si="5"/>
        <v>30.29</v>
      </c>
      <c r="F32" s="191">
        <f t="shared" si="5"/>
        <v>3.39</v>
      </c>
      <c r="G32" s="191">
        <f t="shared" si="0"/>
        <v>44.43</v>
      </c>
      <c r="H32" s="191">
        <f t="shared" si="1"/>
        <v>157.29</v>
      </c>
      <c r="I32" s="156">
        <f>VLOOKUP(B32,'Table 4'!$B$13:$C$38,2,FALSE)</f>
        <v>7.12</v>
      </c>
      <c r="J32" s="156">
        <f t="shared" ref="J32:J42" si="6">ROUND($K$65*I32/1000,2)</f>
        <v>48.84</v>
      </c>
      <c r="K32" s="156">
        <f t="shared" ref="K32:K42" si="7">ROUND(H32*1000/8760/$G$65+J32,2)</f>
        <v>86.56</v>
      </c>
    </row>
    <row r="33" spans="2:15" x14ac:dyDescent="0.2">
      <c r="B33" s="152">
        <f t="shared" si="2"/>
        <v>2031</v>
      </c>
      <c r="C33" s="157"/>
      <c r="D33" s="156">
        <f t="shared" si="5"/>
        <v>115</v>
      </c>
      <c r="E33" s="154">
        <f t="shared" si="5"/>
        <v>30.87</v>
      </c>
      <c r="F33" s="154">
        <f t="shared" si="5"/>
        <v>3.45</v>
      </c>
      <c r="G33" s="156">
        <f t="shared" si="0"/>
        <v>45.26</v>
      </c>
      <c r="H33" s="156">
        <f t="shared" si="1"/>
        <v>160.26</v>
      </c>
      <c r="I33" s="156">
        <f>VLOOKUP(B33,'Table 4'!$B$13:$C$38,2,FALSE)</f>
        <v>7.27</v>
      </c>
      <c r="J33" s="156">
        <f t="shared" si="6"/>
        <v>49.87</v>
      </c>
      <c r="K33" s="156">
        <f t="shared" si="7"/>
        <v>88.3</v>
      </c>
    </row>
    <row r="34" spans="2:15" x14ac:dyDescent="0.2">
      <c r="B34" s="152">
        <f t="shared" si="2"/>
        <v>2032</v>
      </c>
      <c r="C34" s="157"/>
      <c r="D34" s="156">
        <f t="shared" si="5"/>
        <v>117.19</v>
      </c>
      <c r="E34" s="154">
        <f t="shared" si="5"/>
        <v>31.46</v>
      </c>
      <c r="F34" s="154">
        <f t="shared" si="5"/>
        <v>3.52</v>
      </c>
      <c r="G34" s="156">
        <f t="shared" si="0"/>
        <v>46.14</v>
      </c>
      <c r="H34" s="156">
        <f t="shared" si="1"/>
        <v>163.33000000000001</v>
      </c>
      <c r="I34" s="156">
        <f>VLOOKUP(B34,'Table 4'!$B$13:$C$38,2,FALSE)</f>
        <v>7.41</v>
      </c>
      <c r="J34" s="156">
        <f t="shared" si="6"/>
        <v>50.83</v>
      </c>
      <c r="K34" s="156">
        <f t="shared" si="7"/>
        <v>90</v>
      </c>
    </row>
    <row r="35" spans="2:15" x14ac:dyDescent="0.2">
      <c r="B35" s="152">
        <f t="shared" si="2"/>
        <v>2033</v>
      </c>
      <c r="C35" s="157"/>
      <c r="D35" s="156">
        <f t="shared" si="5"/>
        <v>119.53</v>
      </c>
      <c r="E35" s="154">
        <f t="shared" si="5"/>
        <v>32.090000000000003</v>
      </c>
      <c r="F35" s="154">
        <f t="shared" si="5"/>
        <v>3.59</v>
      </c>
      <c r="G35" s="156">
        <f t="shared" si="0"/>
        <v>47.06</v>
      </c>
      <c r="H35" s="156">
        <f t="shared" si="1"/>
        <v>166.59</v>
      </c>
      <c r="I35" s="156">
        <f>VLOOKUP(B35,'Table 4'!$B$13:$C$38,2,FALSE)</f>
        <v>7.56</v>
      </c>
      <c r="J35" s="156">
        <f t="shared" si="6"/>
        <v>51.86</v>
      </c>
      <c r="K35" s="156">
        <f t="shared" si="7"/>
        <v>91.81</v>
      </c>
    </row>
    <row r="36" spans="2:15" x14ac:dyDescent="0.2">
      <c r="B36" s="152">
        <f t="shared" si="2"/>
        <v>2034</v>
      </c>
      <c r="C36" s="157"/>
      <c r="D36" s="156">
        <f t="shared" si="5"/>
        <v>121.8</v>
      </c>
      <c r="E36" s="154">
        <f t="shared" si="5"/>
        <v>32.700000000000003</v>
      </c>
      <c r="F36" s="154">
        <f t="shared" si="5"/>
        <v>3.66</v>
      </c>
      <c r="G36" s="156">
        <f t="shared" si="0"/>
        <v>47.96</v>
      </c>
      <c r="H36" s="156">
        <f t="shared" si="1"/>
        <v>169.76</v>
      </c>
      <c r="I36" s="156">
        <f>VLOOKUP(B36,'Table 4'!$B$13:$C$38,2,FALSE)</f>
        <v>7.71</v>
      </c>
      <c r="J36" s="156">
        <f t="shared" si="6"/>
        <v>52.89</v>
      </c>
      <c r="K36" s="156">
        <f t="shared" si="7"/>
        <v>93.6</v>
      </c>
    </row>
    <row r="37" spans="2:15" x14ac:dyDescent="0.2">
      <c r="B37" s="152">
        <f t="shared" si="2"/>
        <v>2035</v>
      </c>
      <c r="C37" s="157"/>
      <c r="D37" s="156">
        <f t="shared" si="5"/>
        <v>124.24</v>
      </c>
      <c r="E37" s="154">
        <f t="shared" si="5"/>
        <v>33.35</v>
      </c>
      <c r="F37" s="154">
        <f t="shared" si="5"/>
        <v>3.73</v>
      </c>
      <c r="G37" s="156">
        <f t="shared" si="0"/>
        <v>48.9</v>
      </c>
      <c r="H37" s="156">
        <f t="shared" si="1"/>
        <v>173.14</v>
      </c>
      <c r="I37" s="156">
        <f>VLOOKUP(B37,'Table 4'!$B$13:$C$38,2,FALSE)</f>
        <v>7.86</v>
      </c>
      <c r="J37" s="156">
        <f t="shared" si="6"/>
        <v>53.92</v>
      </c>
      <c r="K37" s="156">
        <f t="shared" si="7"/>
        <v>95.44</v>
      </c>
    </row>
    <row r="38" spans="2:15" x14ac:dyDescent="0.2">
      <c r="B38" s="152">
        <f t="shared" si="2"/>
        <v>2036</v>
      </c>
      <c r="C38" s="157"/>
      <c r="D38" s="156">
        <f t="shared" si="5"/>
        <v>126.72</v>
      </c>
      <c r="E38" s="154">
        <f t="shared" si="5"/>
        <v>34.020000000000003</v>
      </c>
      <c r="F38" s="154">
        <f t="shared" si="5"/>
        <v>3.8</v>
      </c>
      <c r="G38" s="156">
        <f t="shared" si="0"/>
        <v>49.87</v>
      </c>
      <c r="H38" s="156">
        <f t="shared" si="1"/>
        <v>176.59</v>
      </c>
      <c r="I38" s="156">
        <f>VLOOKUP(B38,'Table 4'!$B$13:$C$38,2,FALSE)</f>
        <v>8.0299999999999994</v>
      </c>
      <c r="J38" s="156">
        <f t="shared" si="6"/>
        <v>55.09</v>
      </c>
      <c r="K38" s="156">
        <f t="shared" si="7"/>
        <v>97.44</v>
      </c>
    </row>
    <row r="39" spans="2:15" x14ac:dyDescent="0.2">
      <c r="B39" s="152">
        <f t="shared" si="2"/>
        <v>2037</v>
      </c>
      <c r="C39" s="157"/>
      <c r="D39" s="156">
        <f t="shared" si="5"/>
        <v>129.25</v>
      </c>
      <c r="E39" s="154">
        <f t="shared" si="5"/>
        <v>34.700000000000003</v>
      </c>
      <c r="F39" s="154">
        <f t="shared" si="5"/>
        <v>3.88</v>
      </c>
      <c r="G39" s="156">
        <f t="shared" si="0"/>
        <v>50.88</v>
      </c>
      <c r="H39" s="156">
        <f t="shared" si="1"/>
        <v>180.13</v>
      </c>
      <c r="I39" s="156">
        <f>VLOOKUP(B39,'Table 4'!$B$13:$C$38,2,FALSE)</f>
        <v>8.1999999999999993</v>
      </c>
      <c r="J39" s="156">
        <f t="shared" si="6"/>
        <v>56.25</v>
      </c>
      <c r="K39" s="156">
        <f t="shared" si="7"/>
        <v>99.45</v>
      </c>
    </row>
    <row r="40" spans="2:15" x14ac:dyDescent="0.2">
      <c r="B40" s="152">
        <f t="shared" si="2"/>
        <v>2038</v>
      </c>
      <c r="C40" s="157"/>
      <c r="D40" s="156">
        <f t="shared" si="5"/>
        <v>131.84</v>
      </c>
      <c r="E40" s="154">
        <f t="shared" si="5"/>
        <v>35.39</v>
      </c>
      <c r="F40" s="154">
        <f t="shared" si="5"/>
        <v>3.96</v>
      </c>
      <c r="G40" s="156">
        <f t="shared" si="0"/>
        <v>51.9</v>
      </c>
      <c r="H40" s="156">
        <f t="shared" si="1"/>
        <v>183.74</v>
      </c>
      <c r="I40" s="156">
        <f>VLOOKUP(B40,'Table 4'!$B$13:$C$38,2,FALSE)</f>
        <v>8.3699999999999992</v>
      </c>
      <c r="J40" s="156">
        <f t="shared" si="6"/>
        <v>57.42</v>
      </c>
      <c r="K40" s="156">
        <f t="shared" si="7"/>
        <v>101.48</v>
      </c>
    </row>
    <row r="41" spans="2:15" hidden="1" x14ac:dyDescent="0.2">
      <c r="B41" s="152">
        <f t="shared" si="2"/>
        <v>2039</v>
      </c>
      <c r="C41" s="157"/>
      <c r="D41" s="156">
        <f t="shared" si="5"/>
        <v>134.47999999999999</v>
      </c>
      <c r="E41" s="154">
        <f t="shared" si="5"/>
        <v>36.1</v>
      </c>
      <c r="F41" s="154">
        <f t="shared" si="5"/>
        <v>4.04</v>
      </c>
      <c r="G41" s="156">
        <f t="shared" si="0"/>
        <v>52.95</v>
      </c>
      <c r="H41" s="156">
        <f t="shared" si="1"/>
        <v>187.43</v>
      </c>
      <c r="I41" s="156" t="e">
        <f>VLOOKUP(B41,'Table 4'!$B$13:$C$38,2,FALSE)</f>
        <v>#N/A</v>
      </c>
      <c r="J41" s="156" t="e">
        <f t="shared" si="6"/>
        <v>#N/A</v>
      </c>
      <c r="K41" s="156" t="e">
        <f t="shared" si="7"/>
        <v>#N/A</v>
      </c>
    </row>
    <row r="42" spans="2:15" hidden="1" x14ac:dyDescent="0.2">
      <c r="B42" s="152">
        <f t="shared" si="2"/>
        <v>2040</v>
      </c>
      <c r="C42" s="157"/>
      <c r="D42" s="156">
        <f t="shared" si="5"/>
        <v>137.16999999999999</v>
      </c>
      <c r="E42" s="154">
        <f t="shared" si="5"/>
        <v>36.82</v>
      </c>
      <c r="F42" s="154">
        <f t="shared" si="5"/>
        <v>4.12</v>
      </c>
      <c r="G42" s="156">
        <f t="shared" si="0"/>
        <v>54</v>
      </c>
      <c r="H42" s="156">
        <f t="shared" si="1"/>
        <v>191.17</v>
      </c>
      <c r="I42" s="156" t="e">
        <f>VLOOKUP(B42,'Table 4'!$B$13:$C$38,2,FALSE)</f>
        <v>#N/A</v>
      </c>
      <c r="J42" s="156" t="e">
        <f t="shared" si="6"/>
        <v>#N/A</v>
      </c>
      <c r="K42" s="156" t="e">
        <f t="shared" si="7"/>
        <v>#N/A</v>
      </c>
    </row>
    <row r="43" spans="2:15" x14ac:dyDescent="0.2">
      <c r="M43" s="152"/>
      <c r="O43" s="159"/>
    </row>
    <row r="44" spans="2:15" ht="14.25" x14ac:dyDescent="0.2">
      <c r="B44" s="7" t="s">
        <v>51</v>
      </c>
      <c r="C44" s="71"/>
      <c r="D44" s="71"/>
      <c r="E44" s="71"/>
      <c r="F44" s="71"/>
      <c r="G44" s="71"/>
      <c r="H44" s="71"/>
      <c r="I44" s="71"/>
      <c r="J44" s="71"/>
      <c r="K44" s="71"/>
      <c r="M44" s="152"/>
      <c r="N44" s="159"/>
      <c r="O44" s="159"/>
    </row>
    <row r="46" spans="2:15" x14ac:dyDescent="0.2">
      <c r="B46" s="149" t="s">
        <v>30</v>
      </c>
      <c r="D46" s="160" t="s">
        <v>100</v>
      </c>
    </row>
    <row r="47" spans="2:15" x14ac:dyDescent="0.2">
      <c r="C47" s="161" t="str">
        <f>D10</f>
        <v>(b)</v>
      </c>
      <c r="D47" s="156" t="str">
        <f>"= "&amp;C10&amp;" x "&amp;C76</f>
        <v>= (a) x 0.07886</v>
      </c>
    </row>
    <row r="48" spans="2:15" x14ac:dyDescent="0.2">
      <c r="C48" s="161" t="str">
        <f>G10</f>
        <v>(e)</v>
      </c>
      <c r="D48" s="156" t="str">
        <f>"= "&amp;$F$10&amp;" x  (8.76 x "&amp;TEXT(G65,"0.0%")&amp;") + "&amp;$E$10</f>
        <v>= (d) x  (8.76 x 47.6%) + (c)</v>
      </c>
    </row>
    <row r="49" spans="3:11" x14ac:dyDescent="0.2">
      <c r="C49" s="161" t="str">
        <f>H10</f>
        <v>(f)</v>
      </c>
      <c r="D49" s="156" t="str">
        <f>"= "&amp;D10&amp;" + "&amp;G10</f>
        <v>= (b) + (e)</v>
      </c>
    </row>
    <row r="50" spans="3:11" x14ac:dyDescent="0.2">
      <c r="C50" s="161" t="str">
        <f>I10</f>
        <v>(g)</v>
      </c>
      <c r="D50" s="192" t="str">
        <f>'Table 4'!B3&amp;" - "&amp;'Table 4'!B4</f>
        <v>Table 4 - Burnertip Natural Gas Price Forecast</v>
      </c>
    </row>
    <row r="51" spans="3:11" x14ac:dyDescent="0.2">
      <c r="C51" s="161" t="str">
        <f>J10</f>
        <v>(h)</v>
      </c>
      <c r="D51" s="156" t="str">
        <f>"= "&amp;TEXT(K65,"?,0")&amp;" MMBtu/MWH x "&amp;I9</f>
        <v>= 6,860 MMBtu/MWH x $/MMBtu</v>
      </c>
    </row>
    <row r="52" spans="3:11" x14ac:dyDescent="0.2">
      <c r="C52" s="161" t="str">
        <f>K10</f>
        <v>(i)</v>
      </c>
      <c r="D52" s="156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7" t="s">
        <v>118</v>
      </c>
      <c r="D54" s="104"/>
      <c r="E54" s="104"/>
      <c r="F54" s="104"/>
      <c r="G54" s="104"/>
      <c r="H54" s="104"/>
      <c r="I54" s="104"/>
      <c r="J54" s="105"/>
      <c r="K54" s="162"/>
    </row>
    <row r="55" spans="3:11" ht="5.25" customHeight="1" x14ac:dyDescent="0.2"/>
    <row r="56" spans="3:11" ht="5.25" customHeight="1" x14ac:dyDescent="0.2"/>
    <row r="57" spans="3:11" x14ac:dyDescent="0.2">
      <c r="C57" s="91" t="s">
        <v>61</v>
      </c>
      <c r="D57" s="79"/>
      <c r="E57" s="91"/>
      <c r="F57" s="90" t="s">
        <v>62</v>
      </c>
      <c r="G57" s="90" t="s">
        <v>63</v>
      </c>
      <c r="H57" s="90" t="s">
        <v>64</v>
      </c>
      <c r="I57" s="90" t="s">
        <v>65</v>
      </c>
    </row>
    <row r="58" spans="3:11" x14ac:dyDescent="0.2">
      <c r="C58" s="193" t="s">
        <v>98</v>
      </c>
      <c r="F58" s="163">
        <v>523</v>
      </c>
      <c r="G58" s="106">
        <f>F58/F60</f>
        <v>0.79122541603630858</v>
      </c>
      <c r="H58" s="183">
        <v>1159</v>
      </c>
      <c r="I58" s="185">
        <f>C73</f>
        <v>22.419999999999998</v>
      </c>
    </row>
    <row r="59" spans="3:11" x14ac:dyDescent="0.2">
      <c r="C59" s="193" t="s">
        <v>99</v>
      </c>
      <c r="F59" s="97">
        <f>D69</f>
        <v>138</v>
      </c>
      <c r="G59" s="93">
        <f>1-G58</f>
        <v>0.20877458396369142</v>
      </c>
      <c r="H59" s="184">
        <v>522</v>
      </c>
      <c r="I59" s="186">
        <f>D73</f>
        <v>19.12</v>
      </c>
    </row>
    <row r="60" spans="3:11" x14ac:dyDescent="0.2">
      <c r="C60" s="193" t="s">
        <v>66</v>
      </c>
      <c r="F60" s="163">
        <f>F58+F59</f>
        <v>661</v>
      </c>
      <c r="G60" s="106">
        <f>G58+G59</f>
        <v>1</v>
      </c>
      <c r="H60" s="183">
        <f>ROUND(((F58*H58)+(F59*H59))/F60,0)</f>
        <v>1026</v>
      </c>
      <c r="I60" s="185">
        <f>ROUND(((F58*I58)+(F59*I59))/F60,2)</f>
        <v>21.73</v>
      </c>
    </row>
    <row r="61" spans="3:11" x14ac:dyDescent="0.2">
      <c r="C61" s="193"/>
      <c r="F61" s="163"/>
      <c r="G61" s="106"/>
      <c r="H61" s="164"/>
      <c r="I61" s="165"/>
    </row>
    <row r="62" spans="3:11" x14ac:dyDescent="0.2">
      <c r="C62" s="194" t="s">
        <v>61</v>
      </c>
      <c r="D62" s="79"/>
      <c r="E62" s="91"/>
      <c r="F62" s="90" t="s">
        <v>62</v>
      </c>
      <c r="G62" s="90" t="s">
        <v>67</v>
      </c>
      <c r="H62" s="90" t="s">
        <v>68</v>
      </c>
      <c r="I62" s="90" t="s">
        <v>63</v>
      </c>
      <c r="J62" s="90" t="s">
        <v>69</v>
      </c>
      <c r="K62" s="90" t="s">
        <v>70</v>
      </c>
    </row>
    <row r="63" spans="3:11" x14ac:dyDescent="0.2">
      <c r="C63" s="195" t="str">
        <f>C58</f>
        <v>CCCT Dry "J" - Turbine</v>
      </c>
      <c r="D63" s="166"/>
      <c r="E63" s="166"/>
      <c r="F63" s="149">
        <f>C69</f>
        <v>523</v>
      </c>
      <c r="G63" s="106">
        <f>C77</f>
        <v>0.56000000000000005</v>
      </c>
      <c r="H63" s="149">
        <f>G63*F63</f>
        <v>292.88000000000005</v>
      </c>
      <c r="I63" s="106">
        <f>H63/H65</f>
        <v>0.92989585979171963</v>
      </c>
      <c r="J63" s="165">
        <f>C74</f>
        <v>2.61</v>
      </c>
      <c r="K63" s="167">
        <f>C75</f>
        <v>6738</v>
      </c>
    </row>
    <row r="64" spans="3:11" x14ac:dyDescent="0.2">
      <c r="C64" s="195" t="str">
        <f>C59</f>
        <v>CCCT Dry "J" - Duct Firing</v>
      </c>
      <c r="D64" s="166"/>
      <c r="E64" s="166"/>
      <c r="F64" s="92">
        <f>D69</f>
        <v>138</v>
      </c>
      <c r="G64" s="93">
        <f>D77</f>
        <v>0.16</v>
      </c>
      <c r="H64" s="92">
        <f>G64*F64</f>
        <v>22.080000000000002</v>
      </c>
      <c r="I64" s="93">
        <f>1-I63</f>
        <v>7.0104140208280374E-2</v>
      </c>
      <c r="J64" s="94">
        <f>D74</f>
        <v>0.08</v>
      </c>
      <c r="K64" s="95">
        <f>D75</f>
        <v>8482</v>
      </c>
    </row>
    <row r="65" spans="3:11" x14ac:dyDescent="0.2">
      <c r="C65" s="193" t="s">
        <v>71</v>
      </c>
      <c r="F65" s="149">
        <f>F63+F64</f>
        <v>661</v>
      </c>
      <c r="G65" s="168">
        <f>ROUND(H65/F65,3)</f>
        <v>0.47599999999999998</v>
      </c>
      <c r="H65" s="149">
        <f>SUM(H63:H64)</f>
        <v>314.96000000000004</v>
      </c>
      <c r="I65" s="106">
        <f>I63+I64</f>
        <v>1</v>
      </c>
      <c r="J65" s="165">
        <f>ROUND(($I63*J63)+($I64*J64),2)</f>
        <v>2.4300000000000002</v>
      </c>
      <c r="K65" s="169">
        <f>ROUND(($I63*K63)+($I64*K64),-1)</f>
        <v>6860</v>
      </c>
    </row>
    <row r="66" spans="3:11" x14ac:dyDescent="0.2">
      <c r="G66" s="168"/>
      <c r="I66" s="106"/>
      <c r="J66" s="165"/>
      <c r="K66" s="96" t="s">
        <v>72</v>
      </c>
    </row>
    <row r="68" spans="3:11" x14ac:dyDescent="0.2">
      <c r="C68" s="90" t="s">
        <v>54</v>
      </c>
      <c r="D68" s="90" t="s">
        <v>55</v>
      </c>
      <c r="E68" s="108" t="str">
        <f>D46</f>
        <v>Plant Costs  - 2013 IRP - Table 6.1 &amp; 6.2 - Page 112</v>
      </c>
      <c r="F68" s="170"/>
      <c r="G68" s="170"/>
      <c r="H68" s="170"/>
      <c r="I68" s="170"/>
      <c r="J68" s="170"/>
      <c r="K68" s="171"/>
    </row>
    <row r="69" spans="3:11" x14ac:dyDescent="0.2">
      <c r="C69" s="149">
        <v>523</v>
      </c>
      <c r="D69" s="149">
        <v>138</v>
      </c>
      <c r="E69" s="149" t="s">
        <v>93</v>
      </c>
      <c r="H69" s="172"/>
    </row>
    <row r="70" spans="3:11" x14ac:dyDescent="0.2">
      <c r="C70" s="164">
        <v>1159</v>
      </c>
      <c r="D70" s="164">
        <v>522</v>
      </c>
      <c r="E70" s="149" t="s">
        <v>94</v>
      </c>
    </row>
    <row r="71" spans="3:11" x14ac:dyDescent="0.2">
      <c r="C71" s="165">
        <f>7.14+0.09</f>
        <v>7.2299999999999995</v>
      </c>
      <c r="D71" s="165">
        <v>0</v>
      </c>
      <c r="E71" s="149" t="s">
        <v>95</v>
      </c>
    </row>
    <row r="72" spans="3:11" x14ac:dyDescent="0.2">
      <c r="C72" s="98">
        <v>15.19</v>
      </c>
      <c r="D72" s="98">
        <v>19.12</v>
      </c>
      <c r="E72" s="149" t="s">
        <v>88</v>
      </c>
    </row>
    <row r="73" spans="3:11" x14ac:dyDescent="0.2">
      <c r="C73" s="165">
        <f>C71+C72</f>
        <v>22.419999999999998</v>
      </c>
      <c r="D73" s="165">
        <f>D71+D72</f>
        <v>19.12</v>
      </c>
      <c r="E73" s="149" t="s">
        <v>96</v>
      </c>
    </row>
    <row r="74" spans="3:11" x14ac:dyDescent="0.2">
      <c r="C74" s="165">
        <f>2.42+0.19</f>
        <v>2.61</v>
      </c>
      <c r="D74" s="165">
        <v>0.08</v>
      </c>
      <c r="E74" s="149" t="s">
        <v>97</v>
      </c>
    </row>
    <row r="75" spans="3:11" x14ac:dyDescent="0.2">
      <c r="C75" s="169">
        <v>6738</v>
      </c>
      <c r="D75" s="169">
        <v>8482</v>
      </c>
      <c r="E75" s="149" t="s">
        <v>76</v>
      </c>
    </row>
    <row r="76" spans="3:11" x14ac:dyDescent="0.2">
      <c r="C76" s="190">
        <v>7.886E-2</v>
      </c>
      <c r="D76" s="190">
        <f>C76</f>
        <v>7.886E-2</v>
      </c>
      <c r="E76" s="149" t="s">
        <v>77</v>
      </c>
    </row>
    <row r="77" spans="3:11" x14ac:dyDescent="0.2">
      <c r="C77" s="173">
        <v>0.56000000000000005</v>
      </c>
      <c r="D77" s="173">
        <v>0.16</v>
      </c>
      <c r="E77" s="149" t="s">
        <v>78</v>
      </c>
    </row>
    <row r="78" spans="3:11" x14ac:dyDescent="0.2">
      <c r="D78" s="106">
        <f>ROUND(H65/F65,3)</f>
        <v>0.47599999999999998</v>
      </c>
      <c r="E78" s="149" t="s">
        <v>79</v>
      </c>
    </row>
    <row r="79" spans="3:11" x14ac:dyDescent="0.2">
      <c r="D79" s="168"/>
      <c r="E79" s="117"/>
    </row>
    <row r="80" spans="3:11" x14ac:dyDescent="0.2">
      <c r="C80" s="173"/>
      <c r="D80" s="173"/>
    </row>
    <row r="82" spans="3:15" ht="13.5" thickBot="1" x14ac:dyDescent="0.25">
      <c r="C82" s="103" t="str">
        <f>"Company Official Inflation Forecast Dated "&amp;TEXT('Table 4'!G5,"mmmm dd, yyyy")</f>
        <v>Company Official Inflation Forecast Dated June 30, 2014</v>
      </c>
      <c r="D82" s="104"/>
      <c r="E82" s="104"/>
      <c r="F82" s="104"/>
      <c r="G82" s="104"/>
      <c r="H82" s="104"/>
      <c r="I82" s="104"/>
      <c r="J82" s="105"/>
      <c r="K82" s="162"/>
    </row>
    <row r="83" spans="3:15" x14ac:dyDescent="0.2">
      <c r="C83" s="174">
        <v>2012</v>
      </c>
      <c r="D83" s="106">
        <v>1.9E-2</v>
      </c>
      <c r="F83" s="174">
        <f>C91+1</f>
        <v>2021</v>
      </c>
      <c r="G83" s="106">
        <v>0.02</v>
      </c>
      <c r="I83" s="174">
        <f>F91+1</f>
        <v>2030</v>
      </c>
      <c r="J83" s="106">
        <v>1.9E-2</v>
      </c>
    </row>
    <row r="84" spans="3:15" x14ac:dyDescent="0.2">
      <c r="C84" s="174">
        <f t="shared" ref="C84:C91" si="8">C83+1</f>
        <v>2013</v>
      </c>
      <c r="D84" s="106">
        <v>1.4E-2</v>
      </c>
      <c r="F84" s="174">
        <f t="shared" ref="F84:F91" si="9">F83+1</f>
        <v>2022</v>
      </c>
      <c r="G84" s="106">
        <v>0.02</v>
      </c>
      <c r="I84" s="174">
        <f t="shared" ref="I84:I93" si="10">I83+1</f>
        <v>2031</v>
      </c>
      <c r="J84" s="106">
        <v>1.9E-2</v>
      </c>
    </row>
    <row r="85" spans="3:15" x14ac:dyDescent="0.2">
      <c r="C85" s="174">
        <f t="shared" si="8"/>
        <v>2014</v>
      </c>
      <c r="D85" s="106">
        <v>1.7000000000000001E-2</v>
      </c>
      <c r="F85" s="174">
        <f t="shared" si="9"/>
        <v>2023</v>
      </c>
      <c r="G85" s="106">
        <v>0.02</v>
      </c>
      <c r="I85" s="174">
        <f t="shared" si="10"/>
        <v>2032</v>
      </c>
      <c r="J85" s="106">
        <v>1.9E-2</v>
      </c>
    </row>
    <row r="86" spans="3:15" x14ac:dyDescent="0.2">
      <c r="C86" s="174">
        <f t="shared" si="8"/>
        <v>2015</v>
      </c>
      <c r="D86" s="106">
        <v>1.7999999999999999E-2</v>
      </c>
      <c r="F86" s="174">
        <f t="shared" si="9"/>
        <v>2024</v>
      </c>
      <c r="G86" s="106">
        <v>2.1000000000000001E-2</v>
      </c>
      <c r="I86" s="174">
        <f t="shared" si="10"/>
        <v>2033</v>
      </c>
      <c r="J86" s="106">
        <v>0.02</v>
      </c>
    </row>
    <row r="87" spans="3:15" x14ac:dyDescent="0.2">
      <c r="C87" s="174">
        <f t="shared" si="8"/>
        <v>2016</v>
      </c>
      <c r="D87" s="106">
        <v>1.4999999999999999E-2</v>
      </c>
      <c r="F87" s="174">
        <f t="shared" si="9"/>
        <v>2025</v>
      </c>
      <c r="G87" s="106">
        <v>0.02</v>
      </c>
      <c r="I87" s="174">
        <f t="shared" si="10"/>
        <v>2034</v>
      </c>
      <c r="J87" s="106">
        <v>1.9E-2</v>
      </c>
    </row>
    <row r="88" spans="3:15" x14ac:dyDescent="0.2">
      <c r="C88" s="174">
        <f t="shared" si="8"/>
        <v>2017</v>
      </c>
      <c r="D88" s="106">
        <v>1.7999999999999999E-2</v>
      </c>
      <c r="F88" s="174">
        <f t="shared" si="9"/>
        <v>2026</v>
      </c>
      <c r="G88" s="106">
        <v>0.02</v>
      </c>
      <c r="I88" s="174">
        <f t="shared" si="10"/>
        <v>2035</v>
      </c>
      <c r="J88" s="106">
        <v>0.02</v>
      </c>
    </row>
    <row r="89" spans="3:15" s="151" customFormat="1" x14ac:dyDescent="0.2">
      <c r="C89" s="174">
        <f t="shared" si="8"/>
        <v>2018</v>
      </c>
      <c r="D89" s="106">
        <v>1.9E-2</v>
      </c>
      <c r="F89" s="174">
        <f t="shared" si="9"/>
        <v>2027</v>
      </c>
      <c r="G89" s="106">
        <v>0.02</v>
      </c>
      <c r="I89" s="174">
        <f t="shared" si="10"/>
        <v>2036</v>
      </c>
      <c r="J89" s="106">
        <v>0.02</v>
      </c>
      <c r="N89" s="149"/>
      <c r="O89" s="149"/>
    </row>
    <row r="90" spans="3:15" s="151" customFormat="1" x14ac:dyDescent="0.2">
      <c r="C90" s="174">
        <f t="shared" si="8"/>
        <v>2019</v>
      </c>
      <c r="D90" s="106">
        <v>1.7999999999999999E-2</v>
      </c>
      <c r="F90" s="174">
        <f t="shared" si="9"/>
        <v>2028</v>
      </c>
      <c r="G90" s="106">
        <v>1.9E-2</v>
      </c>
      <c r="I90" s="174">
        <f t="shared" si="10"/>
        <v>2037</v>
      </c>
      <c r="J90" s="106">
        <v>0.02</v>
      </c>
      <c r="N90" s="149"/>
      <c r="O90" s="149"/>
    </row>
    <row r="91" spans="3:15" s="151" customFormat="1" x14ac:dyDescent="0.2">
      <c r="C91" s="174">
        <f t="shared" si="8"/>
        <v>2020</v>
      </c>
      <c r="D91" s="106">
        <v>1.9E-2</v>
      </c>
      <c r="F91" s="174">
        <f t="shared" si="9"/>
        <v>2029</v>
      </c>
      <c r="G91" s="106">
        <v>1.9E-2</v>
      </c>
      <c r="I91" s="174">
        <f t="shared" si="10"/>
        <v>2038</v>
      </c>
      <c r="J91" s="106">
        <v>0.02</v>
      </c>
      <c r="N91" s="149"/>
      <c r="O91" s="149"/>
    </row>
    <row r="92" spans="3:15" s="151" customFormat="1" x14ac:dyDescent="0.2">
      <c r="I92" s="174">
        <f t="shared" si="10"/>
        <v>2039</v>
      </c>
      <c r="J92" s="106">
        <v>0.02</v>
      </c>
      <c r="N92" s="149"/>
      <c r="O92" s="149"/>
    </row>
    <row r="93" spans="3:15" s="151" customFormat="1" x14ac:dyDescent="0.2">
      <c r="I93" s="174">
        <f t="shared" si="10"/>
        <v>2040</v>
      </c>
      <c r="J93" s="106">
        <v>0.02</v>
      </c>
      <c r="N93" s="149"/>
      <c r="O93" s="149"/>
    </row>
    <row r="94" spans="3:15" x14ac:dyDescent="0.2">
      <c r="D94" s="187"/>
    </row>
    <row r="95" spans="3:15" x14ac:dyDescent="0.2">
      <c r="D95" s="18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K304"/>
  <sheetViews>
    <sheetView tabSelected="1" zoomScale="115" zoomScaleNormal="115" workbookViewId="0">
      <pane ySplit="10" topLeftCell="A92" activePane="bottomLeft" state="frozen"/>
      <selection activeCell="K15" sqref="K15"/>
      <selection pane="bottomLeft" activeCell="K15" sqref="K15"/>
    </sheetView>
  </sheetViews>
  <sheetFormatPr defaultRowHeight="12.75" x14ac:dyDescent="0.2"/>
  <cols>
    <col min="1" max="1" width="9.33203125" style="6"/>
    <col min="2" max="3" width="39" style="6" customWidth="1"/>
    <col min="4" max="6" width="9.33203125" style="6"/>
    <col min="7" max="7" width="15" style="113" hidden="1" customWidth="1"/>
    <col min="8" max="8" width="9.33203125" style="84" hidden="1" customWidth="1"/>
    <col min="9" max="10" width="9.33203125" style="198" hidden="1" customWidth="1"/>
    <col min="11" max="11" width="11.5" style="198" hidden="1" customWidth="1"/>
    <col min="12" max="12" width="9.33203125" style="6" customWidth="1"/>
    <col min="13" max="16384" width="9.33203125" style="6"/>
  </cols>
  <sheetData>
    <row r="1" spans="2:11" ht="15.75" x14ac:dyDescent="0.25">
      <c r="B1" s="1" t="s">
        <v>73</v>
      </c>
      <c r="C1" s="1"/>
      <c r="G1" s="81"/>
    </row>
    <row r="2" spans="2:11" ht="15.75" x14ac:dyDescent="0.25">
      <c r="B2" s="1"/>
      <c r="C2" s="1"/>
      <c r="G2" s="81"/>
    </row>
    <row r="3" spans="2:11" ht="15.75" x14ac:dyDescent="0.25">
      <c r="B3" s="1" t="s">
        <v>116</v>
      </c>
      <c r="C3" s="1"/>
      <c r="G3" s="81"/>
    </row>
    <row r="4" spans="2:11" ht="15.75" x14ac:dyDescent="0.25">
      <c r="B4" s="1" t="s">
        <v>58</v>
      </c>
      <c r="C4" s="1"/>
      <c r="G4" s="199" t="s">
        <v>57</v>
      </c>
    </row>
    <row r="5" spans="2:11" ht="15.75" x14ac:dyDescent="0.25">
      <c r="B5" s="1" t="str">
        <f>'Table 1'!$B$5</f>
        <v>Utah 2014.Q2 - 100.0 MW and 85.0% CF</v>
      </c>
      <c r="C5" s="1"/>
      <c r="G5" s="200">
        <v>41820</v>
      </c>
    </row>
    <row r="6" spans="2:11" x14ac:dyDescent="0.2">
      <c r="B6" s="45"/>
      <c r="C6" s="45"/>
      <c r="G6" s="81"/>
    </row>
    <row r="7" spans="2:11" ht="14.25" x14ac:dyDescent="0.2">
      <c r="B7" s="72"/>
      <c r="C7" s="80" t="s">
        <v>52</v>
      </c>
      <c r="G7" s="81"/>
    </row>
    <row r="8" spans="2:11" x14ac:dyDescent="0.2">
      <c r="B8" s="73"/>
      <c r="C8" s="65" t="s">
        <v>53</v>
      </c>
      <c r="G8" s="81"/>
    </row>
    <row r="9" spans="2:11" x14ac:dyDescent="0.2">
      <c r="B9" s="73" t="s">
        <v>0</v>
      </c>
      <c r="C9" s="73" t="s">
        <v>75</v>
      </c>
      <c r="G9" s="81"/>
    </row>
    <row r="10" spans="2:11" x14ac:dyDescent="0.2">
      <c r="B10" s="74"/>
      <c r="C10" s="75" t="s">
        <v>41</v>
      </c>
      <c r="G10" s="201"/>
      <c r="H10" s="202"/>
    </row>
    <row r="11" spans="2:11" x14ac:dyDescent="0.2">
      <c r="C11" s="46"/>
      <c r="G11" s="201"/>
      <c r="H11" s="202"/>
    </row>
    <row r="12" spans="2:11" x14ac:dyDescent="0.2">
      <c r="C12" s="76"/>
      <c r="G12" s="201"/>
      <c r="H12" s="202"/>
    </row>
    <row r="13" spans="2:11" ht="6" customHeight="1" x14ac:dyDescent="0.2">
      <c r="G13" s="203"/>
      <c r="H13" s="204"/>
    </row>
    <row r="14" spans="2:11" x14ac:dyDescent="0.2">
      <c r="B14" s="77">
        <v>2015</v>
      </c>
      <c r="C14" s="78">
        <f t="shared" ref="C14:C37" si="0">ROUND(SUMIF($I$17:$I$304,B14,$H$17:$H$304)/COUNTIF($I$17:$I$304,B14),2)</f>
        <v>4.17</v>
      </c>
      <c r="G14" s="205"/>
      <c r="H14" s="85"/>
    </row>
    <row r="15" spans="2:11" ht="13.5" thickBot="1" x14ac:dyDescent="0.25">
      <c r="B15" s="77">
        <f t="shared" ref="B15:B37" si="1">B14+1</f>
        <v>2016</v>
      </c>
      <c r="C15" s="78">
        <f t="shared" si="0"/>
        <v>4.0999999999999996</v>
      </c>
      <c r="G15" s="82"/>
      <c r="H15" s="86" t="s">
        <v>81</v>
      </c>
    </row>
    <row r="16" spans="2:11" ht="13.5" thickBot="1" x14ac:dyDescent="0.25">
      <c r="B16" s="77">
        <f t="shared" si="1"/>
        <v>2017</v>
      </c>
      <c r="C16" s="78">
        <f t="shared" si="0"/>
        <v>4.26</v>
      </c>
      <c r="G16" s="82" t="s">
        <v>56</v>
      </c>
      <c r="H16" s="86" t="s">
        <v>53</v>
      </c>
      <c r="I16" s="206" t="s">
        <v>0</v>
      </c>
      <c r="K16" s="207" t="s">
        <v>74</v>
      </c>
    </row>
    <row r="17" spans="2:11" ht="13.5" thickBot="1" x14ac:dyDescent="0.25">
      <c r="B17" s="77">
        <f t="shared" si="1"/>
        <v>2018</v>
      </c>
      <c r="C17" s="78">
        <f t="shared" si="0"/>
        <v>4.55</v>
      </c>
      <c r="G17" s="83">
        <v>42005</v>
      </c>
      <c r="H17" s="87">
        <v>4.7226222181522184</v>
      </c>
      <c r="I17" s="208">
        <f t="shared" ref="I17:I64" si="2">YEAR(G17)</f>
        <v>2015</v>
      </c>
      <c r="K17" s="209">
        <v>43</v>
      </c>
    </row>
    <row r="18" spans="2:11" x14ac:dyDescent="0.2">
      <c r="B18" s="77">
        <f t="shared" si="1"/>
        <v>2019</v>
      </c>
      <c r="C18" s="78">
        <f t="shared" si="0"/>
        <v>4.7699999999999996</v>
      </c>
      <c r="G18" s="83">
        <v>42036</v>
      </c>
      <c r="H18" s="87">
        <v>4.6931146886446884</v>
      </c>
      <c r="I18" s="208">
        <f t="shared" si="2"/>
        <v>2015</v>
      </c>
    </row>
    <row r="19" spans="2:11" x14ac:dyDescent="0.2">
      <c r="B19" s="77">
        <f t="shared" si="1"/>
        <v>2020</v>
      </c>
      <c r="C19" s="78">
        <f t="shared" si="0"/>
        <v>4.99</v>
      </c>
      <c r="G19" s="83">
        <v>42064</v>
      </c>
      <c r="H19" s="87">
        <v>4.5974695929995937</v>
      </c>
      <c r="I19" s="208">
        <f t="shared" si="2"/>
        <v>2015</v>
      </c>
    </row>
    <row r="20" spans="2:11" x14ac:dyDescent="0.2">
      <c r="B20" s="77">
        <f t="shared" si="1"/>
        <v>2021</v>
      </c>
      <c r="C20" s="78">
        <f t="shared" si="0"/>
        <v>5.17</v>
      </c>
      <c r="G20" s="83">
        <v>42095</v>
      </c>
      <c r="H20" s="87">
        <v>3.9228664183964184</v>
      </c>
      <c r="I20" s="208">
        <f t="shared" si="2"/>
        <v>2015</v>
      </c>
    </row>
    <row r="21" spans="2:11" x14ac:dyDescent="0.2">
      <c r="B21" s="77">
        <f t="shared" si="1"/>
        <v>2022</v>
      </c>
      <c r="C21" s="78">
        <f t="shared" si="0"/>
        <v>5.35</v>
      </c>
      <c r="G21" s="83">
        <v>42125</v>
      </c>
      <c r="H21" s="87">
        <v>3.8126710582010586</v>
      </c>
      <c r="I21" s="208">
        <f t="shared" si="2"/>
        <v>2015</v>
      </c>
    </row>
    <row r="22" spans="2:11" x14ac:dyDescent="0.2">
      <c r="B22" s="77">
        <f t="shared" si="1"/>
        <v>2023</v>
      </c>
      <c r="C22" s="78">
        <f t="shared" si="0"/>
        <v>5.54</v>
      </c>
      <c r="G22" s="83">
        <v>42156</v>
      </c>
      <c r="H22" s="87">
        <v>4.0125082580382587</v>
      </c>
      <c r="I22" s="208">
        <f t="shared" si="2"/>
        <v>2015</v>
      </c>
    </row>
    <row r="23" spans="2:11" x14ac:dyDescent="0.2">
      <c r="B23" s="77">
        <f t="shared" si="1"/>
        <v>2024</v>
      </c>
      <c r="C23" s="78">
        <f t="shared" si="0"/>
        <v>5.73</v>
      </c>
      <c r="G23" s="83">
        <v>42186</v>
      </c>
      <c r="H23" s="87">
        <v>3.9594964550264549</v>
      </c>
      <c r="I23" s="208">
        <f t="shared" si="2"/>
        <v>2015</v>
      </c>
    </row>
    <row r="24" spans="2:11" x14ac:dyDescent="0.2">
      <c r="B24" s="77">
        <f t="shared" si="1"/>
        <v>2025</v>
      </c>
      <c r="C24" s="78">
        <f t="shared" si="0"/>
        <v>5.87</v>
      </c>
      <c r="G24" s="83">
        <v>42217</v>
      </c>
      <c r="H24" s="87">
        <v>3.971808217338217</v>
      </c>
      <c r="I24" s="208">
        <f t="shared" si="2"/>
        <v>2015</v>
      </c>
    </row>
    <row r="25" spans="2:11" x14ac:dyDescent="0.2">
      <c r="B25" s="77">
        <f t="shared" si="1"/>
        <v>2026</v>
      </c>
      <c r="C25" s="78">
        <f t="shared" si="0"/>
        <v>6.06</v>
      </c>
      <c r="G25" s="83">
        <v>42248</v>
      </c>
      <c r="H25" s="87">
        <v>3.891527387057387</v>
      </c>
      <c r="I25" s="208">
        <f t="shared" si="2"/>
        <v>2015</v>
      </c>
    </row>
    <row r="26" spans="2:11" x14ac:dyDescent="0.2">
      <c r="B26" s="77">
        <f t="shared" si="1"/>
        <v>2027</v>
      </c>
      <c r="C26" s="78">
        <f t="shared" si="0"/>
        <v>6.3</v>
      </c>
      <c r="G26" s="83">
        <v>42278</v>
      </c>
      <c r="H26" s="87">
        <v>3.9564439519739518</v>
      </c>
      <c r="I26" s="208">
        <f t="shared" si="2"/>
        <v>2015</v>
      </c>
    </row>
    <row r="27" spans="2:11" x14ac:dyDescent="0.2">
      <c r="B27" s="77">
        <f t="shared" si="1"/>
        <v>2028</v>
      </c>
      <c r="C27" s="78">
        <f t="shared" si="0"/>
        <v>6.54</v>
      </c>
      <c r="G27" s="83">
        <v>42309</v>
      </c>
      <c r="H27" s="87">
        <v>4.1863991819291826</v>
      </c>
      <c r="I27" s="208">
        <f t="shared" si="2"/>
        <v>2015</v>
      </c>
    </row>
    <row r="28" spans="2:11" x14ac:dyDescent="0.2">
      <c r="B28" s="77">
        <f t="shared" si="1"/>
        <v>2029</v>
      </c>
      <c r="C28" s="78">
        <f t="shared" si="0"/>
        <v>6.83</v>
      </c>
      <c r="G28" s="83">
        <v>42339</v>
      </c>
      <c r="H28" s="87">
        <v>4.3369893325193329</v>
      </c>
      <c r="I28" s="208">
        <f t="shared" si="2"/>
        <v>2015</v>
      </c>
    </row>
    <row r="29" spans="2:11" x14ac:dyDescent="0.2">
      <c r="B29" s="77">
        <f t="shared" si="1"/>
        <v>2030</v>
      </c>
      <c r="C29" s="78">
        <f t="shared" si="0"/>
        <v>7.12</v>
      </c>
      <c r="G29" s="83">
        <v>42370</v>
      </c>
      <c r="H29" s="87">
        <v>4.4590894546194555</v>
      </c>
      <c r="I29" s="208">
        <f t="shared" si="2"/>
        <v>2016</v>
      </c>
    </row>
    <row r="30" spans="2:11" x14ac:dyDescent="0.2">
      <c r="B30" s="77">
        <f t="shared" si="1"/>
        <v>2031</v>
      </c>
      <c r="C30" s="78">
        <f t="shared" si="0"/>
        <v>7.27</v>
      </c>
      <c r="G30" s="83">
        <v>42401</v>
      </c>
      <c r="H30" s="87">
        <v>4.4397569352869359</v>
      </c>
      <c r="I30" s="208">
        <f t="shared" si="2"/>
        <v>2016</v>
      </c>
    </row>
    <row r="31" spans="2:11" x14ac:dyDescent="0.2">
      <c r="B31" s="77">
        <f t="shared" si="1"/>
        <v>2032</v>
      </c>
      <c r="C31" s="78">
        <f t="shared" si="0"/>
        <v>7.41</v>
      </c>
      <c r="G31" s="83">
        <v>42430</v>
      </c>
      <c r="H31" s="87">
        <v>4.3797243752543755</v>
      </c>
      <c r="I31" s="208">
        <f t="shared" si="2"/>
        <v>2016</v>
      </c>
    </row>
    <row r="32" spans="2:11" x14ac:dyDescent="0.2">
      <c r="B32" s="77">
        <f t="shared" si="1"/>
        <v>2033</v>
      </c>
      <c r="C32" s="78">
        <f t="shared" si="0"/>
        <v>7.56</v>
      </c>
      <c r="G32" s="83">
        <v>42461</v>
      </c>
      <c r="H32" s="87">
        <v>3.835361330891331</v>
      </c>
      <c r="I32" s="208">
        <f t="shared" si="2"/>
        <v>2016</v>
      </c>
    </row>
    <row r="33" spans="2:9" x14ac:dyDescent="0.2">
      <c r="B33" s="77">
        <f t="shared" si="1"/>
        <v>2034</v>
      </c>
      <c r="C33" s="78">
        <f t="shared" si="0"/>
        <v>7.71</v>
      </c>
      <c r="G33" s="83">
        <v>42491</v>
      </c>
      <c r="H33" s="87">
        <v>3.8465538420838419</v>
      </c>
      <c r="I33" s="208">
        <f t="shared" si="2"/>
        <v>2016</v>
      </c>
    </row>
    <row r="34" spans="2:9" hidden="1" x14ac:dyDescent="0.2">
      <c r="B34" s="77">
        <f t="shared" si="1"/>
        <v>2035</v>
      </c>
      <c r="C34" s="78">
        <f t="shared" si="0"/>
        <v>7.86</v>
      </c>
      <c r="G34" s="83">
        <v>42522</v>
      </c>
      <c r="H34" s="87">
        <v>3.8760613715913719</v>
      </c>
      <c r="I34" s="208">
        <f t="shared" si="2"/>
        <v>2016</v>
      </c>
    </row>
    <row r="35" spans="2:9" x14ac:dyDescent="0.2">
      <c r="B35" s="77">
        <f t="shared" si="1"/>
        <v>2036</v>
      </c>
      <c r="C35" s="78">
        <f t="shared" si="0"/>
        <v>8.0299999999999994</v>
      </c>
      <c r="G35" s="83">
        <v>42552</v>
      </c>
      <c r="H35" s="87">
        <v>3.9025163980463979</v>
      </c>
      <c r="I35" s="208">
        <f t="shared" si="2"/>
        <v>2016</v>
      </c>
    </row>
    <row r="36" spans="2:9" x14ac:dyDescent="0.2">
      <c r="B36" s="77">
        <f t="shared" si="1"/>
        <v>2037</v>
      </c>
      <c r="C36" s="78">
        <f t="shared" si="0"/>
        <v>8.1999999999999993</v>
      </c>
      <c r="G36" s="83">
        <v>42583</v>
      </c>
      <c r="H36" s="87">
        <v>3.9106564061864062</v>
      </c>
      <c r="I36" s="208">
        <f t="shared" si="2"/>
        <v>2016</v>
      </c>
    </row>
    <row r="37" spans="2:9" x14ac:dyDescent="0.2">
      <c r="B37" s="77">
        <f t="shared" si="1"/>
        <v>2038</v>
      </c>
      <c r="C37" s="78">
        <f t="shared" si="0"/>
        <v>8.3699999999999992</v>
      </c>
      <c r="G37" s="83">
        <v>42614</v>
      </c>
      <c r="H37" s="87">
        <v>3.9014988970288971</v>
      </c>
      <c r="I37" s="208">
        <f t="shared" si="2"/>
        <v>2016</v>
      </c>
    </row>
    <row r="38" spans="2:9" x14ac:dyDescent="0.2">
      <c r="G38" s="83">
        <v>42644</v>
      </c>
      <c r="H38" s="87">
        <v>3.9238839194139192</v>
      </c>
      <c r="I38" s="208">
        <f t="shared" si="2"/>
        <v>2016</v>
      </c>
    </row>
    <row r="39" spans="2:9" x14ac:dyDescent="0.2">
      <c r="B39" s="210" t="str">
        <f>"Official Forward Price Curve Forecast dated   "&amp;TEXT(G5,"MMM dd, YYYY")</f>
        <v>Official Forward Price Curve Forecast dated   Jun 30, 2014</v>
      </c>
      <c r="G39" s="83">
        <v>42675</v>
      </c>
      <c r="H39" s="87">
        <v>4.2774655229955227</v>
      </c>
      <c r="I39" s="208">
        <f t="shared" si="2"/>
        <v>2016</v>
      </c>
    </row>
    <row r="40" spans="2:9" x14ac:dyDescent="0.2">
      <c r="G40" s="83">
        <v>42705</v>
      </c>
      <c r="H40" s="87">
        <v>4.4494231949531953</v>
      </c>
      <c r="I40" s="208">
        <f t="shared" si="2"/>
        <v>2016</v>
      </c>
    </row>
    <row r="41" spans="2:9" x14ac:dyDescent="0.2">
      <c r="G41" s="83">
        <v>42736</v>
      </c>
      <c r="H41" s="87">
        <v>4.5979783435083439</v>
      </c>
      <c r="I41" s="208">
        <f t="shared" si="2"/>
        <v>2017</v>
      </c>
    </row>
    <row r="42" spans="2:9" x14ac:dyDescent="0.2">
      <c r="G42" s="83">
        <v>42767</v>
      </c>
      <c r="H42" s="87">
        <v>4.5786458241758243</v>
      </c>
      <c r="I42" s="208">
        <f t="shared" si="2"/>
        <v>2017</v>
      </c>
    </row>
    <row r="43" spans="2:9" x14ac:dyDescent="0.2">
      <c r="G43" s="83">
        <v>42795</v>
      </c>
      <c r="H43" s="87">
        <v>4.5186132641432639</v>
      </c>
      <c r="I43" s="208">
        <f t="shared" si="2"/>
        <v>2017</v>
      </c>
    </row>
    <row r="44" spans="2:9" x14ac:dyDescent="0.2">
      <c r="G44" s="83">
        <v>42826</v>
      </c>
      <c r="H44" s="87">
        <v>3.9788289743589744</v>
      </c>
      <c r="I44" s="208">
        <f t="shared" si="2"/>
        <v>2017</v>
      </c>
    </row>
    <row r="45" spans="2:9" x14ac:dyDescent="0.2">
      <c r="G45" s="83">
        <v>42856</v>
      </c>
      <c r="H45" s="87">
        <v>3.9920564875864875</v>
      </c>
      <c r="I45" s="208">
        <f t="shared" si="2"/>
        <v>2017</v>
      </c>
    </row>
    <row r="46" spans="2:9" x14ac:dyDescent="0.2">
      <c r="G46" s="83">
        <v>42887</v>
      </c>
      <c r="H46" s="87">
        <v>4.0225815181115188</v>
      </c>
      <c r="I46" s="208">
        <f t="shared" si="2"/>
        <v>2017</v>
      </c>
    </row>
    <row r="47" spans="2:9" x14ac:dyDescent="0.2">
      <c r="G47" s="83">
        <v>42917</v>
      </c>
      <c r="H47" s="87">
        <v>4.058194053724054</v>
      </c>
      <c r="I47" s="208">
        <f t="shared" si="2"/>
        <v>2017</v>
      </c>
    </row>
    <row r="48" spans="2:9" x14ac:dyDescent="0.2">
      <c r="G48" s="83">
        <v>42948</v>
      </c>
      <c r="H48" s="87">
        <v>4.0724390679690687</v>
      </c>
      <c r="I48" s="208">
        <f t="shared" si="2"/>
        <v>2017</v>
      </c>
    </row>
    <row r="49" spans="7:9" x14ac:dyDescent="0.2">
      <c r="G49" s="83">
        <v>42979</v>
      </c>
      <c r="H49" s="87">
        <v>4.0683690638990644</v>
      </c>
      <c r="I49" s="208">
        <f t="shared" si="2"/>
        <v>2017</v>
      </c>
    </row>
    <row r="50" spans="7:9" x14ac:dyDescent="0.2">
      <c r="G50" s="83">
        <v>43009</v>
      </c>
      <c r="H50" s="87">
        <v>4.0948240903540905</v>
      </c>
      <c r="I50" s="208">
        <f t="shared" si="2"/>
        <v>2017</v>
      </c>
    </row>
    <row r="51" spans="7:9" x14ac:dyDescent="0.2">
      <c r="G51" s="83">
        <v>43040</v>
      </c>
      <c r="H51" s="87">
        <v>4.469264464794465</v>
      </c>
      <c r="I51" s="208">
        <f t="shared" si="2"/>
        <v>2017</v>
      </c>
    </row>
    <row r="52" spans="7:9" x14ac:dyDescent="0.2">
      <c r="G52" s="83">
        <v>43070</v>
      </c>
      <c r="H52" s="87">
        <v>4.651397146927148</v>
      </c>
      <c r="I52" s="208">
        <f t="shared" si="2"/>
        <v>2017</v>
      </c>
    </row>
    <row r="53" spans="7:9" x14ac:dyDescent="0.2">
      <c r="G53" s="83">
        <v>43101</v>
      </c>
      <c r="H53" s="87">
        <v>4.8050398005698014</v>
      </c>
      <c r="I53" s="208">
        <f t="shared" si="2"/>
        <v>2018</v>
      </c>
    </row>
    <row r="54" spans="7:9" x14ac:dyDescent="0.2">
      <c r="G54" s="83">
        <v>43132</v>
      </c>
      <c r="H54" s="87">
        <v>4.7846897802197814</v>
      </c>
      <c r="I54" s="208">
        <f t="shared" si="2"/>
        <v>2018</v>
      </c>
    </row>
    <row r="55" spans="7:9" x14ac:dyDescent="0.2">
      <c r="G55" s="83">
        <v>43160</v>
      </c>
      <c r="H55" s="87">
        <v>4.7236397191697197</v>
      </c>
      <c r="I55" s="208">
        <f t="shared" si="2"/>
        <v>2018</v>
      </c>
    </row>
    <row r="56" spans="7:9" x14ac:dyDescent="0.2">
      <c r="G56" s="83">
        <v>43191</v>
      </c>
      <c r="H56" s="87">
        <v>4.3217268172568177</v>
      </c>
      <c r="I56" s="208">
        <f t="shared" si="2"/>
        <v>2018</v>
      </c>
    </row>
    <row r="57" spans="7:9" x14ac:dyDescent="0.2">
      <c r="G57" s="83">
        <v>43221</v>
      </c>
      <c r="H57" s="87">
        <v>4.3359718315018316</v>
      </c>
      <c r="I57" s="208">
        <f t="shared" si="2"/>
        <v>2018</v>
      </c>
    </row>
    <row r="58" spans="7:9" x14ac:dyDescent="0.2">
      <c r="G58" s="83">
        <v>43252</v>
      </c>
      <c r="H58" s="87">
        <v>4.3593743549043555</v>
      </c>
      <c r="I58" s="208">
        <f t="shared" si="2"/>
        <v>2018</v>
      </c>
    </row>
    <row r="59" spans="7:9" x14ac:dyDescent="0.2">
      <c r="G59" s="83">
        <v>43282</v>
      </c>
      <c r="H59" s="87">
        <v>4.3898993854293851</v>
      </c>
      <c r="I59" s="208">
        <f t="shared" si="2"/>
        <v>2018</v>
      </c>
    </row>
    <row r="60" spans="7:9" x14ac:dyDescent="0.2">
      <c r="G60" s="83">
        <v>43313</v>
      </c>
      <c r="H60" s="87">
        <v>4.4102494057794059</v>
      </c>
      <c r="I60" s="208">
        <f t="shared" si="2"/>
        <v>2018</v>
      </c>
    </row>
    <row r="61" spans="7:9" x14ac:dyDescent="0.2">
      <c r="G61" s="83">
        <v>43344</v>
      </c>
      <c r="H61" s="87">
        <v>4.4163544118844129</v>
      </c>
      <c r="I61" s="208">
        <f t="shared" si="2"/>
        <v>2018</v>
      </c>
    </row>
    <row r="62" spans="7:9" x14ac:dyDescent="0.2">
      <c r="G62" s="83">
        <v>43374</v>
      </c>
      <c r="H62" s="87">
        <v>4.4489144444444451</v>
      </c>
      <c r="I62" s="208">
        <f t="shared" si="2"/>
        <v>2018</v>
      </c>
    </row>
    <row r="63" spans="7:9" x14ac:dyDescent="0.2">
      <c r="G63" s="83">
        <v>43405</v>
      </c>
      <c r="H63" s="87">
        <v>4.6982021937321949</v>
      </c>
      <c r="I63" s="208">
        <f t="shared" si="2"/>
        <v>2018</v>
      </c>
    </row>
    <row r="64" spans="7:9" x14ac:dyDescent="0.2">
      <c r="G64" s="83">
        <v>43435</v>
      </c>
      <c r="H64" s="87">
        <v>4.8813523768823774</v>
      </c>
      <c r="I64" s="208">
        <f t="shared" si="2"/>
        <v>2018</v>
      </c>
    </row>
    <row r="65" spans="7:9" x14ac:dyDescent="0.2">
      <c r="G65" s="83">
        <v>43466</v>
      </c>
      <c r="H65" s="87">
        <v>5.0085400040700048</v>
      </c>
      <c r="I65" s="208">
        <f t="shared" ref="I65:I112" si="3">YEAR(G65)</f>
        <v>2019</v>
      </c>
    </row>
    <row r="66" spans="7:9" x14ac:dyDescent="0.2">
      <c r="G66" s="83">
        <v>43497</v>
      </c>
      <c r="H66" s="87">
        <v>4.9871724827024835</v>
      </c>
      <c r="I66" s="208">
        <f t="shared" si="3"/>
        <v>2019</v>
      </c>
    </row>
    <row r="67" spans="7:9" x14ac:dyDescent="0.2">
      <c r="G67" s="83">
        <v>43525</v>
      </c>
      <c r="H67" s="87">
        <v>4.9251049206349213</v>
      </c>
      <c r="I67" s="208">
        <f t="shared" si="3"/>
        <v>2019</v>
      </c>
    </row>
    <row r="68" spans="7:9" x14ac:dyDescent="0.2">
      <c r="G68" s="83">
        <v>43556</v>
      </c>
      <c r="H68" s="87">
        <v>4.5537170492470498</v>
      </c>
      <c r="I68" s="208">
        <f t="shared" si="3"/>
        <v>2019</v>
      </c>
    </row>
    <row r="69" spans="7:9" x14ac:dyDescent="0.2">
      <c r="G69" s="83">
        <v>43586</v>
      </c>
      <c r="H69" s="87">
        <v>4.5679620634920646</v>
      </c>
      <c r="I69" s="208">
        <f t="shared" si="3"/>
        <v>2019</v>
      </c>
    </row>
    <row r="70" spans="7:9" x14ac:dyDescent="0.2">
      <c r="G70" s="83">
        <v>43617</v>
      </c>
      <c r="H70" s="87">
        <v>4.5903470858770863</v>
      </c>
      <c r="I70" s="208">
        <f t="shared" si="3"/>
        <v>2019</v>
      </c>
    </row>
    <row r="71" spans="7:9" x14ac:dyDescent="0.2">
      <c r="G71" s="83">
        <v>43647</v>
      </c>
      <c r="H71" s="87">
        <v>4.618837114367115</v>
      </c>
      <c r="I71" s="208">
        <f t="shared" si="3"/>
        <v>2019</v>
      </c>
    </row>
    <row r="72" spans="7:9" x14ac:dyDescent="0.2">
      <c r="G72" s="83">
        <v>43678</v>
      </c>
      <c r="H72" s="87">
        <v>4.6412221367521376</v>
      </c>
      <c r="I72" s="208">
        <f t="shared" si="3"/>
        <v>2019</v>
      </c>
    </row>
    <row r="73" spans="7:9" x14ac:dyDescent="0.2">
      <c r="G73" s="83">
        <v>43709</v>
      </c>
      <c r="H73" s="87">
        <v>4.6473271428571428</v>
      </c>
      <c r="I73" s="208">
        <f t="shared" si="3"/>
        <v>2019</v>
      </c>
    </row>
    <row r="74" spans="7:9" x14ac:dyDescent="0.2">
      <c r="G74" s="83">
        <v>43739</v>
      </c>
      <c r="H74" s="87">
        <v>4.6809046764346771</v>
      </c>
      <c r="I74" s="208">
        <f t="shared" si="3"/>
        <v>2019</v>
      </c>
    </row>
    <row r="75" spans="7:9" x14ac:dyDescent="0.2">
      <c r="G75" s="83">
        <v>43770</v>
      </c>
      <c r="H75" s="87">
        <v>4.9205261660561668</v>
      </c>
      <c r="I75" s="208">
        <f t="shared" si="3"/>
        <v>2019</v>
      </c>
    </row>
    <row r="76" spans="7:9" x14ac:dyDescent="0.2">
      <c r="G76" s="83">
        <v>43800</v>
      </c>
      <c r="H76" s="87">
        <v>5.114868860398861</v>
      </c>
      <c r="I76" s="208">
        <f t="shared" si="3"/>
        <v>2019</v>
      </c>
    </row>
    <row r="77" spans="7:9" x14ac:dyDescent="0.2">
      <c r="G77" s="83">
        <v>43831</v>
      </c>
      <c r="H77" s="87">
        <v>5.2267939723239731</v>
      </c>
      <c r="I77" s="208">
        <f t="shared" si="3"/>
        <v>2020</v>
      </c>
    </row>
    <row r="78" spans="7:9" x14ac:dyDescent="0.2">
      <c r="G78" s="83">
        <v>43862</v>
      </c>
      <c r="H78" s="87">
        <v>5.2044089499389505</v>
      </c>
      <c r="I78" s="208">
        <f t="shared" si="3"/>
        <v>2020</v>
      </c>
    </row>
    <row r="79" spans="7:9" x14ac:dyDescent="0.2">
      <c r="G79" s="83">
        <v>43891</v>
      </c>
      <c r="H79" s="87">
        <v>5.1413238868538871</v>
      </c>
      <c r="I79" s="208">
        <f t="shared" si="3"/>
        <v>2020</v>
      </c>
    </row>
    <row r="80" spans="7:9" x14ac:dyDescent="0.2">
      <c r="G80" s="83">
        <v>43922</v>
      </c>
      <c r="H80" s="87">
        <v>4.7537577492877503</v>
      </c>
      <c r="I80" s="208">
        <f t="shared" si="3"/>
        <v>2020</v>
      </c>
    </row>
    <row r="81" spans="7:9" x14ac:dyDescent="0.2">
      <c r="G81" s="83">
        <v>43952</v>
      </c>
      <c r="H81" s="87">
        <v>4.7802127757427764</v>
      </c>
      <c r="I81" s="208">
        <f t="shared" si="3"/>
        <v>2020</v>
      </c>
    </row>
    <row r="82" spans="7:9" x14ac:dyDescent="0.2">
      <c r="G82" s="83">
        <v>43983</v>
      </c>
      <c r="H82" s="87">
        <v>4.8107378062678068</v>
      </c>
      <c r="I82" s="208">
        <f t="shared" si="3"/>
        <v>2020</v>
      </c>
    </row>
    <row r="83" spans="7:9" x14ac:dyDescent="0.2">
      <c r="G83" s="83">
        <v>44013</v>
      </c>
      <c r="H83" s="87">
        <v>4.8534728490028494</v>
      </c>
      <c r="I83" s="208">
        <f t="shared" si="3"/>
        <v>2020</v>
      </c>
    </row>
    <row r="84" spans="7:9" x14ac:dyDescent="0.2">
      <c r="G84" s="83">
        <v>44044</v>
      </c>
      <c r="H84" s="87">
        <v>4.8516413471713475</v>
      </c>
      <c r="I84" s="208">
        <f t="shared" si="3"/>
        <v>2020</v>
      </c>
    </row>
    <row r="85" spans="7:9" x14ac:dyDescent="0.2">
      <c r="G85" s="83">
        <v>44075</v>
      </c>
      <c r="H85" s="87">
        <v>4.8698546153846154</v>
      </c>
      <c r="I85" s="208">
        <f t="shared" si="3"/>
        <v>2020</v>
      </c>
    </row>
    <row r="86" spans="7:9" x14ac:dyDescent="0.2">
      <c r="G86" s="83">
        <v>44105</v>
      </c>
      <c r="H86" s="87">
        <v>4.9166596621896623</v>
      </c>
      <c r="I86" s="208">
        <f t="shared" si="3"/>
        <v>2020</v>
      </c>
    </row>
    <row r="87" spans="7:9" x14ac:dyDescent="0.2">
      <c r="G87" s="83">
        <v>44136</v>
      </c>
      <c r="H87" s="87">
        <v>5.1414256369556375</v>
      </c>
      <c r="I87" s="208">
        <f t="shared" si="3"/>
        <v>2020</v>
      </c>
    </row>
    <row r="88" spans="7:9" x14ac:dyDescent="0.2">
      <c r="G88" s="83">
        <v>44166</v>
      </c>
      <c r="H88" s="87">
        <v>5.3599848555148562</v>
      </c>
      <c r="I88" s="208">
        <f t="shared" si="3"/>
        <v>2020</v>
      </c>
    </row>
    <row r="89" spans="7:9" x14ac:dyDescent="0.2">
      <c r="G89" s="83">
        <v>44197</v>
      </c>
      <c r="H89" s="87">
        <v>5.3894923850223853</v>
      </c>
      <c r="I89" s="208">
        <f t="shared" si="3"/>
        <v>2021</v>
      </c>
    </row>
    <row r="90" spans="7:9" x14ac:dyDescent="0.2">
      <c r="G90" s="83">
        <v>44228</v>
      </c>
      <c r="H90" s="87">
        <v>5.3396348351648362</v>
      </c>
      <c r="I90" s="208">
        <f t="shared" si="3"/>
        <v>2021</v>
      </c>
    </row>
    <row r="91" spans="7:9" x14ac:dyDescent="0.2">
      <c r="G91" s="83">
        <v>44256</v>
      </c>
      <c r="H91" s="87">
        <v>5.1566881522181527</v>
      </c>
      <c r="I91" s="208">
        <f t="shared" si="3"/>
        <v>2021</v>
      </c>
    </row>
    <row r="92" spans="7:9" x14ac:dyDescent="0.2">
      <c r="G92" s="83">
        <v>44287</v>
      </c>
      <c r="H92" s="87">
        <v>4.9437251892551899</v>
      </c>
      <c r="I92" s="208">
        <f t="shared" si="3"/>
        <v>2021</v>
      </c>
    </row>
    <row r="93" spans="7:9" x14ac:dyDescent="0.2">
      <c r="G93" s="83">
        <v>44317</v>
      </c>
      <c r="H93" s="87">
        <v>4.9526791982091991</v>
      </c>
      <c r="I93" s="208">
        <f t="shared" si="3"/>
        <v>2021</v>
      </c>
    </row>
    <row r="94" spans="7:9" x14ac:dyDescent="0.2">
      <c r="G94" s="83">
        <v>44348</v>
      </c>
      <c r="H94" s="87">
        <v>4.9833059788359799</v>
      </c>
      <c r="I94" s="208">
        <f t="shared" si="3"/>
        <v>2021</v>
      </c>
    </row>
    <row r="95" spans="7:9" x14ac:dyDescent="0.2">
      <c r="G95" s="83">
        <v>44378</v>
      </c>
      <c r="H95" s="87">
        <v>5.019122014652015</v>
      </c>
      <c r="I95" s="208">
        <f t="shared" si="3"/>
        <v>2021</v>
      </c>
    </row>
    <row r="96" spans="7:9" x14ac:dyDescent="0.2">
      <c r="G96" s="83">
        <v>44409</v>
      </c>
      <c r="H96" s="87">
        <v>5.0620605575905584</v>
      </c>
      <c r="I96" s="208">
        <f t="shared" si="3"/>
        <v>2021</v>
      </c>
    </row>
    <row r="97" spans="7:9" x14ac:dyDescent="0.2">
      <c r="G97" s="83">
        <v>44440</v>
      </c>
      <c r="H97" s="87">
        <v>5.092382087912088</v>
      </c>
      <c r="I97" s="208">
        <f t="shared" si="3"/>
        <v>2021</v>
      </c>
    </row>
    <row r="98" spans="7:9" x14ac:dyDescent="0.2">
      <c r="G98" s="83">
        <v>44470</v>
      </c>
      <c r="H98" s="87">
        <v>5.1523128978428989</v>
      </c>
      <c r="I98" s="208">
        <f t="shared" si="3"/>
        <v>2021</v>
      </c>
    </row>
    <row r="99" spans="7:9" x14ac:dyDescent="0.2">
      <c r="G99" s="83">
        <v>44501</v>
      </c>
      <c r="H99" s="87">
        <v>5.3624268579568577</v>
      </c>
      <c r="I99" s="208">
        <f t="shared" si="3"/>
        <v>2021</v>
      </c>
    </row>
    <row r="100" spans="7:9" x14ac:dyDescent="0.2">
      <c r="G100" s="83">
        <v>44531</v>
      </c>
      <c r="H100" s="87">
        <v>5.6051008506308513</v>
      </c>
      <c r="I100" s="208">
        <f t="shared" si="3"/>
        <v>2021</v>
      </c>
    </row>
    <row r="101" spans="7:9" x14ac:dyDescent="0.2">
      <c r="G101" s="83">
        <v>44562</v>
      </c>
      <c r="H101" s="87">
        <v>5.5521907977207983</v>
      </c>
      <c r="I101" s="208">
        <f t="shared" si="3"/>
        <v>2022</v>
      </c>
    </row>
    <row r="102" spans="7:9" x14ac:dyDescent="0.2">
      <c r="G102" s="83">
        <v>44593</v>
      </c>
      <c r="H102" s="87">
        <v>5.4747589702889705</v>
      </c>
      <c r="I102" s="208">
        <f t="shared" si="3"/>
        <v>2022</v>
      </c>
    </row>
    <row r="103" spans="7:9" x14ac:dyDescent="0.2">
      <c r="G103" s="83">
        <v>44621</v>
      </c>
      <c r="H103" s="87">
        <v>5.1720524175824183</v>
      </c>
      <c r="I103" s="208">
        <f t="shared" si="3"/>
        <v>2022</v>
      </c>
    </row>
    <row r="104" spans="7:9" x14ac:dyDescent="0.2">
      <c r="G104" s="83">
        <v>44652</v>
      </c>
      <c r="H104" s="87">
        <v>5.1336926292226304</v>
      </c>
      <c r="I104" s="208">
        <f t="shared" si="3"/>
        <v>2022</v>
      </c>
    </row>
    <row r="105" spans="7:9" x14ac:dyDescent="0.2">
      <c r="G105" s="83">
        <v>44682</v>
      </c>
      <c r="H105" s="87">
        <v>5.1252473707773714</v>
      </c>
      <c r="I105" s="208">
        <f t="shared" si="3"/>
        <v>2022</v>
      </c>
    </row>
    <row r="106" spans="7:9" x14ac:dyDescent="0.2">
      <c r="G106" s="83">
        <v>44713</v>
      </c>
      <c r="H106" s="87">
        <v>5.1559759015059017</v>
      </c>
      <c r="I106" s="208">
        <f t="shared" si="3"/>
        <v>2022</v>
      </c>
    </row>
    <row r="107" spans="7:9" x14ac:dyDescent="0.2">
      <c r="G107" s="83">
        <v>44743</v>
      </c>
      <c r="H107" s="87">
        <v>5.1848729304029311</v>
      </c>
      <c r="I107" s="208">
        <f t="shared" si="3"/>
        <v>2022</v>
      </c>
    </row>
    <row r="108" spans="7:9" x14ac:dyDescent="0.2">
      <c r="G108" s="83">
        <v>44774</v>
      </c>
      <c r="H108" s="87">
        <v>5.2227239682539688</v>
      </c>
      <c r="I108" s="208">
        <f t="shared" si="3"/>
        <v>2022</v>
      </c>
    </row>
    <row r="109" spans="7:9" x14ac:dyDescent="0.2">
      <c r="G109" s="83">
        <v>44805</v>
      </c>
      <c r="H109" s="87">
        <v>5.2466352421652429</v>
      </c>
      <c r="I109" s="208">
        <f t="shared" si="3"/>
        <v>2022</v>
      </c>
    </row>
    <row r="110" spans="7:9" x14ac:dyDescent="0.2">
      <c r="G110" s="83">
        <v>44835</v>
      </c>
      <c r="H110" s="87">
        <v>5.3038187993487993</v>
      </c>
      <c r="I110" s="208">
        <f t="shared" si="3"/>
        <v>2022</v>
      </c>
    </row>
    <row r="111" spans="7:9" x14ac:dyDescent="0.2">
      <c r="G111" s="83">
        <v>44866</v>
      </c>
      <c r="H111" s="87">
        <v>5.6866026821326825</v>
      </c>
      <c r="I111" s="208">
        <f t="shared" si="3"/>
        <v>2022</v>
      </c>
    </row>
    <row r="112" spans="7:9" x14ac:dyDescent="0.2">
      <c r="G112" s="83">
        <v>44896</v>
      </c>
      <c r="H112" s="87">
        <v>5.9425041880341878</v>
      </c>
      <c r="I112" s="208">
        <f t="shared" si="3"/>
        <v>2022</v>
      </c>
    </row>
    <row r="113" spans="7:9" x14ac:dyDescent="0.2">
      <c r="G113" s="83">
        <v>44927</v>
      </c>
      <c r="H113" s="87">
        <v>5.663301908831909</v>
      </c>
      <c r="I113" s="208">
        <f t="shared" ref="I113:I159" si="4">YEAR(G113)</f>
        <v>2023</v>
      </c>
    </row>
    <row r="114" spans="7:9" x14ac:dyDescent="0.2">
      <c r="G114" s="83">
        <v>44958</v>
      </c>
      <c r="H114" s="87">
        <v>5.6636071591371593</v>
      </c>
      <c r="I114" s="208">
        <f t="shared" si="4"/>
        <v>2023</v>
      </c>
    </row>
    <row r="115" spans="7:9" x14ac:dyDescent="0.2">
      <c r="G115" s="83">
        <v>44986</v>
      </c>
      <c r="H115" s="87">
        <v>5.4733344688644685</v>
      </c>
      <c r="I115" s="208">
        <f t="shared" si="4"/>
        <v>2023</v>
      </c>
    </row>
    <row r="116" spans="7:9" x14ac:dyDescent="0.2">
      <c r="G116" s="83">
        <v>45017</v>
      </c>
      <c r="H116" s="87">
        <v>5.3739246194546197</v>
      </c>
      <c r="I116" s="208">
        <f t="shared" si="4"/>
        <v>2023</v>
      </c>
    </row>
    <row r="117" spans="7:9" x14ac:dyDescent="0.2">
      <c r="G117" s="83">
        <v>45047</v>
      </c>
      <c r="H117" s="87">
        <v>5.2890650345950352</v>
      </c>
      <c r="I117" s="208">
        <f t="shared" si="4"/>
        <v>2023</v>
      </c>
    </row>
    <row r="118" spans="7:9" x14ac:dyDescent="0.2">
      <c r="G118" s="83">
        <v>45078</v>
      </c>
      <c r="H118" s="87">
        <v>5.318979564509565</v>
      </c>
      <c r="I118" s="208">
        <f t="shared" si="4"/>
        <v>2023</v>
      </c>
    </row>
    <row r="119" spans="7:9" x14ac:dyDescent="0.2">
      <c r="G119" s="83">
        <v>45108</v>
      </c>
      <c r="H119" s="87">
        <v>5.3502168457468464</v>
      </c>
      <c r="I119" s="208">
        <f t="shared" si="4"/>
        <v>2023</v>
      </c>
    </row>
    <row r="120" spans="7:9" x14ac:dyDescent="0.2">
      <c r="G120" s="83">
        <v>45139</v>
      </c>
      <c r="H120" s="87">
        <v>5.3800296255596258</v>
      </c>
      <c r="I120" s="208">
        <f t="shared" si="4"/>
        <v>2023</v>
      </c>
    </row>
    <row r="121" spans="7:9" x14ac:dyDescent="0.2">
      <c r="G121" s="83">
        <v>45170</v>
      </c>
      <c r="H121" s="87">
        <v>5.4141159096459104</v>
      </c>
      <c r="I121" s="208">
        <f t="shared" si="4"/>
        <v>2023</v>
      </c>
    </row>
    <row r="122" spans="7:9" x14ac:dyDescent="0.2">
      <c r="G122" s="83">
        <v>45200</v>
      </c>
      <c r="H122" s="87">
        <v>5.4920564875864883</v>
      </c>
      <c r="I122" s="208">
        <f t="shared" si="4"/>
        <v>2023</v>
      </c>
    </row>
    <row r="123" spans="7:9" x14ac:dyDescent="0.2">
      <c r="G123" s="83">
        <v>45231</v>
      </c>
      <c r="H123" s="87">
        <v>5.9533914489214492</v>
      </c>
      <c r="I123" s="208">
        <f t="shared" si="4"/>
        <v>2023</v>
      </c>
    </row>
    <row r="124" spans="7:9" x14ac:dyDescent="0.2">
      <c r="G124" s="83">
        <v>45261</v>
      </c>
      <c r="H124" s="87">
        <v>6.1629966585266587</v>
      </c>
      <c r="I124" s="208">
        <f t="shared" si="4"/>
        <v>2023</v>
      </c>
    </row>
    <row r="125" spans="7:9" x14ac:dyDescent="0.2">
      <c r="G125" s="83">
        <v>45292</v>
      </c>
      <c r="H125" s="87">
        <v>6.0426262881562893</v>
      </c>
      <c r="I125" s="208">
        <f t="shared" si="4"/>
        <v>2024</v>
      </c>
    </row>
    <row r="126" spans="7:9" x14ac:dyDescent="0.2">
      <c r="G126" s="83">
        <v>45323</v>
      </c>
      <c r="H126" s="87">
        <v>6.0026384981684986</v>
      </c>
      <c r="I126" s="208">
        <f t="shared" si="4"/>
        <v>2024</v>
      </c>
    </row>
    <row r="127" spans="7:9" x14ac:dyDescent="0.2">
      <c r="G127" s="83">
        <v>45352</v>
      </c>
      <c r="H127" s="87">
        <v>5.654449649979651</v>
      </c>
      <c r="I127" s="208">
        <f t="shared" si="4"/>
        <v>2024</v>
      </c>
    </row>
    <row r="128" spans="7:9" x14ac:dyDescent="0.2">
      <c r="G128" s="83">
        <v>45383</v>
      </c>
      <c r="H128" s="87">
        <v>5.5838350793650795</v>
      </c>
      <c r="I128" s="208">
        <f t="shared" si="4"/>
        <v>2024</v>
      </c>
    </row>
    <row r="129" spans="7:9" x14ac:dyDescent="0.2">
      <c r="G129" s="83">
        <v>45413</v>
      </c>
      <c r="H129" s="87">
        <v>5.462243707773708</v>
      </c>
      <c r="I129" s="208">
        <f t="shared" si="4"/>
        <v>2024</v>
      </c>
    </row>
    <row r="130" spans="7:9" x14ac:dyDescent="0.2">
      <c r="G130" s="83">
        <v>45444</v>
      </c>
      <c r="H130" s="87">
        <v>5.469264464794465</v>
      </c>
      <c r="I130" s="208">
        <f t="shared" si="4"/>
        <v>2024</v>
      </c>
    </row>
    <row r="131" spans="7:9" x14ac:dyDescent="0.2">
      <c r="G131" s="83">
        <v>45474</v>
      </c>
      <c r="H131" s="87">
        <v>5.5281777737077746</v>
      </c>
      <c r="I131" s="208">
        <f t="shared" si="4"/>
        <v>2024</v>
      </c>
    </row>
    <row r="132" spans="7:9" x14ac:dyDescent="0.2">
      <c r="G132" s="83">
        <v>45505</v>
      </c>
      <c r="H132" s="87">
        <v>5.5571765527065535</v>
      </c>
      <c r="I132" s="208">
        <f t="shared" si="4"/>
        <v>2024</v>
      </c>
    </row>
    <row r="133" spans="7:9" x14ac:dyDescent="0.2">
      <c r="G133" s="83">
        <v>45536</v>
      </c>
      <c r="H133" s="87">
        <v>5.5927890883190896</v>
      </c>
      <c r="I133" s="208">
        <f t="shared" si="4"/>
        <v>2024</v>
      </c>
    </row>
    <row r="134" spans="7:9" x14ac:dyDescent="0.2">
      <c r="G134" s="83">
        <v>45566</v>
      </c>
      <c r="H134" s="87">
        <v>5.7219099674399683</v>
      </c>
      <c r="I134" s="208">
        <f t="shared" si="4"/>
        <v>2024</v>
      </c>
    </row>
    <row r="135" spans="7:9" x14ac:dyDescent="0.2">
      <c r="G135" s="83">
        <v>45597</v>
      </c>
      <c r="H135" s="87">
        <v>5.9634647089947093</v>
      </c>
      <c r="I135" s="208">
        <f t="shared" si="4"/>
        <v>2024</v>
      </c>
    </row>
    <row r="136" spans="7:9" x14ac:dyDescent="0.2">
      <c r="G136" s="83">
        <v>45627</v>
      </c>
      <c r="H136" s="87">
        <v>6.2034931990231987</v>
      </c>
      <c r="I136" s="208">
        <f t="shared" si="4"/>
        <v>2024</v>
      </c>
    </row>
    <row r="137" spans="7:9" x14ac:dyDescent="0.2">
      <c r="G137" s="83">
        <v>45658</v>
      </c>
      <c r="H137" s="87">
        <v>6.3070748026048031</v>
      </c>
      <c r="I137" s="208">
        <f t="shared" ref="I137:I148" si="5">YEAR(G137)</f>
        <v>2025</v>
      </c>
    </row>
    <row r="138" spans="7:9" x14ac:dyDescent="0.2">
      <c r="G138" s="83">
        <v>45689</v>
      </c>
      <c r="H138" s="87">
        <v>6.2050194505494503</v>
      </c>
      <c r="I138" s="208">
        <f t="shared" si="5"/>
        <v>2025</v>
      </c>
    </row>
    <row r="139" spans="7:9" x14ac:dyDescent="0.2">
      <c r="G139" s="83">
        <v>45717</v>
      </c>
      <c r="H139" s="87">
        <v>5.7030861986161989</v>
      </c>
      <c r="I139" s="208">
        <f t="shared" si="5"/>
        <v>2025</v>
      </c>
    </row>
    <row r="140" spans="7:9" x14ac:dyDescent="0.2">
      <c r="G140" s="83">
        <v>45748</v>
      </c>
      <c r="H140" s="87">
        <v>5.6160898616198622</v>
      </c>
      <c r="I140" s="208">
        <f t="shared" si="5"/>
        <v>2025</v>
      </c>
    </row>
    <row r="141" spans="7:9" x14ac:dyDescent="0.2">
      <c r="G141" s="83">
        <v>45778</v>
      </c>
      <c r="H141" s="87">
        <v>5.6235176190476199</v>
      </c>
      <c r="I141" s="208">
        <f t="shared" si="5"/>
        <v>2025</v>
      </c>
    </row>
    <row r="142" spans="7:9" x14ac:dyDescent="0.2">
      <c r="G142" s="83">
        <v>45809</v>
      </c>
      <c r="H142" s="87">
        <v>5.6339978795278798</v>
      </c>
      <c r="I142" s="208">
        <f t="shared" si="5"/>
        <v>2025</v>
      </c>
    </row>
    <row r="143" spans="7:9" x14ac:dyDescent="0.2">
      <c r="G143" s="83">
        <v>45839</v>
      </c>
      <c r="H143" s="87">
        <v>5.7320849776149787</v>
      </c>
      <c r="I143" s="208">
        <f t="shared" si="5"/>
        <v>2025</v>
      </c>
    </row>
    <row r="144" spans="7:9" x14ac:dyDescent="0.2">
      <c r="G144" s="83">
        <v>45870</v>
      </c>
      <c r="H144" s="87">
        <v>5.7624065079365083</v>
      </c>
      <c r="I144" s="208">
        <f t="shared" si="5"/>
        <v>2025</v>
      </c>
    </row>
    <row r="145" spans="7:9" x14ac:dyDescent="0.2">
      <c r="G145" s="83">
        <v>45901</v>
      </c>
      <c r="H145" s="87">
        <v>5.7726832682132683</v>
      </c>
      <c r="I145" s="208">
        <f t="shared" si="5"/>
        <v>2025</v>
      </c>
    </row>
    <row r="146" spans="7:9" x14ac:dyDescent="0.2">
      <c r="G146" s="83">
        <v>45931</v>
      </c>
      <c r="H146" s="87">
        <v>5.8181655636955645</v>
      </c>
      <c r="I146" s="208">
        <f t="shared" si="5"/>
        <v>2025</v>
      </c>
    </row>
    <row r="147" spans="7:9" x14ac:dyDescent="0.2">
      <c r="G147" s="83">
        <v>45962</v>
      </c>
      <c r="H147" s="87">
        <v>6.040184285714286</v>
      </c>
      <c r="I147" s="208">
        <f t="shared" si="5"/>
        <v>2025</v>
      </c>
    </row>
    <row r="148" spans="7:9" x14ac:dyDescent="0.2">
      <c r="G148" s="83">
        <v>45992</v>
      </c>
      <c r="H148" s="87">
        <v>6.2632205087505088</v>
      </c>
      <c r="I148" s="208">
        <f t="shared" si="5"/>
        <v>2025</v>
      </c>
    </row>
    <row r="149" spans="7:9" x14ac:dyDescent="0.2">
      <c r="G149" s="83">
        <v>46023</v>
      </c>
      <c r="H149" s="87">
        <v>6.4159474114774113</v>
      </c>
      <c r="I149" s="208">
        <f t="shared" si="4"/>
        <v>2026</v>
      </c>
    </row>
    <row r="150" spans="7:9" x14ac:dyDescent="0.2">
      <c r="G150" s="83">
        <v>46054</v>
      </c>
      <c r="H150" s="87">
        <v>6.3336315791615796</v>
      </c>
      <c r="I150" s="208">
        <f t="shared" si="4"/>
        <v>2026</v>
      </c>
    </row>
    <row r="151" spans="7:9" x14ac:dyDescent="0.2">
      <c r="G151" s="83">
        <v>46082</v>
      </c>
      <c r="H151" s="87">
        <v>5.935788681318682</v>
      </c>
      <c r="I151" s="208">
        <f t="shared" si="4"/>
        <v>2026</v>
      </c>
    </row>
    <row r="152" spans="7:9" x14ac:dyDescent="0.2">
      <c r="G152" s="83">
        <v>46113</v>
      </c>
      <c r="H152" s="87">
        <v>5.8602901058201056</v>
      </c>
      <c r="I152" s="208">
        <f t="shared" si="4"/>
        <v>2026</v>
      </c>
    </row>
    <row r="153" spans="7:9" x14ac:dyDescent="0.2">
      <c r="G153" s="83">
        <v>46143</v>
      </c>
      <c r="H153" s="87">
        <v>5.7915070370370376</v>
      </c>
      <c r="I153" s="208">
        <f t="shared" si="4"/>
        <v>2026</v>
      </c>
    </row>
    <row r="154" spans="7:9" x14ac:dyDescent="0.2">
      <c r="G154" s="83">
        <v>46174</v>
      </c>
      <c r="H154" s="87">
        <v>5.8238635693935699</v>
      </c>
      <c r="I154" s="208">
        <f t="shared" si="4"/>
        <v>2026</v>
      </c>
    </row>
    <row r="155" spans="7:9" x14ac:dyDescent="0.2">
      <c r="G155" s="83">
        <v>46204</v>
      </c>
      <c r="H155" s="87">
        <v>5.8970218925518934</v>
      </c>
      <c r="I155" s="208">
        <f t="shared" si="4"/>
        <v>2026</v>
      </c>
    </row>
    <row r="156" spans="7:9" x14ac:dyDescent="0.2">
      <c r="G156" s="83">
        <v>46235</v>
      </c>
      <c r="H156" s="87">
        <v>5.931108176638177</v>
      </c>
      <c r="I156" s="208">
        <f t="shared" si="4"/>
        <v>2026</v>
      </c>
    </row>
    <row r="157" spans="7:9" x14ac:dyDescent="0.2">
      <c r="G157" s="83">
        <v>46266</v>
      </c>
      <c r="H157" s="87">
        <v>5.9434199389499396</v>
      </c>
      <c r="I157" s="208">
        <f t="shared" si="4"/>
        <v>2026</v>
      </c>
    </row>
    <row r="158" spans="7:9" x14ac:dyDescent="0.2">
      <c r="G158" s="83">
        <v>46296</v>
      </c>
      <c r="H158" s="87">
        <v>6.0748810704110712</v>
      </c>
      <c r="I158" s="208">
        <f t="shared" si="4"/>
        <v>2026</v>
      </c>
    </row>
    <row r="159" spans="7:9" x14ac:dyDescent="0.2">
      <c r="G159" s="83">
        <v>46327</v>
      </c>
      <c r="H159" s="87">
        <v>6.2412424867724878</v>
      </c>
      <c r="I159" s="208">
        <f t="shared" si="4"/>
        <v>2026</v>
      </c>
    </row>
    <row r="160" spans="7:9" x14ac:dyDescent="0.2">
      <c r="G160" s="83">
        <v>46357</v>
      </c>
      <c r="H160" s="87">
        <v>6.5006034961334969</v>
      </c>
      <c r="I160" s="208">
        <f t="shared" ref="I160:I223" si="6">YEAR(G160)</f>
        <v>2026</v>
      </c>
    </row>
    <row r="161" spans="7:9" x14ac:dyDescent="0.2">
      <c r="G161" s="83">
        <v>46388</v>
      </c>
      <c r="H161" s="87">
        <v>6.7009494464794468</v>
      </c>
      <c r="I161" s="208">
        <f t="shared" si="6"/>
        <v>2027</v>
      </c>
    </row>
    <row r="162" spans="7:9" x14ac:dyDescent="0.2">
      <c r="G162" s="83">
        <v>46419</v>
      </c>
      <c r="H162" s="87">
        <v>6.5305180260480267</v>
      </c>
      <c r="I162" s="208">
        <f t="shared" si="6"/>
        <v>2027</v>
      </c>
    </row>
    <row r="163" spans="7:9" x14ac:dyDescent="0.2">
      <c r="G163" s="83">
        <v>46447</v>
      </c>
      <c r="H163" s="87">
        <v>6.080680826210827</v>
      </c>
      <c r="I163" s="208">
        <f t="shared" si="6"/>
        <v>2027</v>
      </c>
    </row>
    <row r="164" spans="7:9" x14ac:dyDescent="0.2">
      <c r="G164" s="83">
        <v>46478</v>
      </c>
      <c r="H164" s="87">
        <v>6.0069120024420037</v>
      </c>
      <c r="I164" s="208">
        <f t="shared" si="6"/>
        <v>2027</v>
      </c>
    </row>
    <row r="165" spans="7:9" x14ac:dyDescent="0.2">
      <c r="G165" s="83">
        <v>46508</v>
      </c>
      <c r="H165" s="87">
        <v>5.9990772446072445</v>
      </c>
      <c r="I165" s="208">
        <f t="shared" si="6"/>
        <v>2027</v>
      </c>
    </row>
    <row r="166" spans="7:9" x14ac:dyDescent="0.2">
      <c r="G166" s="83">
        <v>46539</v>
      </c>
      <c r="H166" s="87">
        <v>6.0349950305250308</v>
      </c>
      <c r="I166" s="208">
        <f t="shared" si="6"/>
        <v>2027</v>
      </c>
    </row>
    <row r="167" spans="7:9" x14ac:dyDescent="0.2">
      <c r="G167" s="83">
        <v>46569</v>
      </c>
      <c r="H167" s="87">
        <v>6.0971643426943434</v>
      </c>
      <c r="I167" s="208">
        <f t="shared" si="6"/>
        <v>2027</v>
      </c>
    </row>
    <row r="168" spans="7:9" x14ac:dyDescent="0.2">
      <c r="G168" s="83">
        <v>46600</v>
      </c>
      <c r="H168" s="87">
        <v>6.1277911233211233</v>
      </c>
      <c r="I168" s="208">
        <f t="shared" si="6"/>
        <v>2027</v>
      </c>
    </row>
    <row r="169" spans="7:9" x14ac:dyDescent="0.2">
      <c r="G169" s="83">
        <v>46631</v>
      </c>
      <c r="H169" s="87">
        <v>6.1667614122914127</v>
      </c>
      <c r="I169" s="208">
        <f t="shared" si="6"/>
        <v>2027</v>
      </c>
    </row>
    <row r="170" spans="7:9" x14ac:dyDescent="0.2">
      <c r="G170" s="83">
        <v>46661</v>
      </c>
      <c r="H170" s="87">
        <v>6.2553857509157513</v>
      </c>
      <c r="I170" s="208">
        <f t="shared" si="6"/>
        <v>2027</v>
      </c>
    </row>
    <row r="171" spans="7:9" x14ac:dyDescent="0.2">
      <c r="G171" s="83">
        <v>46692</v>
      </c>
      <c r="H171" s="87">
        <v>6.652312897842898</v>
      </c>
      <c r="I171" s="208">
        <f t="shared" si="6"/>
        <v>2027</v>
      </c>
    </row>
    <row r="172" spans="7:9" x14ac:dyDescent="0.2">
      <c r="G172" s="83">
        <v>46722</v>
      </c>
      <c r="H172" s="87">
        <v>6.9057724013024018</v>
      </c>
      <c r="I172" s="208">
        <f t="shared" si="6"/>
        <v>2027</v>
      </c>
    </row>
    <row r="173" spans="7:9" x14ac:dyDescent="0.2">
      <c r="G173" s="83">
        <v>46753</v>
      </c>
      <c r="H173" s="87">
        <v>6.930192425722427</v>
      </c>
      <c r="I173" s="208">
        <f t="shared" si="6"/>
        <v>2028</v>
      </c>
    </row>
    <row r="174" spans="7:9" x14ac:dyDescent="0.2">
      <c r="G174" s="83">
        <v>46784</v>
      </c>
      <c r="H174" s="87">
        <v>6.8161305616605619</v>
      </c>
      <c r="I174" s="208">
        <f t="shared" si="6"/>
        <v>2028</v>
      </c>
    </row>
    <row r="175" spans="7:9" x14ac:dyDescent="0.2">
      <c r="G175" s="83">
        <v>46813</v>
      </c>
      <c r="H175" s="87">
        <v>6.2690202645502646</v>
      </c>
      <c r="I175" s="208">
        <f t="shared" si="6"/>
        <v>2028</v>
      </c>
    </row>
    <row r="176" spans="7:9" x14ac:dyDescent="0.2">
      <c r="G176" s="83">
        <v>46844</v>
      </c>
      <c r="H176" s="87">
        <v>6.1779539234839245</v>
      </c>
      <c r="I176" s="208">
        <f t="shared" si="6"/>
        <v>2028</v>
      </c>
    </row>
    <row r="177" spans="7:9" x14ac:dyDescent="0.2">
      <c r="G177" s="83">
        <v>46874</v>
      </c>
      <c r="H177" s="87">
        <v>6.178767924297925</v>
      </c>
      <c r="I177" s="208">
        <f t="shared" si="6"/>
        <v>2028</v>
      </c>
    </row>
    <row r="178" spans="7:9" x14ac:dyDescent="0.2">
      <c r="G178" s="83">
        <v>46905</v>
      </c>
      <c r="H178" s="87">
        <v>6.1860939316239323</v>
      </c>
      <c r="I178" s="208">
        <f t="shared" si="6"/>
        <v>2028</v>
      </c>
    </row>
    <row r="179" spans="7:9" x14ac:dyDescent="0.2">
      <c r="G179" s="83">
        <v>46935</v>
      </c>
      <c r="H179" s="87">
        <v>6.2455159910459921</v>
      </c>
      <c r="I179" s="208">
        <f t="shared" si="6"/>
        <v>2028</v>
      </c>
    </row>
    <row r="180" spans="7:9" x14ac:dyDescent="0.2">
      <c r="G180" s="83">
        <v>46966</v>
      </c>
      <c r="H180" s="87">
        <v>6.2782795238095241</v>
      </c>
      <c r="I180" s="208">
        <f t="shared" si="6"/>
        <v>2028</v>
      </c>
    </row>
    <row r="181" spans="7:9" x14ac:dyDescent="0.2">
      <c r="G181" s="83">
        <v>46997</v>
      </c>
      <c r="H181" s="87">
        <v>6.3177585632885638</v>
      </c>
      <c r="I181" s="208">
        <f t="shared" si="6"/>
        <v>2028</v>
      </c>
    </row>
    <row r="182" spans="7:9" x14ac:dyDescent="0.2">
      <c r="G182" s="83">
        <v>47027</v>
      </c>
      <c r="H182" s="87">
        <v>6.4434199389499396</v>
      </c>
      <c r="I182" s="208">
        <f t="shared" si="6"/>
        <v>2028</v>
      </c>
    </row>
    <row r="183" spans="7:9" x14ac:dyDescent="0.2">
      <c r="G183" s="83">
        <v>47058</v>
      </c>
      <c r="H183" s="87">
        <v>7.1257561212861216</v>
      </c>
      <c r="I183" s="208">
        <f t="shared" si="6"/>
        <v>2028</v>
      </c>
    </row>
    <row r="184" spans="7:9" x14ac:dyDescent="0.2">
      <c r="G184" s="83">
        <v>47088</v>
      </c>
      <c r="H184" s="87">
        <v>7.4788289743589749</v>
      </c>
      <c r="I184" s="208">
        <f t="shared" si="6"/>
        <v>2028</v>
      </c>
    </row>
    <row r="185" spans="7:9" x14ac:dyDescent="0.2">
      <c r="G185" s="83">
        <v>47119</v>
      </c>
      <c r="H185" s="87">
        <v>7.2760410215710216</v>
      </c>
      <c r="I185" s="208">
        <f t="shared" si="6"/>
        <v>2029</v>
      </c>
    </row>
    <row r="186" spans="7:9" x14ac:dyDescent="0.2">
      <c r="G186" s="83">
        <v>47150</v>
      </c>
      <c r="H186" s="87">
        <v>7.1082551037851047</v>
      </c>
      <c r="I186" s="208">
        <f t="shared" si="6"/>
        <v>2029</v>
      </c>
    </row>
    <row r="187" spans="7:9" x14ac:dyDescent="0.2">
      <c r="G187" s="83">
        <v>47178</v>
      </c>
      <c r="H187" s="87">
        <v>6.592382087912088</v>
      </c>
      <c r="I187" s="208">
        <f t="shared" si="6"/>
        <v>2029</v>
      </c>
    </row>
    <row r="188" spans="7:9" x14ac:dyDescent="0.2">
      <c r="G188" s="83">
        <v>47209</v>
      </c>
      <c r="H188" s="87">
        <v>6.5140345095645094</v>
      </c>
      <c r="I188" s="208">
        <f t="shared" si="6"/>
        <v>2029</v>
      </c>
    </row>
    <row r="189" spans="7:9" x14ac:dyDescent="0.2">
      <c r="G189" s="83">
        <v>47239</v>
      </c>
      <c r="H189" s="87">
        <v>6.5155607610907618</v>
      </c>
      <c r="I189" s="208">
        <f t="shared" si="6"/>
        <v>2029</v>
      </c>
    </row>
    <row r="190" spans="7:9" x14ac:dyDescent="0.2">
      <c r="G190" s="83">
        <v>47270</v>
      </c>
      <c r="H190" s="87">
        <v>6.5074207529507531</v>
      </c>
      <c r="I190" s="208">
        <f t="shared" si="6"/>
        <v>2029</v>
      </c>
    </row>
    <row r="191" spans="7:9" x14ac:dyDescent="0.2">
      <c r="G191" s="83">
        <v>47300</v>
      </c>
      <c r="H191" s="87">
        <v>6.6044903500203507</v>
      </c>
      <c r="I191" s="208">
        <f t="shared" si="6"/>
        <v>2029</v>
      </c>
    </row>
    <row r="192" spans="7:9" x14ac:dyDescent="0.2">
      <c r="G192" s="83">
        <v>47331</v>
      </c>
      <c r="H192" s="87">
        <v>6.6659474114774122</v>
      </c>
      <c r="I192" s="208">
        <f t="shared" si="6"/>
        <v>2029</v>
      </c>
    </row>
    <row r="193" spans="7:9" x14ac:dyDescent="0.2">
      <c r="G193" s="83">
        <v>47362</v>
      </c>
      <c r="H193" s="87">
        <v>6.702882698412699</v>
      </c>
      <c r="I193" s="208">
        <f t="shared" si="6"/>
        <v>2029</v>
      </c>
    </row>
    <row r="194" spans="7:9" x14ac:dyDescent="0.2">
      <c r="G194" s="83">
        <v>47392</v>
      </c>
      <c r="H194" s="87">
        <v>6.7567085022385029</v>
      </c>
      <c r="I194" s="208">
        <f t="shared" si="6"/>
        <v>2029</v>
      </c>
    </row>
    <row r="195" spans="7:9" x14ac:dyDescent="0.2">
      <c r="G195" s="83">
        <v>47423</v>
      </c>
      <c r="H195" s="87">
        <v>7.1625896581196589</v>
      </c>
      <c r="I195" s="208">
        <f t="shared" si="6"/>
        <v>2029</v>
      </c>
    </row>
    <row r="196" spans="7:9" x14ac:dyDescent="0.2">
      <c r="G196" s="83">
        <v>47453</v>
      </c>
      <c r="H196" s="87">
        <v>7.507217252747254</v>
      </c>
      <c r="I196" s="208">
        <f t="shared" si="6"/>
        <v>2029</v>
      </c>
    </row>
    <row r="197" spans="7:9" x14ac:dyDescent="0.2">
      <c r="G197" s="83">
        <v>47484</v>
      </c>
      <c r="H197" s="87">
        <v>7.8722966178266178</v>
      </c>
      <c r="I197" s="208">
        <f t="shared" si="6"/>
        <v>2030</v>
      </c>
    </row>
    <row r="198" spans="7:9" x14ac:dyDescent="0.2">
      <c r="G198" s="83">
        <v>47515</v>
      </c>
      <c r="H198" s="87">
        <v>7.6489551444851447</v>
      </c>
      <c r="I198" s="208">
        <f t="shared" si="6"/>
        <v>2030</v>
      </c>
    </row>
    <row r="199" spans="7:9" x14ac:dyDescent="0.2">
      <c r="G199" s="83">
        <v>47543</v>
      </c>
      <c r="H199" s="87">
        <v>6.8137903093203098</v>
      </c>
      <c r="I199" s="208">
        <f t="shared" si="6"/>
        <v>2030</v>
      </c>
    </row>
    <row r="200" spans="7:9" x14ac:dyDescent="0.2">
      <c r="G200" s="83">
        <v>47574</v>
      </c>
      <c r="H200" s="87">
        <v>6.7019669474969481</v>
      </c>
      <c r="I200" s="208">
        <f t="shared" si="6"/>
        <v>2030</v>
      </c>
    </row>
    <row r="201" spans="7:9" x14ac:dyDescent="0.2">
      <c r="G201" s="83">
        <v>47604</v>
      </c>
      <c r="H201" s="87">
        <v>6.6320646275946284</v>
      </c>
      <c r="I201" s="208">
        <f t="shared" si="6"/>
        <v>2030</v>
      </c>
    </row>
    <row r="202" spans="7:9" x14ac:dyDescent="0.2">
      <c r="G202" s="83">
        <v>47635</v>
      </c>
      <c r="H202" s="87">
        <v>6.6701191656491661</v>
      </c>
      <c r="I202" s="208">
        <f t="shared" si="6"/>
        <v>2030</v>
      </c>
    </row>
    <row r="203" spans="7:9" x14ac:dyDescent="0.2">
      <c r="G203" s="83">
        <v>47665</v>
      </c>
      <c r="H203" s="87">
        <v>6.7601680056980058</v>
      </c>
      <c r="I203" s="208">
        <f t="shared" si="6"/>
        <v>2030</v>
      </c>
    </row>
    <row r="204" spans="7:9" x14ac:dyDescent="0.2">
      <c r="G204" s="83">
        <v>47696</v>
      </c>
      <c r="H204" s="87">
        <v>6.8213198168498179</v>
      </c>
      <c r="I204" s="208">
        <f t="shared" si="6"/>
        <v>2030</v>
      </c>
    </row>
    <row r="205" spans="7:9" x14ac:dyDescent="0.2">
      <c r="G205" s="83">
        <v>47727</v>
      </c>
      <c r="H205" s="87">
        <v>6.8661916117216117</v>
      </c>
      <c r="I205" s="208">
        <f t="shared" si="6"/>
        <v>2030</v>
      </c>
    </row>
    <row r="206" spans="7:9" x14ac:dyDescent="0.2">
      <c r="G206" s="83">
        <v>47757</v>
      </c>
      <c r="H206" s="87">
        <v>6.9986702442002446</v>
      </c>
      <c r="I206" s="208">
        <f t="shared" si="6"/>
        <v>2030</v>
      </c>
    </row>
    <row r="207" spans="7:9" x14ac:dyDescent="0.2">
      <c r="G207" s="83">
        <v>47788</v>
      </c>
      <c r="H207" s="87">
        <v>7.6440711396011407</v>
      </c>
      <c r="I207" s="208">
        <f t="shared" si="6"/>
        <v>2030</v>
      </c>
    </row>
    <row r="208" spans="7:9" x14ac:dyDescent="0.2">
      <c r="G208" s="83">
        <v>47818</v>
      </c>
      <c r="H208" s="87">
        <v>8.0534117989417986</v>
      </c>
      <c r="I208" s="208">
        <f t="shared" si="6"/>
        <v>2030</v>
      </c>
    </row>
    <row r="209" spans="7:9" x14ac:dyDescent="0.2">
      <c r="G209" s="83">
        <v>47849</v>
      </c>
      <c r="H209" s="87">
        <v>8.0296022751322749</v>
      </c>
      <c r="I209" s="208">
        <f t="shared" si="6"/>
        <v>2031</v>
      </c>
    </row>
    <row r="210" spans="7:9" x14ac:dyDescent="0.2">
      <c r="G210" s="83">
        <v>47880</v>
      </c>
      <c r="H210" s="87">
        <v>7.8018855474155471</v>
      </c>
      <c r="I210" s="208">
        <f t="shared" si="6"/>
        <v>2031</v>
      </c>
    </row>
    <row r="211" spans="7:9" x14ac:dyDescent="0.2">
      <c r="G211" s="83">
        <v>47908</v>
      </c>
      <c r="H211" s="87">
        <v>6.9500336955636968</v>
      </c>
      <c r="I211" s="208">
        <f t="shared" si="6"/>
        <v>2031</v>
      </c>
    </row>
    <row r="212" spans="7:9" x14ac:dyDescent="0.2">
      <c r="G212" s="83">
        <v>47939</v>
      </c>
      <c r="H212" s="87">
        <v>6.8358700814000812</v>
      </c>
      <c r="I212" s="208">
        <f t="shared" si="6"/>
        <v>2031</v>
      </c>
    </row>
    <row r="213" spans="7:9" x14ac:dyDescent="0.2">
      <c r="G213" s="83">
        <v>47969</v>
      </c>
      <c r="H213" s="87">
        <v>6.7645432600732605</v>
      </c>
      <c r="I213" s="208">
        <f t="shared" si="6"/>
        <v>2031</v>
      </c>
    </row>
    <row r="214" spans="7:9" x14ac:dyDescent="0.2">
      <c r="G214" s="83">
        <v>48000</v>
      </c>
      <c r="H214" s="87">
        <v>6.8034117989417995</v>
      </c>
      <c r="I214" s="208">
        <f t="shared" si="6"/>
        <v>2031</v>
      </c>
    </row>
    <row r="215" spans="7:9" x14ac:dyDescent="0.2">
      <c r="G215" s="83">
        <v>48030</v>
      </c>
      <c r="H215" s="87">
        <v>6.8952921408221419</v>
      </c>
      <c r="I215" s="208">
        <f t="shared" si="6"/>
        <v>2031</v>
      </c>
    </row>
    <row r="216" spans="7:9" x14ac:dyDescent="0.2">
      <c r="G216" s="83">
        <v>48061</v>
      </c>
      <c r="H216" s="87">
        <v>6.9575632030932031</v>
      </c>
      <c r="I216" s="208">
        <f t="shared" si="6"/>
        <v>2031</v>
      </c>
    </row>
    <row r="217" spans="7:9" x14ac:dyDescent="0.2">
      <c r="G217" s="83">
        <v>48092</v>
      </c>
      <c r="H217" s="87">
        <v>7.0034524989824991</v>
      </c>
      <c r="I217" s="208">
        <f t="shared" si="6"/>
        <v>2031</v>
      </c>
    </row>
    <row r="218" spans="7:9" x14ac:dyDescent="0.2">
      <c r="G218" s="83">
        <v>48122</v>
      </c>
      <c r="H218" s="87">
        <v>7.1385766341066343</v>
      </c>
      <c r="I218" s="208">
        <f t="shared" si="6"/>
        <v>2031</v>
      </c>
    </row>
    <row r="219" spans="7:9" x14ac:dyDescent="0.2">
      <c r="G219" s="83">
        <v>48153</v>
      </c>
      <c r="H219" s="87">
        <v>7.7968997924297936</v>
      </c>
      <c r="I219" s="208">
        <f t="shared" si="6"/>
        <v>2031</v>
      </c>
    </row>
    <row r="220" spans="7:9" x14ac:dyDescent="0.2">
      <c r="G220" s="83">
        <v>48183</v>
      </c>
      <c r="H220" s="87">
        <v>8.2143804599104602</v>
      </c>
      <c r="I220" s="208">
        <f t="shared" si="6"/>
        <v>2031</v>
      </c>
    </row>
    <row r="221" spans="7:9" x14ac:dyDescent="0.2">
      <c r="G221" s="83">
        <v>48214</v>
      </c>
      <c r="H221" s="87">
        <v>8.1901639356939349</v>
      </c>
      <c r="I221" s="208">
        <f t="shared" si="6"/>
        <v>2032</v>
      </c>
    </row>
    <row r="222" spans="7:9" x14ac:dyDescent="0.2">
      <c r="G222" s="83">
        <v>48245</v>
      </c>
      <c r="H222" s="87">
        <v>7.957766703296703</v>
      </c>
      <c r="I222" s="208">
        <f t="shared" si="6"/>
        <v>2032</v>
      </c>
    </row>
    <row r="223" spans="7:9" x14ac:dyDescent="0.2">
      <c r="G223" s="83">
        <v>48274</v>
      </c>
      <c r="H223" s="87">
        <v>7.0889225844525852</v>
      </c>
      <c r="I223" s="208">
        <f t="shared" si="6"/>
        <v>2032</v>
      </c>
    </row>
    <row r="224" spans="7:9" x14ac:dyDescent="0.2">
      <c r="G224" s="83">
        <v>48305</v>
      </c>
      <c r="H224" s="87">
        <v>6.9725204680504689</v>
      </c>
      <c r="I224" s="208">
        <f t="shared" ref="I224:I287" si="7">YEAR(G224)</f>
        <v>2032</v>
      </c>
    </row>
    <row r="225" spans="7:9" x14ac:dyDescent="0.2">
      <c r="G225" s="83">
        <v>48335</v>
      </c>
      <c r="H225" s="87">
        <v>6.8997691452991461</v>
      </c>
      <c r="I225" s="208">
        <f t="shared" si="7"/>
        <v>2032</v>
      </c>
    </row>
    <row r="226" spans="7:9" x14ac:dyDescent="0.2">
      <c r="G226" s="83">
        <v>48366</v>
      </c>
      <c r="H226" s="87">
        <v>6.9394516849816847</v>
      </c>
      <c r="I226" s="208">
        <f t="shared" si="7"/>
        <v>2032</v>
      </c>
    </row>
    <row r="227" spans="7:9" x14ac:dyDescent="0.2">
      <c r="G227" s="83">
        <v>48396</v>
      </c>
      <c r="H227" s="87">
        <v>7.033163528693529</v>
      </c>
      <c r="I227" s="208">
        <f t="shared" si="7"/>
        <v>2032</v>
      </c>
    </row>
    <row r="228" spans="7:9" x14ac:dyDescent="0.2">
      <c r="G228" s="83">
        <v>48427</v>
      </c>
      <c r="H228" s="87">
        <v>7.0966555921855932</v>
      </c>
      <c r="I228" s="208">
        <f t="shared" si="7"/>
        <v>2032</v>
      </c>
    </row>
    <row r="229" spans="7:9" x14ac:dyDescent="0.2">
      <c r="G229" s="83">
        <v>48458</v>
      </c>
      <c r="H229" s="87">
        <v>7.1433588888888888</v>
      </c>
      <c r="I229" s="208">
        <f t="shared" si="7"/>
        <v>2032</v>
      </c>
    </row>
    <row r="230" spans="7:9" x14ac:dyDescent="0.2">
      <c r="G230" s="83">
        <v>48488</v>
      </c>
      <c r="H230" s="87">
        <v>7.2812302767602777</v>
      </c>
      <c r="I230" s="208">
        <f t="shared" si="7"/>
        <v>2032</v>
      </c>
    </row>
    <row r="231" spans="7:9" x14ac:dyDescent="0.2">
      <c r="G231" s="83">
        <v>48519</v>
      </c>
      <c r="H231" s="87">
        <v>7.9526791982091982</v>
      </c>
      <c r="I231" s="208">
        <f t="shared" si="7"/>
        <v>2032</v>
      </c>
    </row>
    <row r="232" spans="7:9" x14ac:dyDescent="0.2">
      <c r="G232" s="83">
        <v>48549</v>
      </c>
      <c r="H232" s="87">
        <v>8.3786051241351238</v>
      </c>
      <c r="I232" s="208">
        <f t="shared" si="7"/>
        <v>2032</v>
      </c>
    </row>
    <row r="233" spans="7:9" x14ac:dyDescent="0.2">
      <c r="G233" s="83">
        <v>48580</v>
      </c>
      <c r="H233" s="87">
        <v>8.3538798494098483</v>
      </c>
      <c r="I233" s="208">
        <f t="shared" si="7"/>
        <v>2033</v>
      </c>
    </row>
    <row r="234" spans="7:9" x14ac:dyDescent="0.2">
      <c r="G234" s="83">
        <v>48611</v>
      </c>
      <c r="H234" s="87">
        <v>8.1169038624338619</v>
      </c>
      <c r="I234" s="208">
        <f t="shared" si="7"/>
        <v>2033</v>
      </c>
    </row>
    <row r="235" spans="7:9" x14ac:dyDescent="0.2">
      <c r="G235" s="83">
        <v>48639</v>
      </c>
      <c r="H235" s="87">
        <v>7.2305587260887263</v>
      </c>
      <c r="I235" s="208">
        <f t="shared" si="7"/>
        <v>2033</v>
      </c>
    </row>
    <row r="236" spans="7:9" x14ac:dyDescent="0.2">
      <c r="G236" s="83">
        <v>48670</v>
      </c>
      <c r="H236" s="87">
        <v>7.1119181074481075</v>
      </c>
      <c r="I236" s="208">
        <f t="shared" si="7"/>
        <v>2033</v>
      </c>
    </row>
    <row r="237" spans="7:9" x14ac:dyDescent="0.2">
      <c r="G237" s="83">
        <v>48700</v>
      </c>
      <c r="H237" s="87">
        <v>7.0376405331705341</v>
      </c>
      <c r="I237" s="208">
        <f t="shared" si="7"/>
        <v>2033</v>
      </c>
    </row>
    <row r="238" spans="7:9" x14ac:dyDescent="0.2">
      <c r="G238" s="83">
        <v>48731</v>
      </c>
      <c r="H238" s="87">
        <v>7.0781370736670741</v>
      </c>
      <c r="I238" s="208">
        <f t="shared" si="7"/>
        <v>2033</v>
      </c>
    </row>
    <row r="239" spans="7:9" x14ac:dyDescent="0.2">
      <c r="G239" s="83">
        <v>48761</v>
      </c>
      <c r="H239" s="87">
        <v>7.1736804192104193</v>
      </c>
      <c r="I239" s="208">
        <f t="shared" si="7"/>
        <v>2033</v>
      </c>
    </row>
    <row r="240" spans="7:9" x14ac:dyDescent="0.2">
      <c r="G240" s="83">
        <v>48792</v>
      </c>
      <c r="H240" s="87">
        <v>7.2384952340252351</v>
      </c>
      <c r="I240" s="208">
        <f t="shared" si="7"/>
        <v>2033</v>
      </c>
    </row>
    <row r="241" spans="7:9" x14ac:dyDescent="0.2">
      <c r="G241" s="83">
        <v>48823</v>
      </c>
      <c r="H241" s="87">
        <v>7.2862160317460329</v>
      </c>
      <c r="I241" s="208">
        <f t="shared" si="7"/>
        <v>2033</v>
      </c>
    </row>
    <row r="242" spans="7:9" x14ac:dyDescent="0.2">
      <c r="G242" s="83">
        <v>48853</v>
      </c>
      <c r="H242" s="87">
        <v>7.4268346723646728</v>
      </c>
      <c r="I242" s="208">
        <f t="shared" si="7"/>
        <v>2033</v>
      </c>
    </row>
    <row r="243" spans="7:9" x14ac:dyDescent="0.2">
      <c r="G243" s="83">
        <v>48884</v>
      </c>
      <c r="H243" s="87">
        <v>8.1117146072446076</v>
      </c>
      <c r="I243" s="208">
        <f t="shared" si="7"/>
        <v>2033</v>
      </c>
    </row>
    <row r="244" spans="7:9" x14ac:dyDescent="0.2">
      <c r="G244" s="83">
        <v>48914</v>
      </c>
      <c r="H244" s="87">
        <v>8.5460857916157913</v>
      </c>
      <c r="I244" s="208">
        <f t="shared" si="7"/>
        <v>2033</v>
      </c>
    </row>
    <row r="245" spans="7:9" x14ac:dyDescent="0.2">
      <c r="G245" s="83">
        <v>48945</v>
      </c>
      <c r="H245" s="87">
        <v>8.5208517663817656</v>
      </c>
      <c r="I245" s="208">
        <f t="shared" si="7"/>
        <v>2034</v>
      </c>
    </row>
    <row r="246" spans="7:9" x14ac:dyDescent="0.2">
      <c r="G246" s="83">
        <v>48976</v>
      </c>
      <c r="H246" s="87">
        <v>8.2790935246235247</v>
      </c>
      <c r="I246" s="208">
        <f t="shared" si="7"/>
        <v>2034</v>
      </c>
    </row>
    <row r="247" spans="7:9" x14ac:dyDescent="0.2">
      <c r="G247" s="83">
        <v>49004</v>
      </c>
      <c r="H247" s="87">
        <v>7.375145620675621</v>
      </c>
      <c r="I247" s="208">
        <f t="shared" si="7"/>
        <v>2034</v>
      </c>
    </row>
    <row r="248" spans="7:9" x14ac:dyDescent="0.2">
      <c r="G248" s="83">
        <v>49035</v>
      </c>
      <c r="H248" s="87">
        <v>7.2540629995930006</v>
      </c>
      <c r="I248" s="208">
        <f t="shared" si="7"/>
        <v>2034</v>
      </c>
    </row>
    <row r="249" spans="7:9" x14ac:dyDescent="0.2">
      <c r="G249" s="83">
        <v>49065</v>
      </c>
      <c r="H249" s="87">
        <v>7.1783609238909252</v>
      </c>
      <c r="I249" s="208">
        <f t="shared" si="7"/>
        <v>2034</v>
      </c>
    </row>
    <row r="250" spans="7:9" x14ac:dyDescent="0.2">
      <c r="G250" s="83">
        <v>49096</v>
      </c>
      <c r="H250" s="87">
        <v>7.2195697150997162</v>
      </c>
      <c r="I250" s="208">
        <f t="shared" si="7"/>
        <v>2034</v>
      </c>
    </row>
    <row r="251" spans="7:9" x14ac:dyDescent="0.2">
      <c r="G251" s="83">
        <v>49126</v>
      </c>
      <c r="H251" s="87">
        <v>7.3171480626780632</v>
      </c>
      <c r="I251" s="208">
        <f t="shared" si="7"/>
        <v>2034</v>
      </c>
    </row>
    <row r="252" spans="7:9" x14ac:dyDescent="0.2">
      <c r="G252" s="83">
        <v>49157</v>
      </c>
      <c r="H252" s="87">
        <v>7.3831838787138793</v>
      </c>
      <c r="I252" s="208">
        <f t="shared" si="7"/>
        <v>2034</v>
      </c>
    </row>
    <row r="253" spans="7:9" x14ac:dyDescent="0.2">
      <c r="G253" s="83">
        <v>49188</v>
      </c>
      <c r="H253" s="87">
        <v>7.431820427350428</v>
      </c>
      <c r="I253" s="208">
        <f t="shared" si="7"/>
        <v>2034</v>
      </c>
    </row>
    <row r="254" spans="7:9" x14ac:dyDescent="0.2">
      <c r="G254" s="83">
        <v>49218</v>
      </c>
      <c r="H254" s="87">
        <v>7.575288070818071</v>
      </c>
      <c r="I254" s="208">
        <f t="shared" si="7"/>
        <v>2034</v>
      </c>
    </row>
    <row r="255" spans="7:9" x14ac:dyDescent="0.2">
      <c r="G255" s="83">
        <v>49249</v>
      </c>
      <c r="H255" s="87">
        <v>8.27380251933252</v>
      </c>
      <c r="I255" s="208">
        <f t="shared" si="7"/>
        <v>2034</v>
      </c>
    </row>
    <row r="256" spans="7:9" x14ac:dyDescent="0.2">
      <c r="G256" s="83">
        <v>49279</v>
      </c>
      <c r="H256" s="87">
        <v>8.7169242124542112</v>
      </c>
      <c r="I256" s="208">
        <f t="shared" si="7"/>
        <v>2034</v>
      </c>
    </row>
    <row r="257" spans="7:9" x14ac:dyDescent="0.2">
      <c r="G257" s="83">
        <v>49310</v>
      </c>
      <c r="H257" s="87">
        <v>8.6911814367114371</v>
      </c>
      <c r="I257" s="208">
        <f t="shared" si="7"/>
        <v>2035</v>
      </c>
    </row>
    <row r="258" spans="7:9" x14ac:dyDescent="0.2">
      <c r="G258" s="83">
        <v>49341</v>
      </c>
      <c r="H258" s="87">
        <v>8.4446409401709399</v>
      </c>
      <c r="I258" s="208">
        <f t="shared" si="7"/>
        <v>2035</v>
      </c>
    </row>
    <row r="259" spans="7:9" x14ac:dyDescent="0.2">
      <c r="G259" s="83">
        <v>49369</v>
      </c>
      <c r="H259" s="87">
        <v>7.5225815181115188</v>
      </c>
      <c r="I259" s="208">
        <f t="shared" si="7"/>
        <v>2035</v>
      </c>
    </row>
    <row r="260" spans="7:9" x14ac:dyDescent="0.2">
      <c r="G260" s="83">
        <v>49400</v>
      </c>
      <c r="H260" s="87">
        <v>7.3990568945868951</v>
      </c>
      <c r="I260" s="208">
        <f t="shared" si="7"/>
        <v>2035</v>
      </c>
    </row>
    <row r="261" spans="7:9" x14ac:dyDescent="0.2">
      <c r="G261" s="83">
        <v>49430</v>
      </c>
      <c r="H261" s="87">
        <v>7.3218285673585672</v>
      </c>
      <c r="I261" s="208">
        <f t="shared" si="7"/>
        <v>2035</v>
      </c>
    </row>
    <row r="262" spans="7:9" x14ac:dyDescent="0.2">
      <c r="G262" s="83">
        <v>49461</v>
      </c>
      <c r="H262" s="87">
        <v>7.3638513593813597</v>
      </c>
      <c r="I262" s="208">
        <f t="shared" si="7"/>
        <v>2035</v>
      </c>
    </row>
    <row r="263" spans="7:9" x14ac:dyDescent="0.2">
      <c r="G263" s="83">
        <v>49491</v>
      </c>
      <c r="H263" s="87">
        <v>7.4633629588929589</v>
      </c>
      <c r="I263" s="208">
        <f t="shared" si="7"/>
        <v>2035</v>
      </c>
    </row>
    <row r="264" spans="7:9" x14ac:dyDescent="0.2">
      <c r="G264" s="83">
        <v>49522</v>
      </c>
      <c r="H264" s="87">
        <v>7.5308232763532761</v>
      </c>
      <c r="I264" s="208">
        <f t="shared" si="7"/>
        <v>2035</v>
      </c>
    </row>
    <row r="265" spans="7:9" x14ac:dyDescent="0.2">
      <c r="G265" s="83">
        <v>49553</v>
      </c>
      <c r="H265" s="87">
        <v>7.5803755759055758</v>
      </c>
      <c r="I265" s="208">
        <f t="shared" si="7"/>
        <v>2035</v>
      </c>
    </row>
    <row r="266" spans="7:9" x14ac:dyDescent="0.2">
      <c r="G266" s="83">
        <v>49583</v>
      </c>
      <c r="H266" s="87">
        <v>7.7266922222222227</v>
      </c>
      <c r="I266" s="208">
        <f t="shared" si="7"/>
        <v>2035</v>
      </c>
    </row>
    <row r="267" spans="7:9" x14ac:dyDescent="0.2">
      <c r="G267" s="83">
        <v>49614</v>
      </c>
      <c r="H267" s="87">
        <v>8.4391464346764344</v>
      </c>
      <c r="I267" s="208">
        <f t="shared" si="7"/>
        <v>2035</v>
      </c>
    </row>
    <row r="268" spans="7:9" x14ac:dyDescent="0.2">
      <c r="G268" s="83">
        <v>49644</v>
      </c>
      <c r="H268" s="87">
        <v>8.8911203866503872</v>
      </c>
      <c r="I268" s="208">
        <f t="shared" si="7"/>
        <v>2035</v>
      </c>
    </row>
    <row r="269" spans="7:9" x14ac:dyDescent="0.2">
      <c r="G269" s="83">
        <v>49675</v>
      </c>
      <c r="H269" s="87">
        <v>8.8736193691493686</v>
      </c>
      <c r="I269" s="208">
        <f t="shared" si="7"/>
        <v>2036</v>
      </c>
    </row>
    <row r="270" spans="7:9" x14ac:dyDescent="0.2">
      <c r="G270" s="83">
        <v>49706</v>
      </c>
      <c r="H270" s="87">
        <v>8.6218896174196171</v>
      </c>
      <c r="I270" s="208">
        <f t="shared" si="7"/>
        <v>2036</v>
      </c>
    </row>
    <row r="271" spans="7:9" x14ac:dyDescent="0.2">
      <c r="G271" s="83">
        <v>49735</v>
      </c>
      <c r="H271" s="87">
        <v>7.680395925925926</v>
      </c>
      <c r="I271" s="208">
        <f t="shared" si="7"/>
        <v>2036</v>
      </c>
    </row>
    <row r="272" spans="7:9" x14ac:dyDescent="0.2">
      <c r="G272" s="83">
        <v>49766</v>
      </c>
      <c r="H272" s="87">
        <v>7.5543275498575504</v>
      </c>
      <c r="I272" s="208">
        <f t="shared" si="7"/>
        <v>2036</v>
      </c>
    </row>
    <row r="273" spans="7:9" x14ac:dyDescent="0.2">
      <c r="G273" s="83">
        <v>49796</v>
      </c>
      <c r="H273" s="87">
        <v>7.4754712210012215</v>
      </c>
      <c r="I273" s="208">
        <f t="shared" si="7"/>
        <v>2036</v>
      </c>
    </row>
    <row r="274" spans="7:9" x14ac:dyDescent="0.2">
      <c r="G274" s="83">
        <v>49827</v>
      </c>
      <c r="H274" s="87">
        <v>7.518409763939764</v>
      </c>
      <c r="I274" s="208">
        <f t="shared" si="7"/>
        <v>2036</v>
      </c>
    </row>
    <row r="275" spans="7:9" x14ac:dyDescent="0.2">
      <c r="G275" s="83">
        <v>49857</v>
      </c>
      <c r="H275" s="87">
        <v>7.6199563654863658</v>
      </c>
      <c r="I275" s="208">
        <f t="shared" si="7"/>
        <v>2036</v>
      </c>
    </row>
    <row r="276" spans="7:9" x14ac:dyDescent="0.2">
      <c r="G276" s="83">
        <v>49888</v>
      </c>
      <c r="H276" s="87">
        <v>7.688841184371185</v>
      </c>
      <c r="I276" s="208">
        <f t="shared" si="7"/>
        <v>2036</v>
      </c>
    </row>
    <row r="277" spans="7:9" x14ac:dyDescent="0.2">
      <c r="G277" s="83">
        <v>49919</v>
      </c>
      <c r="H277" s="87">
        <v>7.7394109849409851</v>
      </c>
      <c r="I277" s="208">
        <f t="shared" si="7"/>
        <v>2036</v>
      </c>
    </row>
    <row r="278" spans="7:9" x14ac:dyDescent="0.2">
      <c r="G278" s="83">
        <v>49949</v>
      </c>
      <c r="H278" s="87">
        <v>7.8888818844118846</v>
      </c>
      <c r="I278" s="208">
        <f t="shared" si="7"/>
        <v>2036</v>
      </c>
    </row>
    <row r="279" spans="7:9" x14ac:dyDescent="0.2">
      <c r="G279" s="83">
        <v>49980</v>
      </c>
      <c r="H279" s="87">
        <v>8.6162933618233613</v>
      </c>
      <c r="I279" s="208">
        <f t="shared" si="7"/>
        <v>2036</v>
      </c>
    </row>
    <row r="280" spans="7:9" x14ac:dyDescent="0.2">
      <c r="G280" s="83">
        <v>50010</v>
      </c>
      <c r="H280" s="87">
        <v>9.0777300732600725</v>
      </c>
      <c r="I280" s="208">
        <f t="shared" si="7"/>
        <v>2036</v>
      </c>
    </row>
    <row r="281" spans="7:9" x14ac:dyDescent="0.2">
      <c r="G281" s="83">
        <v>50041</v>
      </c>
      <c r="H281" s="87">
        <v>9.0598220553520541</v>
      </c>
      <c r="I281" s="208">
        <f t="shared" si="7"/>
        <v>2037</v>
      </c>
    </row>
    <row r="282" spans="7:9" x14ac:dyDescent="0.2">
      <c r="G282" s="83">
        <v>50072</v>
      </c>
      <c r="H282" s="87">
        <v>8.802801298331298</v>
      </c>
      <c r="I282" s="208">
        <f t="shared" si="7"/>
        <v>2037</v>
      </c>
    </row>
    <row r="283" spans="7:9" x14ac:dyDescent="0.2">
      <c r="G283" s="83">
        <v>50100</v>
      </c>
      <c r="H283" s="87">
        <v>7.8415680870980875</v>
      </c>
      <c r="I283" s="208">
        <f t="shared" si="7"/>
        <v>2037</v>
      </c>
    </row>
    <row r="284" spans="7:9" x14ac:dyDescent="0.2">
      <c r="G284" s="83">
        <v>50131</v>
      </c>
      <c r="H284" s="87">
        <v>7.7128542083842087</v>
      </c>
      <c r="I284" s="208">
        <f t="shared" si="7"/>
        <v>2037</v>
      </c>
    </row>
    <row r="285" spans="7:9" x14ac:dyDescent="0.2">
      <c r="G285" s="83">
        <v>50161</v>
      </c>
      <c r="H285" s="87">
        <v>7.6323698778998779</v>
      </c>
      <c r="I285" s="208">
        <f t="shared" si="7"/>
        <v>2037</v>
      </c>
    </row>
    <row r="286" spans="7:9" x14ac:dyDescent="0.2">
      <c r="G286" s="83">
        <v>50192</v>
      </c>
      <c r="H286" s="87">
        <v>7.6762241717541722</v>
      </c>
      <c r="I286" s="208">
        <f t="shared" si="7"/>
        <v>2037</v>
      </c>
    </row>
    <row r="287" spans="7:9" x14ac:dyDescent="0.2">
      <c r="G287" s="83">
        <v>50222</v>
      </c>
      <c r="H287" s="87">
        <v>7.7799075254375261</v>
      </c>
      <c r="I287" s="208">
        <f t="shared" si="7"/>
        <v>2037</v>
      </c>
    </row>
    <row r="288" spans="7:9" x14ac:dyDescent="0.2">
      <c r="G288" s="83">
        <v>50253</v>
      </c>
      <c r="H288" s="87">
        <v>7.8502168457468464</v>
      </c>
      <c r="I288" s="208">
        <f t="shared" ref="I288:I304" si="8">YEAR(G288)</f>
        <v>2037</v>
      </c>
    </row>
    <row r="289" spans="7:9" x14ac:dyDescent="0.2">
      <c r="G289" s="83">
        <v>50284</v>
      </c>
      <c r="H289" s="87">
        <v>7.9019058974358973</v>
      </c>
      <c r="I289" s="208">
        <f t="shared" si="8"/>
        <v>2037</v>
      </c>
    </row>
    <row r="290" spans="7:9" x14ac:dyDescent="0.2">
      <c r="G290" s="83">
        <v>50314</v>
      </c>
      <c r="H290" s="87">
        <v>8.054429299959299</v>
      </c>
      <c r="I290" s="208">
        <f t="shared" si="8"/>
        <v>2037</v>
      </c>
    </row>
    <row r="291" spans="7:9" x14ac:dyDescent="0.2">
      <c r="G291" s="83">
        <v>50345</v>
      </c>
      <c r="H291" s="87">
        <v>8.7972050427350439</v>
      </c>
      <c r="I291" s="208">
        <f t="shared" si="8"/>
        <v>2037</v>
      </c>
    </row>
    <row r="292" spans="7:9" x14ac:dyDescent="0.2">
      <c r="G292" s="83">
        <v>50375</v>
      </c>
      <c r="H292" s="87">
        <v>9.2683080138380127</v>
      </c>
      <c r="I292" s="208">
        <f t="shared" si="8"/>
        <v>2037</v>
      </c>
    </row>
    <row r="293" spans="7:9" x14ac:dyDescent="0.2">
      <c r="G293" s="83">
        <v>50406</v>
      </c>
      <c r="H293" s="87">
        <v>9.2499929955229945</v>
      </c>
      <c r="I293" s="208">
        <f t="shared" si="8"/>
        <v>2038</v>
      </c>
    </row>
    <row r="294" spans="7:9" x14ac:dyDescent="0.2">
      <c r="G294" s="83">
        <v>50437</v>
      </c>
      <c r="H294" s="87">
        <v>8.9875794831094833</v>
      </c>
      <c r="I294" s="208">
        <f t="shared" si="8"/>
        <v>2038</v>
      </c>
    </row>
    <row r="295" spans="7:9" x14ac:dyDescent="0.2">
      <c r="G295" s="83">
        <v>50465</v>
      </c>
      <c r="H295" s="87">
        <v>8.006199751729751</v>
      </c>
      <c r="I295" s="208">
        <f t="shared" si="8"/>
        <v>2038</v>
      </c>
    </row>
    <row r="296" spans="7:9" x14ac:dyDescent="0.2">
      <c r="G296" s="83">
        <v>50496</v>
      </c>
      <c r="H296" s="87">
        <v>7.8747386202686203</v>
      </c>
      <c r="I296" s="208">
        <f t="shared" si="8"/>
        <v>2038</v>
      </c>
    </row>
    <row r="297" spans="7:9" x14ac:dyDescent="0.2">
      <c r="G297" s="83">
        <v>50526</v>
      </c>
      <c r="H297" s="87">
        <v>7.792524538054538</v>
      </c>
      <c r="I297" s="208">
        <f t="shared" si="8"/>
        <v>2038</v>
      </c>
    </row>
    <row r="298" spans="7:9" x14ac:dyDescent="0.2">
      <c r="G298" s="83">
        <v>50557</v>
      </c>
      <c r="H298" s="87">
        <v>7.8372945828245832</v>
      </c>
      <c r="I298" s="208">
        <f t="shared" si="8"/>
        <v>2038</v>
      </c>
    </row>
    <row r="299" spans="7:9" x14ac:dyDescent="0.2">
      <c r="G299" s="83">
        <v>50587</v>
      </c>
      <c r="H299" s="87">
        <v>7.9432164387464397</v>
      </c>
      <c r="I299" s="208">
        <f t="shared" si="8"/>
        <v>2038</v>
      </c>
    </row>
    <row r="300" spans="7:9" x14ac:dyDescent="0.2">
      <c r="G300" s="83">
        <v>50618</v>
      </c>
      <c r="H300" s="87">
        <v>8.0149502604802603</v>
      </c>
      <c r="I300" s="208">
        <f t="shared" si="8"/>
        <v>2038</v>
      </c>
    </row>
    <row r="301" spans="7:9" x14ac:dyDescent="0.2">
      <c r="G301" s="83">
        <v>50649</v>
      </c>
      <c r="H301" s="87">
        <v>8.067758563288562</v>
      </c>
      <c r="I301" s="208">
        <f t="shared" si="8"/>
        <v>2038</v>
      </c>
    </row>
    <row r="302" spans="7:9" x14ac:dyDescent="0.2">
      <c r="G302" s="83">
        <v>50679</v>
      </c>
      <c r="H302" s="87">
        <v>8.2234362189662189</v>
      </c>
      <c r="I302" s="208">
        <f t="shared" si="8"/>
        <v>2038</v>
      </c>
    </row>
    <row r="303" spans="7:9" x14ac:dyDescent="0.2">
      <c r="G303" s="83">
        <v>50710</v>
      </c>
      <c r="H303" s="87">
        <v>8.9817797273097284</v>
      </c>
      <c r="I303" s="208">
        <f t="shared" si="8"/>
        <v>2038</v>
      </c>
    </row>
    <row r="304" spans="7:9" x14ac:dyDescent="0.2">
      <c r="G304" s="83">
        <v>50740</v>
      </c>
      <c r="H304" s="87">
        <v>9.4628542083842078</v>
      </c>
      <c r="I304" s="208">
        <f t="shared" si="8"/>
        <v>2038</v>
      </c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Appendix B</vt:lpstr>
      <vt:lpstr>Table 1</vt:lpstr>
      <vt:lpstr>Table 2</vt:lpstr>
      <vt:lpstr>Table 3 423</vt:lpstr>
      <vt:lpstr>Table 3 411</vt:lpstr>
      <vt:lpstr>Table 3 661</vt:lpstr>
      <vt:lpstr>Table 4</vt:lpstr>
      <vt:lpstr>_411_CCCT__2028</vt:lpstr>
      <vt:lpstr>_423_CCCT__2027</vt:lpstr>
      <vt:lpstr>_423_CCCT__2028</vt:lpstr>
      <vt:lpstr>_661_CCCT__2030</vt:lpstr>
      <vt:lpstr>Discount_Rate</vt:lpstr>
      <vt:lpstr>'Appendix B'!Print_Area</vt:lpstr>
      <vt:lpstr>'Table 1'!Print_Area</vt:lpstr>
      <vt:lpstr>'Table 2'!Print_Area</vt:lpstr>
      <vt:lpstr>'Table 3 411'!Print_Area</vt:lpstr>
      <vt:lpstr>'Table 3 423'!Print_Area</vt:lpstr>
      <vt:lpstr>'Table 3 661'!Print_Area</vt:lpstr>
      <vt:lpstr>'Table 4'!Print_Area</vt:lpstr>
      <vt:lpstr>'Table 2'!Print_Titles</vt:lpstr>
      <vt:lpstr>'Table 3 411'!Print_Titles</vt:lpstr>
      <vt:lpstr>'Table 3 423'!Print_Titles</vt:lpstr>
      <vt:lpstr>'Table 3 661'!Print_Titles</vt:lpstr>
      <vt:lpstr>Study_Cap_Adj</vt:lpstr>
      <vt:lpstr>Study_CF</vt:lpstr>
      <vt:lpstr>Study_MW</vt:lpstr>
      <vt:lpstr>Study_Name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laurieharris</cp:lastModifiedBy>
  <cp:lastPrinted>2014-08-21T15:13:30Z</cp:lastPrinted>
  <dcterms:created xsi:type="dcterms:W3CDTF">2001-03-19T15:45:46Z</dcterms:created>
  <dcterms:modified xsi:type="dcterms:W3CDTF">2014-08-22T16:05:44Z</dcterms:modified>
</cp:coreProperties>
</file>