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40\"/>
    </mc:Choice>
  </mc:AlternateContent>
  <bookViews>
    <workbookView xWindow="0" yWindow="-15" windowWidth="14430" windowHeight="9600"/>
  </bookViews>
  <sheets>
    <sheet name="Incremental" sheetId="6" r:id="rId1"/>
    <sheet name="Total" sheetId="5" r:id="rId2"/>
    <sheet name="Energy" sheetId="3" r:id="rId3"/>
    <sheet name="Capacity" sheetId="10" r:id="rId4"/>
  </sheets>
  <externalReferences>
    <externalReference r:id="rId5"/>
  </externalReferences>
  <definedNames>
    <definedName name="_Order1" hidden="1">255</definedName>
    <definedName name="_Order2" hidden="1">0</definedName>
    <definedName name="Discount_Rate">Total!$B$41</definedName>
    <definedName name="_xlnm.Print_Area" localSheetId="3">Capacity!$A$1:$H$39</definedName>
    <definedName name="_xlnm.Print_Area" localSheetId="2">Energy!$A$1:$J$38</definedName>
    <definedName name="_xlnm.Print_Area" localSheetId="0">Incremental!$A$1:$J$37</definedName>
    <definedName name="_xlnm.Print_Area" localSheetId="1">Total!$A$1:$J$37</definedName>
    <definedName name="Study_CF">'[1]Monthly NPV'!$M$5</definedName>
    <definedName name="Study_MW">'[1]Monthly NPV'!$M$4</definedName>
    <definedName name="Study_Name">'[1]Monthly NPV'!$M$2</definedName>
  </definedNames>
  <calcPr calcId="152511" calcOnSave="0"/>
</workbook>
</file>

<file path=xl/calcChain.xml><?xml version="1.0" encoding="utf-8"?>
<calcChain xmlns="http://schemas.openxmlformats.org/spreadsheetml/2006/main">
  <c r="B35" i="5" l="1"/>
  <c r="G8" i="6" l="1"/>
  <c r="G7" i="6"/>
  <c r="H8" i="5"/>
  <c r="H7" i="5"/>
  <c r="H8" i="6" l="1"/>
  <c r="H7" i="6"/>
  <c r="F8" i="6"/>
  <c r="F7" i="6"/>
  <c r="E8" i="6"/>
  <c r="E7" i="6"/>
  <c r="D8" i="6"/>
  <c r="D7" i="6"/>
  <c r="C8" i="6"/>
  <c r="K32" i="5"/>
  <c r="I8" i="5"/>
  <c r="G8" i="5"/>
  <c r="F8" i="5"/>
  <c r="E8" i="5"/>
  <c r="D8" i="5"/>
  <c r="I7" i="5"/>
  <c r="G7" i="5"/>
  <c r="F7" i="5"/>
  <c r="E7" i="5"/>
  <c r="D7" i="5"/>
  <c r="D8" i="10" l="1"/>
  <c r="C7" i="6" l="1"/>
  <c r="G8" i="10" l="1"/>
  <c r="B36" i="5" l="1"/>
  <c r="B41" i="10" l="1"/>
  <c r="B41" i="3"/>
  <c r="B1" i="10" l="1"/>
  <c r="B3" i="10"/>
  <c r="B10" i="10"/>
  <c r="F10" i="10" s="1"/>
  <c r="B31" i="10"/>
  <c r="B40" i="10"/>
  <c r="B35" i="10" s="1"/>
  <c r="B11" i="10" l="1"/>
  <c r="G11" i="10" l="1"/>
  <c r="G10" i="10"/>
  <c r="F11" i="10"/>
  <c r="B12" i="10"/>
  <c r="G12" i="10" s="1"/>
  <c r="F12" i="10" l="1"/>
  <c r="B13" i="10"/>
  <c r="G13" i="10" s="1"/>
  <c r="F13" i="10" l="1"/>
  <c r="B14" i="10"/>
  <c r="G14" i="10" s="1"/>
  <c r="F14" i="10" l="1"/>
  <c r="B15" i="10"/>
  <c r="G15" i="10" s="1"/>
  <c r="F15" i="10" l="1"/>
  <c r="B16" i="10"/>
  <c r="G16" i="10" s="1"/>
  <c r="F16" i="10" l="1"/>
  <c r="B17" i="10"/>
  <c r="G17" i="10" s="1"/>
  <c r="F17" i="10" l="1"/>
  <c r="B18" i="10"/>
  <c r="G18" i="10" s="1"/>
  <c r="F18" i="10" l="1"/>
  <c r="B19" i="10"/>
  <c r="G19" i="10" s="1"/>
  <c r="F19" i="10" l="1"/>
  <c r="B20" i="10"/>
  <c r="G20" i="10" s="1"/>
  <c r="F20" i="10" l="1"/>
  <c r="B21" i="10"/>
  <c r="G21" i="10" s="1"/>
  <c r="F21" i="10" l="1"/>
  <c r="B22" i="10"/>
  <c r="G22" i="10" s="1"/>
  <c r="F22" i="10" l="1"/>
  <c r="B23" i="10"/>
  <c r="G23" i="10" s="1"/>
  <c r="F23" i="10" l="1"/>
  <c r="B24" i="10"/>
  <c r="G24" i="10" s="1"/>
  <c r="F24" i="10" l="1"/>
  <c r="B25" i="10"/>
  <c r="G25" i="10" s="1"/>
  <c r="F25" i="10" l="1"/>
  <c r="B26" i="10"/>
  <c r="G26" i="10" s="1"/>
  <c r="F26" i="10" l="1"/>
  <c r="B27" i="10"/>
  <c r="G27" i="10" s="1"/>
  <c r="F27" i="10" l="1"/>
  <c r="B28" i="10"/>
  <c r="G28" i="10" s="1"/>
  <c r="F28" i="10" l="1"/>
  <c r="B29" i="10"/>
  <c r="G29" i="10" s="1"/>
  <c r="F29" i="10" l="1"/>
  <c r="B32" i="10"/>
  <c r="B31" i="5" l="1"/>
  <c r="B37" i="3" l="1"/>
  <c r="B35" i="3"/>
  <c r="B36" i="6"/>
  <c r="B37" i="6"/>
  <c r="B34" i="6"/>
  <c r="B41" i="6" l="1"/>
  <c r="B31" i="3" l="1"/>
  <c r="B31" i="6"/>
  <c r="B10" i="3" l="1"/>
  <c r="B10" i="6"/>
  <c r="B11" i="5"/>
  <c r="B3" i="3"/>
  <c r="B1" i="3"/>
  <c r="B3" i="6"/>
  <c r="B1" i="6"/>
  <c r="H10" i="5" l="1"/>
  <c r="I10" i="5"/>
  <c r="G10" i="5"/>
  <c r="B11" i="6"/>
  <c r="B12" i="5"/>
  <c r="B11" i="3"/>
  <c r="C11" i="5" l="1"/>
  <c r="C10" i="5"/>
  <c r="H10" i="6"/>
  <c r="G10" i="6"/>
  <c r="H11" i="5"/>
  <c r="I11" i="5"/>
  <c r="G11" i="5"/>
  <c r="B13" i="5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2" i="6" s="1"/>
  <c r="B12" i="3"/>
  <c r="H11" i="6" l="1"/>
  <c r="G11" i="6"/>
  <c r="H12" i="5"/>
  <c r="I12" i="5"/>
  <c r="G12" i="5"/>
  <c r="B14" i="5"/>
  <c r="B13" i="3"/>
  <c r="C13" i="5" l="1"/>
  <c r="C12" i="5"/>
  <c r="H12" i="6"/>
  <c r="G12" i="6"/>
  <c r="H13" i="5"/>
  <c r="I13" i="5"/>
  <c r="G13" i="5"/>
  <c r="B15" i="5"/>
  <c r="B14" i="3"/>
  <c r="H13" i="6" l="1"/>
  <c r="G13" i="6"/>
  <c r="H14" i="5"/>
  <c r="I14" i="5"/>
  <c r="G14" i="5"/>
  <c r="B16" i="5"/>
  <c r="B15" i="3"/>
  <c r="C14" i="5" l="1"/>
  <c r="C15" i="5"/>
  <c r="H14" i="6"/>
  <c r="G14" i="6"/>
  <c r="H15" i="5"/>
  <c r="I15" i="5"/>
  <c r="G15" i="5"/>
  <c r="B17" i="5"/>
  <c r="B16" i="3"/>
  <c r="C16" i="5" l="1"/>
  <c r="H15" i="6"/>
  <c r="G15" i="6"/>
  <c r="H16" i="5"/>
  <c r="I16" i="5"/>
  <c r="G16" i="5"/>
  <c r="B18" i="5"/>
  <c r="B17" i="3"/>
  <c r="G16" i="6" l="1"/>
  <c r="C17" i="5"/>
  <c r="H16" i="6"/>
  <c r="H17" i="5"/>
  <c r="I17" i="5"/>
  <c r="G17" i="5"/>
  <c r="B19" i="5"/>
  <c r="B18" i="3"/>
  <c r="C18" i="5" l="1"/>
  <c r="H17" i="6"/>
  <c r="G17" i="6"/>
  <c r="H18" i="5"/>
  <c r="I18" i="5"/>
  <c r="G18" i="5"/>
  <c r="B20" i="5"/>
  <c r="B19" i="3"/>
  <c r="C19" i="5" l="1"/>
  <c r="H18" i="6"/>
  <c r="G18" i="6"/>
  <c r="H19" i="5"/>
  <c r="I19" i="5"/>
  <c r="G19" i="5"/>
  <c r="B21" i="5"/>
  <c r="B20" i="3"/>
  <c r="C20" i="5" l="1"/>
  <c r="H19" i="6"/>
  <c r="G19" i="6"/>
  <c r="H20" i="5"/>
  <c r="I20" i="5"/>
  <c r="G20" i="5"/>
  <c r="B22" i="5"/>
  <c r="B21" i="3"/>
  <c r="C21" i="5" l="1"/>
  <c r="H20" i="6"/>
  <c r="G20" i="6"/>
  <c r="H21" i="5"/>
  <c r="I21" i="5"/>
  <c r="G21" i="5"/>
  <c r="B23" i="5"/>
  <c r="B22" i="3"/>
  <c r="C22" i="5" l="1"/>
  <c r="H21" i="6"/>
  <c r="G21" i="6"/>
  <c r="H22" i="5"/>
  <c r="I22" i="5"/>
  <c r="G22" i="5"/>
  <c r="B24" i="5"/>
  <c r="B23" i="3"/>
  <c r="C23" i="5" l="1"/>
  <c r="H22" i="6"/>
  <c r="G22" i="6"/>
  <c r="H23" i="5"/>
  <c r="I23" i="5"/>
  <c r="G23" i="5"/>
  <c r="B25" i="5"/>
  <c r="B24" i="3"/>
  <c r="C24" i="5" l="1"/>
  <c r="H23" i="6"/>
  <c r="G23" i="6"/>
  <c r="H24" i="5"/>
  <c r="I24" i="5"/>
  <c r="G24" i="5"/>
  <c r="B26" i="5"/>
  <c r="B25" i="3"/>
  <c r="C25" i="5" l="1"/>
  <c r="H24" i="6"/>
  <c r="G24" i="6"/>
  <c r="H25" i="5"/>
  <c r="I25" i="5"/>
  <c r="G25" i="5"/>
  <c r="B27" i="5"/>
  <c r="B26" i="3"/>
  <c r="C26" i="5" l="1"/>
  <c r="H25" i="6"/>
  <c r="G25" i="6"/>
  <c r="H26" i="5"/>
  <c r="I26" i="5"/>
  <c r="G26" i="5"/>
  <c r="B28" i="5"/>
  <c r="B27" i="3"/>
  <c r="C27" i="5" l="1"/>
  <c r="H26" i="6"/>
  <c r="G26" i="6"/>
  <c r="H27" i="5"/>
  <c r="I27" i="5"/>
  <c r="G27" i="5"/>
  <c r="B29" i="5"/>
  <c r="B28" i="3"/>
  <c r="I28" i="5" l="1"/>
  <c r="H27" i="6"/>
  <c r="G27" i="6"/>
  <c r="H28" i="5"/>
  <c r="D29" i="3"/>
  <c r="D32" i="3" s="1"/>
  <c r="F29" i="3"/>
  <c r="F32" i="3" s="1"/>
  <c r="E29" i="3"/>
  <c r="E32" i="3" s="1"/>
  <c r="B32" i="5"/>
  <c r="B29" i="3"/>
  <c r="C29" i="3" l="1"/>
  <c r="C28" i="5"/>
  <c r="H28" i="6"/>
  <c r="G29" i="3"/>
  <c r="G28" i="5"/>
  <c r="G28" i="6" s="1"/>
  <c r="B32" i="3"/>
  <c r="C29" i="5" l="1"/>
  <c r="C32" i="5" s="1"/>
  <c r="C32" i="3"/>
  <c r="H32" i="3"/>
  <c r="H29" i="5"/>
  <c r="H32" i="5" s="1"/>
  <c r="I32" i="3"/>
  <c r="I29" i="5"/>
  <c r="I32" i="5" s="1"/>
  <c r="G32" i="3"/>
  <c r="G29" i="5"/>
  <c r="G32" i="5" s="1"/>
  <c r="H29" i="6" l="1"/>
  <c r="G32" i="6"/>
  <c r="G29" i="6"/>
  <c r="C32" i="10"/>
  <c r="H32" i="6" l="1"/>
  <c r="F32" i="10"/>
  <c r="D32" i="10" l="1"/>
  <c r="G32" i="10"/>
  <c r="E21" i="5" l="1"/>
  <c r="D21" i="5"/>
  <c r="C21" i="6" s="1"/>
  <c r="E20" i="5"/>
  <c r="D20" i="5"/>
  <c r="E24" i="5"/>
  <c r="D24" i="5"/>
  <c r="C24" i="6" s="1"/>
  <c r="E22" i="5"/>
  <c r="D22" i="5"/>
  <c r="C22" i="6" s="1"/>
  <c r="E29" i="5"/>
  <c r="D29" i="5"/>
  <c r="C29" i="6" s="1"/>
  <c r="E28" i="5"/>
  <c r="D28" i="5"/>
  <c r="C28" i="6" s="1"/>
  <c r="E26" i="5"/>
  <c r="D26" i="5"/>
  <c r="C26" i="6" s="1"/>
  <c r="E25" i="5"/>
  <c r="D25" i="5"/>
  <c r="C25" i="6" s="1"/>
  <c r="E27" i="5"/>
  <c r="D27" i="5"/>
  <c r="C27" i="6" s="1"/>
  <c r="D25" i="6" l="1"/>
  <c r="D28" i="6"/>
  <c r="D22" i="6"/>
  <c r="D27" i="6"/>
  <c r="D26" i="6"/>
  <c r="D29" i="6"/>
  <c r="D24" i="6"/>
  <c r="F22" i="5"/>
  <c r="E22" i="6" s="1"/>
  <c r="F20" i="5"/>
  <c r="E20" i="6" s="1"/>
  <c r="E23" i="5"/>
  <c r="D23" i="5"/>
  <c r="C23" i="6" s="1"/>
  <c r="F25" i="5"/>
  <c r="E25" i="6" s="1"/>
  <c r="C20" i="6"/>
  <c r="D20" i="6"/>
  <c r="F27" i="5"/>
  <c r="E27" i="6" s="1"/>
  <c r="D21" i="6"/>
  <c r="F21" i="5" l="1"/>
  <c r="E21" i="6" s="1"/>
  <c r="F22" i="6"/>
  <c r="F28" i="5"/>
  <c r="E28" i="6" s="1"/>
  <c r="D23" i="6"/>
  <c r="F20" i="6"/>
  <c r="F26" i="5"/>
  <c r="E26" i="6" s="1"/>
  <c r="F27" i="6"/>
  <c r="F24" i="5"/>
  <c r="E24" i="6" s="1"/>
  <c r="F29" i="5"/>
  <c r="E29" i="6" s="1"/>
  <c r="F25" i="6"/>
  <c r="F21" i="6" l="1"/>
  <c r="F23" i="5"/>
  <c r="E23" i="6" s="1"/>
  <c r="F28" i="6"/>
  <c r="F24" i="6"/>
  <c r="F29" i="6"/>
  <c r="F26" i="6"/>
  <c r="F23" i="6" l="1"/>
  <c r="I25" i="6" l="1"/>
  <c r="I27" i="6"/>
  <c r="I22" i="6"/>
  <c r="I21" i="6"/>
  <c r="I20" i="6"/>
  <c r="I28" i="6"/>
  <c r="E13" i="5"/>
  <c r="D13" i="5"/>
  <c r="C13" i="6" s="1"/>
  <c r="D13" i="6" l="1"/>
  <c r="E16" i="5"/>
  <c r="D16" i="5"/>
  <c r="C16" i="6" s="1"/>
  <c r="I23" i="6"/>
  <c r="K21" i="6"/>
  <c r="K25" i="6"/>
  <c r="I24" i="6"/>
  <c r="K22" i="6"/>
  <c r="E15" i="5"/>
  <c r="D15" i="5"/>
  <c r="C15" i="6" s="1"/>
  <c r="E18" i="5"/>
  <c r="D18" i="5"/>
  <c r="C18" i="6" s="1"/>
  <c r="I29" i="6"/>
  <c r="E17" i="5"/>
  <c r="D17" i="5"/>
  <c r="C17" i="6" s="1"/>
  <c r="E12" i="5"/>
  <c r="D12" i="5"/>
  <c r="C12" i="6" s="1"/>
  <c r="K20" i="6"/>
  <c r="E19" i="5"/>
  <c r="D19" i="5"/>
  <c r="C19" i="6" s="1"/>
  <c r="E14" i="5"/>
  <c r="D14" i="5"/>
  <c r="C14" i="6" s="1"/>
  <c r="E11" i="5"/>
  <c r="D11" i="5"/>
  <c r="C11" i="6" s="1"/>
  <c r="K28" i="6"/>
  <c r="I26" i="6"/>
  <c r="K27" i="6"/>
  <c r="K29" i="6" l="1"/>
  <c r="D12" i="6"/>
  <c r="D15" i="6"/>
  <c r="D16" i="6"/>
  <c r="D14" i="6"/>
  <c r="D17" i="6"/>
  <c r="K26" i="6"/>
  <c r="F18" i="5"/>
  <c r="E18" i="6" s="1"/>
  <c r="D11" i="6"/>
  <c r="K24" i="6"/>
  <c r="D18" i="6"/>
  <c r="F13" i="5"/>
  <c r="E13" i="6" s="1"/>
  <c r="D10" i="5"/>
  <c r="D32" i="5" s="1"/>
  <c r="D19" i="6"/>
  <c r="K23" i="6"/>
  <c r="F12" i="5" l="1"/>
  <c r="E12" i="6" s="1"/>
  <c r="F15" i="5"/>
  <c r="E15" i="6" s="1"/>
  <c r="E10" i="5"/>
  <c r="E32" i="5" s="1"/>
  <c r="F18" i="6"/>
  <c r="F19" i="5"/>
  <c r="E19" i="6" s="1"/>
  <c r="F14" i="5"/>
  <c r="E14" i="6" s="1"/>
  <c r="F13" i="6"/>
  <c r="C10" i="6"/>
  <c r="C32" i="6"/>
  <c r="F16" i="5"/>
  <c r="E16" i="6" s="1"/>
  <c r="F11" i="5"/>
  <c r="E11" i="6" s="1"/>
  <c r="F17" i="5"/>
  <c r="E17" i="6" s="1"/>
  <c r="F12" i="6" l="1"/>
  <c r="F16" i="6"/>
  <c r="F17" i="6"/>
  <c r="F11" i="6"/>
  <c r="F14" i="6"/>
  <c r="F10" i="5"/>
  <c r="F32" i="5" s="1"/>
  <c r="D10" i="6"/>
  <c r="D32" i="6"/>
  <c r="F19" i="6"/>
  <c r="F15" i="6"/>
  <c r="E32" i="6" l="1"/>
  <c r="E10" i="6"/>
  <c r="I12" i="6" l="1"/>
  <c r="I18" i="6"/>
  <c r="F10" i="6"/>
  <c r="F32" i="6"/>
  <c r="I13" i="6"/>
  <c r="K13" i="6" l="1"/>
  <c r="I17" i="6"/>
  <c r="I16" i="6"/>
  <c r="I11" i="6"/>
  <c r="I15" i="6"/>
  <c r="K12" i="6"/>
  <c r="K18" i="6"/>
  <c r="I14" i="6"/>
  <c r="I19" i="6"/>
  <c r="K11" i="6" l="1"/>
  <c r="K19" i="6"/>
  <c r="K15" i="6"/>
  <c r="K16" i="6"/>
  <c r="K14" i="6"/>
  <c r="K17" i="6"/>
  <c r="I10" i="6" l="1"/>
  <c r="K10" i="6" l="1"/>
  <c r="I32" i="6"/>
  <c r="K32" i="6" l="1"/>
  <c r="K33" i="5"/>
  <c r="C8" i="10"/>
  <c r="F8" i="10"/>
  <c r="C7" i="3"/>
  <c r="C7" i="5" s="1"/>
  <c r="B4" i="10"/>
  <c r="B4" i="6" s="1"/>
  <c r="B4" i="5" l="1"/>
  <c r="B4" i="3"/>
  <c r="C8" i="5"/>
  <c r="B35" i="6" l="1"/>
  <c r="B36" i="3"/>
</calcChain>
</file>

<file path=xl/sharedStrings.xml><?xml version="1.0" encoding="utf-8"?>
<sst xmlns="http://schemas.openxmlformats.org/spreadsheetml/2006/main" count="44" uniqueCount="37">
  <si>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</si>
  <si>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</si>
  <si>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</si>
  <si>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</si>
  <si>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</si>
  <si>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(1)   Studies are sequential.  The order of the studies would effect the price impact.</t>
  </si>
  <si>
    <t>Total</t>
  </si>
  <si>
    <t>Change</t>
  </si>
  <si>
    <t>GRID Calculated Energy Avoided Cost Prices $/MWH (1)</t>
  </si>
  <si>
    <t>$/MWH  (1)</t>
  </si>
  <si>
    <t>Capacity Avoided Cost Prices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</si>
  <si>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</si>
  <si>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</si>
  <si>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</si>
  <si>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>Check</t>
  </si>
  <si>
    <t>OFPC Date</t>
  </si>
  <si>
    <t>(x)  Extrapolated</t>
  </si>
  <si>
    <t>Discount Rate - 2013 IRP Page 164</t>
  </si>
  <si>
    <t>Updates</t>
  </si>
  <si>
    <t>Update</t>
  </si>
  <si>
    <t>Queue</t>
  </si>
  <si>
    <t>Load</t>
  </si>
  <si>
    <t>Forecast</t>
  </si>
  <si>
    <t>QF</t>
  </si>
  <si>
    <t xml:space="preserve">Adjust prices from calculated annually </t>
  </si>
  <si>
    <t>to calculated monthly</t>
  </si>
  <si>
    <t>2014.Q2</t>
  </si>
  <si>
    <t>Coal Price</t>
  </si>
  <si>
    <t>Study</t>
  </si>
  <si>
    <t>Misc</t>
  </si>
  <si>
    <t>1409 OFPC</t>
  </si>
  <si>
    <t>2014.Q3</t>
  </si>
  <si>
    <t>as Filed</t>
  </si>
  <si>
    <t>Integration Study</t>
  </si>
  <si>
    <t>(3)  Capacity costs reflect  2030 - 661 MW - CCCT Dry "F" 2x1 - East Side Resource (5,050')</t>
  </si>
  <si>
    <t>(4)  Capacity costs reflect  2030 - 368 MW - CCCT Dry "G/H" 1x1 - East Side Resource (5,050')</t>
  </si>
  <si>
    <t>2014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</si>
</sst>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* #,##0.00_);[Red]_(&quot;$&quot;* \(#,##0.00\);_(&quot;$&quot;* &quot;-&quot;?_);_(@_)"/>
    <numFmt numFmtId="167" formatCode="_(* #,##0.00_);[Red]_(* \(#,##0.00\);_(* &quot;-&quot;_);_(@_)"/>
    <numFmt numFmtId="168" formatCode="_(&quot;$&quot;\ #,##0.00_);[Red]_(&quot;$&quot;\ \(#,##0.00\);_(\ &quot;-&quot;?_);_(@_)"/>
    <numFmt numFmtId="169" formatCode="0.000%"/>
    <numFmt numFmtId="170" formatCode="_(* #,##0.000_);[Red]_(* \(#,##0.000\);_(* &quot;-&quot;_);_(@_)"/>
    <numFmt numFmtId="171" formatCode="&quot;$&quot;###0;[Red]\(&quot;$&quot;###0\)"/>
    <numFmt numFmtId="172" formatCode="0.0"/>
    <numFmt numFmtId="173" formatCode="0.0%"/>
    <numFmt numFmtId="174" formatCode="#,##0.00\(\x\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7">
    <xf numFmtId="165" fontId="0" fillId="0" borderId="0"/>
    <xf numFmtId="0" fontId="5" fillId="0" borderId="0" applyNumberFormat="0" applyFill="0" applyBorder="0" applyAlignment="0">
      <protection locked="0"/>
    </xf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43" fontId="8" fillId="0" borderId="0" applyFont="0" applyFill="0" applyBorder="0" applyAlignment="0" applyProtection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172" fontId="10" fillId="0" borderId="0" applyNumberFormat="0" applyFill="0" applyBorder="0" applyAlignment="0" applyProtection="0"/>
    <xf numFmtId="0" fontId="2" fillId="0" borderId="6" applyNumberFormat="0" applyBorder="0" applyAlignment="0"/>
    <xf numFmtId="173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1" fillId="5" borderId="8" applyProtection="0"/>
  </cellStyleXfs>
  <cellXfs count="59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7" fontId="4" fillId="0" borderId="0" xfId="0" applyNumberFormat="1" applyFont="1" applyFill="1" applyBorder="1" applyAlignment="1">
      <alignment horizontal="center"/>
    </xf>
    <xf numFmtId="165" fontId="3" fillId="0" borderId="0" xfId="0" applyFont="1" applyAlignment="1">
      <alignment horizontal="centerContinuous"/>
    </xf>
    <xf numFmtId="165" fontId="3" fillId="0" borderId="3" xfId="0" applyFont="1" applyBorder="1"/>
    <xf numFmtId="165" fontId="3" fillId="0" borderId="4" xfId="0" applyFont="1" applyBorder="1" applyAlignment="1">
      <alignment horizontal="center"/>
    </xf>
    <xf numFmtId="165" fontId="3" fillId="0" borderId="5" xfId="0" applyFont="1" applyBorder="1" applyAlignment="1">
      <alignment horizontal="center"/>
    </xf>
    <xf numFmtId="10" fontId="4" fillId="0" borderId="0" xfId="0" applyNumberFormat="1" applyFont="1"/>
    <xf numFmtId="165" fontId="4" fillId="0" borderId="0" xfId="0" quotePrefix="1" applyFont="1"/>
    <xf numFmtId="165" fontId="4" fillId="0" borderId="0" xfId="0" applyFont="1" applyAlignment="1">
      <alignment horizontal="center"/>
    </xf>
    <xf numFmtId="166" fontId="4" fillId="0" borderId="0" xfId="0" applyNumberFormat="1" applyFont="1"/>
    <xf numFmtId="164" fontId="4" fillId="0" borderId="0" xfId="0" applyNumberFormat="1" applyFont="1"/>
    <xf numFmtId="167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4" fillId="0" borderId="0" xfId="0" quotePrefix="1" applyFont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0" xfId="0" applyNumberFormat="1" applyFont="1" applyFill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70" fontId="4" fillId="0" borderId="0" xfId="0" applyNumberFormat="1" applyFont="1"/>
    <xf numFmtId="169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3" applyFont="1" applyAlignment="1">
      <alignment horizontal="centerContinuous"/>
    </xf>
    <xf numFmtId="165" fontId="4" fillId="0" borderId="0" xfId="3" applyFont="1" applyAlignment="1">
      <alignment horizontal="centerContinuous"/>
    </xf>
    <xf numFmtId="165" fontId="4" fillId="0" borderId="0" xfId="3" applyFont="1"/>
    <xf numFmtId="165" fontId="3" fillId="0" borderId="3" xfId="3" applyFont="1" applyBorder="1"/>
    <xf numFmtId="165" fontId="3" fillId="0" borderId="3" xfId="3" applyFont="1" applyBorder="1" applyAlignment="1">
      <alignment horizontal="centerContinuous"/>
    </xf>
    <xf numFmtId="165" fontId="3" fillId="0" borderId="4" xfId="3" applyFont="1" applyBorder="1" applyAlignment="1">
      <alignment horizontal="center"/>
    </xf>
    <xf numFmtId="165" fontId="3" fillId="0" borderId="2" xfId="3" applyFont="1" applyBorder="1" applyAlignment="1">
      <alignment horizontal="center"/>
    </xf>
    <xf numFmtId="0" fontId="3" fillId="0" borderId="0" xfId="3" applyNumberFormat="1" applyFont="1" applyAlignment="1">
      <alignment horizontal="center"/>
    </xf>
    <xf numFmtId="168" fontId="4" fillId="0" borderId="0" xfId="3" applyNumberFormat="1" applyFont="1" applyFill="1" applyBorder="1" applyAlignment="1">
      <alignment horizontal="center"/>
    </xf>
    <xf numFmtId="7" fontId="4" fillId="0" borderId="0" xfId="3" applyNumberFormat="1" applyFont="1" applyFill="1" applyBorder="1" applyAlignment="1">
      <alignment horizontal="center"/>
    </xf>
    <xf numFmtId="165" fontId="4" fillId="0" borderId="0" xfId="3" applyFont="1" applyFill="1"/>
    <xf numFmtId="165" fontId="4" fillId="0" borderId="0" xfId="3" quotePrefix="1" applyFont="1"/>
    <xf numFmtId="7" fontId="4" fillId="0" borderId="2" xfId="3" applyNumberFormat="1" applyFont="1" applyFill="1" applyBorder="1" applyAlignment="1">
      <alignment horizontal="center"/>
    </xf>
    <xf numFmtId="165" fontId="4" fillId="0" borderId="0" xfId="3" applyFont="1" applyAlignment="1"/>
    <xf numFmtId="169" fontId="4" fillId="0" borderId="0" xfId="3" applyNumberFormat="1" applyFont="1" applyAlignment="1">
      <alignment horizontal="center"/>
    </xf>
    <xf numFmtId="169" fontId="4" fillId="0" borderId="0" xfId="2" applyNumberFormat="1" applyFont="1"/>
    <xf numFmtId="8" fontId="4" fillId="0" borderId="0" xfId="5" applyNumberFormat="1" applyFont="1"/>
    <xf numFmtId="167" fontId="4" fillId="0" borderId="0" xfId="0" applyNumberFormat="1" applyFont="1" applyAlignment="1"/>
    <xf numFmtId="8" fontId="4" fillId="0" borderId="0" xfId="3" applyNumberFormat="1" applyFont="1"/>
    <xf numFmtId="165" fontId="3" fillId="0" borderId="5" xfId="3" applyFont="1" applyBorder="1" applyAlignment="1">
      <alignment horizontal="centerContinuous"/>
    </xf>
    <xf numFmtId="174" fontId="4" fillId="0" borderId="0" xfId="3" applyNumberFormat="1" applyFont="1" applyFill="1" applyBorder="1" applyAlignment="1">
      <alignment horizontal="center"/>
    </xf>
    <xf numFmtId="8" fontId="4" fillId="0" borderId="0" xfId="3" applyNumberFormat="1" applyFont="1" applyFill="1" applyBorder="1" applyAlignment="1">
      <alignment horizontal="center"/>
    </xf>
    <xf numFmtId="8" fontId="4" fillId="0" borderId="2" xfId="3" applyNumberFormat="1" applyFont="1" applyFill="1" applyBorder="1" applyAlignment="1">
      <alignment horizontal="center"/>
    </xf>
    <xf numFmtId="165" fontId="3" fillId="0" borderId="5" xfId="3" applyFont="1" applyBorder="1" applyAlignment="1">
      <alignment horizontal="center"/>
    </xf>
    <xf numFmtId="165" fontId="3" fillId="0" borderId="1" xfId="3" applyFont="1" applyBorder="1" applyAlignment="1">
      <alignment horizontal="center"/>
    </xf>
  </cellXfs>
  <cellStyles count="17">
    <cellStyle name="Comma" xfId="5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3"/>
    <cellStyle name="Normal 2 2" xfId="6"/>
    <cellStyle name="Normal 3" xfId="12"/>
    <cellStyle name="Normal 5" xfId="4"/>
    <cellStyle name="Password" xfId="13"/>
    <cellStyle name="Percent" xfId="2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oided%20Cost%20-%202014\75%20-%20UT%20Compliance%20Filing%20-%202014.Q3%20-%202014%20Oct\Scenario\Step%20Study%202014.Q3\Scenario\61%20-%20Ut%202013.Q4%20-%201---%20AC%20Study%20_2013%2011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"/>
      <sheetName val="Table 3a"/>
      <sheetName val="Table 4"/>
      <sheetName val="--&gt;"/>
      <sheetName val="Monthly NPV"/>
    </sheetNames>
    <sheetDataSet>
      <sheetData sheetId="0" refreshError="1"/>
      <sheetData sheetId="1" refreshError="1"/>
      <sheetData sheetId="2">
        <row r="13">
          <cell r="B13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M2" t="str">
            <v>Utah 2013.Q4</v>
          </cell>
        </row>
        <row r="4">
          <cell r="M4">
            <v>100</v>
          </cell>
        </row>
        <row r="5">
          <cell r="M5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L41"/>
  <sheetViews>
    <sheetView tabSelected="1" zoomScale="70" zoomScaleNormal="70" workbookViewId="0">
      <pane xSplit="2" ySplit="9" topLeftCell="C10" activePane="bottomRight" state="frozen"/>
      <selection activeCell="E14" sqref="E14"/>
      <selection pane="topRight" activeCell="E14" sqref="E14"/>
      <selection pane="bottomLeft" activeCell="E14" sqref="E14"/>
      <selection pane="bottomRight" activeCell="I32" sqref="I32"/>
    </sheetView>
  </sheetViews>
  <sheetFormatPr defaultRowHeight="15" x14ac:dyDescent="0.2"/>
  <cols>
    <col min="1" max="1" width="1.85546875" style="1" customWidth="1"/>
    <col min="2" max="2" width="13.85546875" style="1" customWidth="1"/>
    <col min="3" max="7" width="18.85546875" style="1" customWidth="1"/>
    <col min="8" max="8" width="21.5703125" style="1" customWidth="1"/>
    <col min="9" max="9" width="18.85546875" style="1" customWidth="1"/>
    <col min="10" max="10" width="2.28515625" style="1" customWidth="1"/>
    <col min="11" max="11" width="10.140625" style="1" hidden="1" customWidth="1"/>
    <col min="12" max="12" width="2.85546875" style="1" hidden="1" customWidth="1"/>
    <col min="13" max="16384" width="9.140625" style="1"/>
  </cols>
  <sheetData>
    <row r="1" spans="2:12" ht="15.75" x14ac:dyDescent="0.25">
      <c r="B1" s="6" t="str">
        <f>Total!B1</f>
        <v>Appendix C</v>
      </c>
      <c r="C1" s="6"/>
      <c r="D1" s="6"/>
      <c r="E1" s="6"/>
      <c r="F1" s="6"/>
      <c r="G1" s="6"/>
      <c r="H1" s="6"/>
      <c r="I1" s="6"/>
    </row>
    <row r="2" spans="2:12" ht="8.25" customHeight="1" x14ac:dyDescent="0.25">
      <c r="B2" s="6"/>
      <c r="C2" s="6"/>
      <c r="D2" s="6"/>
      <c r="E2" s="6"/>
      <c r="F2" s="6"/>
      <c r="G2" s="6"/>
      <c r="H2" s="6"/>
      <c r="I2" s="6"/>
    </row>
    <row r="3" spans="2:12" ht="15.75" x14ac:dyDescent="0.25">
      <c r="B3" s="6" t="str">
        <f>Total!B3</f>
        <v>Utah Quarterly Compliance Filing</v>
      </c>
      <c r="C3" s="6"/>
      <c r="D3" s="6"/>
      <c r="E3" s="6"/>
      <c r="F3" s="6"/>
      <c r="G3" s="6"/>
      <c r="H3" s="6"/>
      <c r="I3" s="6"/>
    </row>
    <row r="4" spans="2:12" ht="15.75" x14ac:dyDescent="0.25">
      <c r="B4" s="6" t="str">
        <f>Capacity!$B$4</f>
        <v>Step Study between 2014.Q3 and 2014.Q2 Compliance Filing</v>
      </c>
      <c r="C4" s="6"/>
      <c r="D4" s="6"/>
      <c r="E4" s="6"/>
      <c r="F4" s="6"/>
      <c r="G4" s="6"/>
      <c r="H4" s="6"/>
      <c r="I4" s="6"/>
    </row>
    <row r="5" spans="2:12" ht="15.75" x14ac:dyDescent="0.25">
      <c r="B5" s="6" t="s">
        <v>13</v>
      </c>
      <c r="C5" s="6"/>
      <c r="D5" s="6"/>
      <c r="E5" s="6"/>
      <c r="F5" s="6"/>
      <c r="G5" s="6"/>
      <c r="H5" s="6"/>
      <c r="I5" s="6"/>
    </row>
    <row r="6" spans="2:12" x14ac:dyDescent="0.2">
      <c r="C6" s="12"/>
      <c r="D6" s="12"/>
      <c r="E6" s="12"/>
      <c r="F6" s="12"/>
      <c r="G6" s="12"/>
      <c r="H6" s="12"/>
    </row>
    <row r="7" spans="2:12" s="4" customFormat="1" ht="15.75" x14ac:dyDescent="0.25">
      <c r="B7" s="19"/>
      <c r="C7" s="16" t="str">
        <f>Energy!D7</f>
        <v>Misc</v>
      </c>
      <c r="D7" s="16" t="str">
        <f>Energy!E7</f>
        <v>Coal Price</v>
      </c>
      <c r="E7" s="16" t="str">
        <f>Energy!F7</f>
        <v>Load</v>
      </c>
      <c r="F7" s="16" t="str">
        <f>Energy!G7</f>
        <v>1409 OFPC</v>
      </c>
      <c r="G7" s="16" t="str">
        <f>Energy!H7</f>
        <v>QF</v>
      </c>
      <c r="H7" s="16" t="str">
        <f>Energy!I7</f>
        <v>2014 Wind</v>
      </c>
      <c r="I7" s="16" t="s">
        <v>6</v>
      </c>
      <c r="J7" s="1"/>
      <c r="K7" s="1" t="s">
        <v>14</v>
      </c>
      <c r="L7" s="1"/>
    </row>
    <row r="8" spans="2:12" s="4" customFormat="1" ht="15.75" x14ac:dyDescent="0.25">
      <c r="B8" s="20" t="s">
        <v>0</v>
      </c>
      <c r="C8" s="17" t="str">
        <f>Energy!D8</f>
        <v>Updates</v>
      </c>
      <c r="D8" s="17" t="str">
        <f>Energy!E8</f>
        <v>Study</v>
      </c>
      <c r="E8" s="17" t="str">
        <f>Energy!F8</f>
        <v>Forecast</v>
      </c>
      <c r="F8" s="17" t="str">
        <f>Energy!G8</f>
        <v>Update</v>
      </c>
      <c r="G8" s="17" t="str">
        <f>Energy!H8</f>
        <v>Queue</v>
      </c>
      <c r="H8" s="17" t="str">
        <f>Energy!I8</f>
        <v>Integration Study</v>
      </c>
      <c r="I8" s="17" t="s">
        <v>7</v>
      </c>
      <c r="J8" s="1"/>
      <c r="K8" s="1" t="s">
        <v>6</v>
      </c>
      <c r="L8" s="1"/>
    </row>
    <row r="9" spans="2:12" ht="4.5" customHeight="1" x14ac:dyDescent="0.2"/>
    <row r="10" spans="2:12" ht="15.75" x14ac:dyDescent="0.25">
      <c r="B10" s="3">
        <f>Total!B10</f>
        <v>2016</v>
      </c>
      <c r="C10" s="25">
        <f>ROUND(Total!D10-Total!C10,2)</f>
        <v>0.22</v>
      </c>
      <c r="D10" s="25">
        <f>ROUND(Total!E10-Total!D10,2)</f>
        <v>0.87</v>
      </c>
      <c r="E10" s="25">
        <f>ROUND(Total!F10-Total!E10,2)</f>
        <v>0.37</v>
      </c>
      <c r="F10" s="25">
        <f>ROUND(Total!G10-Total!F10,2)</f>
        <v>-0.65</v>
      </c>
      <c r="G10" s="25">
        <f>ROUND(Total!H10-Total!G10,2)</f>
        <v>-0.98</v>
      </c>
      <c r="H10" s="25">
        <f>ROUND(Total!I10-Total!H10,2)</f>
        <v>0.24</v>
      </c>
      <c r="I10" s="25">
        <f ca="1">OFFSET(Total!B10,0,COLUMN(Incremental!I10)-2)-Total!C10</f>
        <v>7.0000000000000284E-2</v>
      </c>
      <c r="K10" s="15">
        <f t="shared" ref="K10:K29" ca="1" si="0">ROUND(SUM(C10:I10)/2-OFFSET(K10,0,-2),4)</f>
        <v>0</v>
      </c>
      <c r="L10" s="15"/>
    </row>
    <row r="11" spans="2:12" ht="15.75" x14ac:dyDescent="0.25">
      <c r="B11" s="3">
        <f t="shared" ref="B11:B29" si="1">B10+1</f>
        <v>2017</v>
      </c>
      <c r="C11" s="25">
        <f>ROUND(Total!D11-Total!C11,2)</f>
        <v>0.08</v>
      </c>
      <c r="D11" s="25">
        <f>ROUND(Total!E11-Total!D11,2)</f>
        <v>0.46</v>
      </c>
      <c r="E11" s="25">
        <f>ROUND(Total!F11-Total!E11,2)</f>
        <v>-0.02</v>
      </c>
      <c r="F11" s="25">
        <f>ROUND(Total!G11-Total!F11,2)</f>
        <v>-1.72</v>
      </c>
      <c r="G11" s="25">
        <f>ROUND(Total!H11-Total!G11,2)</f>
        <v>-1.1000000000000001</v>
      </c>
      <c r="H11" s="25">
        <f>ROUND(Total!I11-Total!H11,2)</f>
        <v>1.0900000000000001</v>
      </c>
      <c r="I11" s="25">
        <f ca="1">OFFSET(Total!B11,0,COLUMN(Incremental!I11)-2)-Total!C11</f>
        <v>-1.2100000000000009</v>
      </c>
      <c r="K11" s="15">
        <f t="shared" ca="1" si="0"/>
        <v>0</v>
      </c>
      <c r="L11" s="15"/>
    </row>
    <row r="12" spans="2:12" ht="15.75" x14ac:dyDescent="0.25">
      <c r="B12" s="3">
        <f t="shared" si="1"/>
        <v>2018</v>
      </c>
      <c r="C12" s="25">
        <f>ROUND(Total!D12-Total!C12,2)</f>
        <v>7.0000000000000007E-2</v>
      </c>
      <c r="D12" s="25">
        <f>ROUND(Total!E12-Total!D12,2)</f>
        <v>0.05</v>
      </c>
      <c r="E12" s="25">
        <f>ROUND(Total!F12-Total!E12,2)</f>
        <v>1.48</v>
      </c>
      <c r="F12" s="25">
        <f>ROUND(Total!G12-Total!F12,2)</f>
        <v>-2.02</v>
      </c>
      <c r="G12" s="25">
        <f>ROUND(Total!H12-Total!G12,2)</f>
        <v>-1.34</v>
      </c>
      <c r="H12" s="25">
        <f>ROUND(Total!I12-Total!H12,2)</f>
        <v>-0.02</v>
      </c>
      <c r="I12" s="25">
        <f ca="1">OFFSET(Total!B12,0,COLUMN(Incremental!I12)-2)-Total!C12</f>
        <v>-1.7800000000000011</v>
      </c>
      <c r="K12" s="15">
        <f t="shared" ca="1" si="0"/>
        <v>0</v>
      </c>
      <c r="L12" s="15"/>
    </row>
    <row r="13" spans="2:12" ht="15.75" x14ac:dyDescent="0.25">
      <c r="B13" s="3">
        <f t="shared" si="1"/>
        <v>2019</v>
      </c>
      <c r="C13" s="25">
        <f>ROUND(Total!D13-Total!C13,2)</f>
        <v>-0.04</v>
      </c>
      <c r="D13" s="25">
        <f>ROUND(Total!E13-Total!D13,2)</f>
        <v>-0.15</v>
      </c>
      <c r="E13" s="25">
        <f>ROUND(Total!F13-Total!E13,2)</f>
        <v>2.7</v>
      </c>
      <c r="F13" s="25">
        <f>ROUND(Total!G13-Total!F13,2)</f>
        <v>-2.4300000000000002</v>
      </c>
      <c r="G13" s="25">
        <f>ROUND(Total!H13-Total!G13,2)</f>
        <v>-1.68</v>
      </c>
      <c r="H13" s="25">
        <f>ROUND(Total!I13-Total!H13,2)</f>
        <v>-0.28999999999999998</v>
      </c>
      <c r="I13" s="25">
        <f ca="1">OFFSET(Total!B13,0,COLUMN(Incremental!I13)-2)-Total!C13</f>
        <v>-1.889999999999997</v>
      </c>
      <c r="K13" s="15">
        <f t="shared" ca="1" si="0"/>
        <v>0</v>
      </c>
      <c r="L13" s="15"/>
    </row>
    <row r="14" spans="2:12" ht="15.75" x14ac:dyDescent="0.25">
      <c r="B14" s="3">
        <f t="shared" si="1"/>
        <v>2020</v>
      </c>
      <c r="C14" s="25">
        <f>ROUND(Total!D14-Total!C14,2)</f>
        <v>-0.04</v>
      </c>
      <c r="D14" s="25">
        <f>ROUND(Total!E14-Total!D14,2)</f>
        <v>-1.43</v>
      </c>
      <c r="E14" s="25">
        <f>ROUND(Total!F14-Total!E14,2)</f>
        <v>2.02</v>
      </c>
      <c r="F14" s="25">
        <f>ROUND(Total!G14-Total!F14,2)</f>
        <v>-0.6</v>
      </c>
      <c r="G14" s="25">
        <f>ROUND(Total!H14-Total!G14,2)</f>
        <v>-1.88</v>
      </c>
      <c r="H14" s="25">
        <f>ROUND(Total!I14-Total!H14,2)</f>
        <v>-0.63</v>
      </c>
      <c r="I14" s="25">
        <f ca="1">OFFSET(Total!B14,0,COLUMN(Incremental!I14)-2)-Total!C14</f>
        <v>-2.5599999999999987</v>
      </c>
      <c r="K14" s="15">
        <f t="shared" ca="1" si="0"/>
        <v>0</v>
      </c>
      <c r="L14" s="15"/>
    </row>
    <row r="15" spans="2:12" ht="15.75" x14ac:dyDescent="0.25">
      <c r="B15" s="3">
        <f t="shared" si="1"/>
        <v>2021</v>
      </c>
      <c r="C15" s="25">
        <f>ROUND(Total!D15-Total!C15,2)</f>
        <v>-0.52</v>
      </c>
      <c r="D15" s="25">
        <f>ROUND(Total!E15-Total!D15,2)</f>
        <v>-0.4</v>
      </c>
      <c r="E15" s="25">
        <f>ROUND(Total!F15-Total!E15,2)</f>
        <v>2.02</v>
      </c>
      <c r="F15" s="25">
        <f>ROUND(Total!G15-Total!F15,2)</f>
        <v>1.36</v>
      </c>
      <c r="G15" s="25">
        <f>ROUND(Total!H15-Total!G15,2)</f>
        <v>-2.76</v>
      </c>
      <c r="H15" s="25">
        <f>ROUND(Total!I15-Total!H15,2)</f>
        <v>-0.28999999999999998</v>
      </c>
      <c r="I15" s="25">
        <f ca="1">OFFSET(Total!B15,0,COLUMN(Incremental!I15)-2)-Total!C15</f>
        <v>-0.58999999999999631</v>
      </c>
      <c r="K15" s="15">
        <f t="shared" ca="1" si="0"/>
        <v>0</v>
      </c>
      <c r="L15" s="15"/>
    </row>
    <row r="16" spans="2:12" ht="15.75" x14ac:dyDescent="0.25">
      <c r="B16" s="3">
        <f t="shared" si="1"/>
        <v>2022</v>
      </c>
      <c r="C16" s="25">
        <f>ROUND(Total!D16-Total!C16,2)</f>
        <v>0.02</v>
      </c>
      <c r="D16" s="25">
        <f>ROUND(Total!E16-Total!D16,2)</f>
        <v>-1.55</v>
      </c>
      <c r="E16" s="25">
        <f>ROUND(Total!F16-Total!E16,2)</f>
        <v>2.06</v>
      </c>
      <c r="F16" s="25">
        <f>ROUND(Total!G16-Total!F16,2)</f>
        <v>4.1399999999999997</v>
      </c>
      <c r="G16" s="25">
        <f>ROUND(Total!H16-Total!G16,2)</f>
        <v>-3.32</v>
      </c>
      <c r="H16" s="25">
        <f>ROUND(Total!I16-Total!H16,2)</f>
        <v>-0.37</v>
      </c>
      <c r="I16" s="25">
        <f ca="1">OFFSET(Total!B16,0,COLUMN(Incremental!I16)-2)-Total!C16</f>
        <v>0.97999999999999687</v>
      </c>
      <c r="K16" s="15">
        <f t="shared" ca="1" si="0"/>
        <v>0</v>
      </c>
      <c r="L16" s="15"/>
    </row>
    <row r="17" spans="2:12" ht="15.75" x14ac:dyDescent="0.25">
      <c r="B17" s="3">
        <f t="shared" si="1"/>
        <v>2023</v>
      </c>
      <c r="C17" s="25">
        <f>ROUND(Total!D17-Total!C17,2)</f>
        <v>0.23</v>
      </c>
      <c r="D17" s="25">
        <f>ROUND(Total!E17-Total!D17,2)</f>
        <v>-1.47</v>
      </c>
      <c r="E17" s="25">
        <f>ROUND(Total!F17-Total!E17,2)</f>
        <v>2.38</v>
      </c>
      <c r="F17" s="25">
        <f>ROUND(Total!G17-Total!F17,2)</f>
        <v>5.92</v>
      </c>
      <c r="G17" s="25">
        <f>ROUND(Total!H17-Total!G17,2)</f>
        <v>-4.21</v>
      </c>
      <c r="H17" s="25">
        <f>ROUND(Total!I17-Total!H17,2)</f>
        <v>-0.05</v>
      </c>
      <c r="I17" s="25">
        <f ca="1">OFFSET(Total!B17,0,COLUMN(Incremental!I17)-2)-Total!C17</f>
        <v>2.8000000000000043</v>
      </c>
      <c r="K17" s="15">
        <f t="shared" ca="1" si="0"/>
        <v>0</v>
      </c>
      <c r="L17" s="15"/>
    </row>
    <row r="18" spans="2:12" ht="15.75" x14ac:dyDescent="0.25">
      <c r="B18" s="3">
        <f t="shared" si="1"/>
        <v>2024</v>
      </c>
      <c r="C18" s="25">
        <f>ROUND(Total!D18-Total!C18,2)</f>
        <v>-0.3</v>
      </c>
      <c r="D18" s="25">
        <f>ROUND(Total!E18-Total!D18,2)</f>
        <v>0.49</v>
      </c>
      <c r="E18" s="25">
        <f>ROUND(Total!F18-Total!E18,2)</f>
        <v>2.2200000000000002</v>
      </c>
      <c r="F18" s="25">
        <f>ROUND(Total!G18-Total!F18,2)</f>
        <v>4.1100000000000003</v>
      </c>
      <c r="G18" s="25">
        <f>ROUND(Total!H18-Total!G18,2)</f>
        <v>-2.96</v>
      </c>
      <c r="H18" s="25">
        <f>ROUND(Total!I18-Total!H18,2)</f>
        <v>-0.17</v>
      </c>
      <c r="I18" s="25">
        <f ca="1">OFFSET(Total!B18,0,COLUMN(Incremental!I18)-2)-Total!C18</f>
        <v>3.3900000000000006</v>
      </c>
      <c r="K18" s="15">
        <f t="shared" ca="1" si="0"/>
        <v>0</v>
      </c>
      <c r="L18" s="15"/>
    </row>
    <row r="19" spans="2:12" ht="15.75" x14ac:dyDescent="0.25">
      <c r="B19" s="3">
        <f t="shared" si="1"/>
        <v>2025</v>
      </c>
      <c r="C19" s="25">
        <f>ROUND(Total!D19-Total!C19,2)</f>
        <v>-0.14000000000000001</v>
      </c>
      <c r="D19" s="25">
        <f>ROUND(Total!E19-Total!D19,2)</f>
        <v>-1.08</v>
      </c>
      <c r="E19" s="25">
        <f>ROUND(Total!F19-Total!E19,2)</f>
        <v>2.09</v>
      </c>
      <c r="F19" s="25">
        <f>ROUND(Total!G19-Total!F19,2)</f>
        <v>3.98</v>
      </c>
      <c r="G19" s="25">
        <f>ROUND(Total!H19-Total!G19,2)</f>
        <v>-4.1500000000000004</v>
      </c>
      <c r="H19" s="25">
        <f>ROUND(Total!I19-Total!H19,2)</f>
        <v>-0.28000000000000003</v>
      </c>
      <c r="I19" s="25">
        <f ca="1">OFFSET(Total!B19,0,COLUMN(Incremental!I19)-2)-Total!C19</f>
        <v>0.42000000000000171</v>
      </c>
      <c r="K19" s="15">
        <f t="shared" ca="1" si="0"/>
        <v>0</v>
      </c>
      <c r="L19" s="15"/>
    </row>
    <row r="20" spans="2:12" ht="15.75" x14ac:dyDescent="0.25">
      <c r="B20" s="3">
        <f t="shared" si="1"/>
        <v>2026</v>
      </c>
      <c r="C20" s="25">
        <f>ROUND(Total!D20-Total!C20,2)</f>
        <v>-0.01</v>
      </c>
      <c r="D20" s="25">
        <f>ROUND(Total!E20-Total!D20,2)</f>
        <v>-1.22</v>
      </c>
      <c r="E20" s="25">
        <f>ROUND(Total!F20-Total!E20,2)</f>
        <v>2.29</v>
      </c>
      <c r="F20" s="25">
        <f>ROUND(Total!G20-Total!F20,2)</f>
        <v>2.95</v>
      </c>
      <c r="G20" s="25">
        <f>ROUND(Total!H20-Total!G20,2)</f>
        <v>-3.14</v>
      </c>
      <c r="H20" s="25">
        <f>ROUND(Total!I20-Total!H20,2)</f>
        <v>0.74</v>
      </c>
      <c r="I20" s="25">
        <f ca="1">OFFSET(Total!B20,0,COLUMN(Incremental!I20)-2)-Total!C20</f>
        <v>1.6099999999999994</v>
      </c>
      <c r="K20" s="15">
        <f t="shared" ca="1" si="0"/>
        <v>0</v>
      </c>
      <c r="L20" s="15"/>
    </row>
    <row r="21" spans="2:12" ht="15.75" x14ac:dyDescent="0.25">
      <c r="B21" s="3">
        <f t="shared" si="1"/>
        <v>2027</v>
      </c>
      <c r="C21" s="25">
        <f>ROUND(Total!D21-Total!C21,2)</f>
        <v>-0.17</v>
      </c>
      <c r="D21" s="25">
        <f>ROUND(Total!E21-Total!D21,2)</f>
        <v>-0.86</v>
      </c>
      <c r="E21" s="25">
        <f>ROUND(Total!F21-Total!E21,2)</f>
        <v>2.2799999999999998</v>
      </c>
      <c r="F21" s="25">
        <f>ROUND(Total!G21-Total!F21,2)</f>
        <v>1.84</v>
      </c>
      <c r="G21" s="25">
        <f>ROUND(Total!H21-Total!G21,2)</f>
        <v>-3.25</v>
      </c>
      <c r="H21" s="25">
        <f>ROUND(Total!I21-Total!H21,2)</f>
        <v>0.79</v>
      </c>
      <c r="I21" s="25">
        <f ca="1">OFFSET(Total!B21,0,COLUMN(Incremental!I21)-2)-Total!C21</f>
        <v>0.63000000000000256</v>
      </c>
      <c r="K21" s="15">
        <f t="shared" ca="1" si="0"/>
        <v>0</v>
      </c>
      <c r="L21" s="15"/>
    </row>
    <row r="22" spans="2:12" ht="15.75" x14ac:dyDescent="0.25">
      <c r="B22" s="3">
        <f t="shared" si="1"/>
        <v>2028</v>
      </c>
      <c r="C22" s="25">
        <f>ROUND(Total!D22-Total!C22,2)</f>
        <v>0.27</v>
      </c>
      <c r="D22" s="25">
        <f>ROUND(Total!E22-Total!D22,2)</f>
        <v>-0.85</v>
      </c>
      <c r="E22" s="25">
        <f>ROUND(Total!F22-Total!E22,2)</f>
        <v>3.03</v>
      </c>
      <c r="F22" s="25">
        <f>ROUND(Total!G22-Total!F22,2)</f>
        <v>3.26</v>
      </c>
      <c r="G22" s="25">
        <f>ROUND(Total!H22-Total!G22,2)</f>
        <v>-3.16</v>
      </c>
      <c r="H22" s="25">
        <f>ROUND(Total!I22-Total!H22,2)</f>
        <v>-0.51</v>
      </c>
      <c r="I22" s="25">
        <f ca="1">OFFSET(Total!B22,0,COLUMN(Incremental!I22)-2)-Total!C22</f>
        <v>2.0399999999999991</v>
      </c>
      <c r="K22" s="15">
        <f t="shared" ca="1" si="0"/>
        <v>0</v>
      </c>
      <c r="L22" s="15"/>
    </row>
    <row r="23" spans="2:12" ht="15.75" x14ac:dyDescent="0.25">
      <c r="B23" s="3">
        <f t="shared" si="1"/>
        <v>2029</v>
      </c>
      <c r="C23" s="25">
        <f>ROUND(Total!D23-Total!C23,2)</f>
        <v>0.2</v>
      </c>
      <c r="D23" s="25">
        <f>ROUND(Total!E23-Total!D23,2)</f>
        <v>-0.9</v>
      </c>
      <c r="E23" s="25">
        <f>ROUND(Total!F23-Total!E23,2)</f>
        <v>2.91</v>
      </c>
      <c r="F23" s="25">
        <f>ROUND(Total!G23-Total!F23,2)</f>
        <v>3.48</v>
      </c>
      <c r="G23" s="25">
        <f>ROUND(Total!H23-Total!G23,2)</f>
        <v>-2.54</v>
      </c>
      <c r="H23" s="25">
        <f>ROUND(Total!I23-Total!H23,2)</f>
        <v>-0.44</v>
      </c>
      <c r="I23" s="25">
        <f ca="1">OFFSET(Total!B23,0,COLUMN(Incremental!I23)-2)-Total!C23</f>
        <v>2.7100000000000009</v>
      </c>
      <c r="K23" s="15">
        <f t="shared" ca="1" si="0"/>
        <v>0</v>
      </c>
      <c r="L23" s="15"/>
    </row>
    <row r="24" spans="2:12" ht="15.75" x14ac:dyDescent="0.25">
      <c r="B24" s="3">
        <f t="shared" si="1"/>
        <v>2030</v>
      </c>
      <c r="C24" s="25">
        <f>ROUND(Total!D24-Total!C24,2)</f>
        <v>0.3</v>
      </c>
      <c r="D24" s="25">
        <f>ROUND(Total!E24-Total!D24,2)</f>
        <v>-0.51</v>
      </c>
      <c r="E24" s="25">
        <f>ROUND(Total!F24-Total!E24,2)</f>
        <v>0.68</v>
      </c>
      <c r="F24" s="25">
        <f>ROUND(Total!G24-Total!F24,2)</f>
        <v>3.78</v>
      </c>
      <c r="G24" s="25">
        <f>ROUND(Total!H24-Total!G24,2)</f>
        <v>-3.73</v>
      </c>
      <c r="H24" s="25">
        <f>ROUND(Total!I24-Total!H24,2)</f>
        <v>-0.54</v>
      </c>
      <c r="I24" s="25">
        <f ca="1">OFFSET(Total!B24,0,COLUMN(Incremental!I24)-2)-Total!C24</f>
        <v>-1.9999999999996021E-2</v>
      </c>
      <c r="K24" s="15">
        <f t="shared" ca="1" si="0"/>
        <v>0</v>
      </c>
      <c r="L24" s="15"/>
    </row>
    <row r="25" spans="2:12" ht="15.75" x14ac:dyDescent="0.25">
      <c r="B25" s="3">
        <f t="shared" si="1"/>
        <v>2031</v>
      </c>
      <c r="C25" s="25">
        <f>ROUND(Total!D25-Total!C25,2)</f>
        <v>0.27</v>
      </c>
      <c r="D25" s="25">
        <f>ROUND(Total!E25-Total!D25,2)</f>
        <v>-0.71</v>
      </c>
      <c r="E25" s="25">
        <f>ROUND(Total!F25-Total!E25,2)</f>
        <v>0.83</v>
      </c>
      <c r="F25" s="25">
        <f>ROUND(Total!G25-Total!F25,2)</f>
        <v>3.94</v>
      </c>
      <c r="G25" s="25">
        <f>ROUND(Total!H25-Total!G25,2)</f>
        <v>-3.9</v>
      </c>
      <c r="H25" s="25">
        <f>ROUND(Total!I25-Total!H25,2)</f>
        <v>-0.5</v>
      </c>
      <c r="I25" s="25">
        <f ca="1">OFFSET(Total!B25,0,COLUMN(Incremental!I25)-2)-Total!C25</f>
        <v>-6.9999999999993179E-2</v>
      </c>
      <c r="K25" s="15">
        <f t="shared" ca="1" si="0"/>
        <v>0</v>
      </c>
      <c r="L25" s="15"/>
    </row>
    <row r="26" spans="2:12" ht="15.75" x14ac:dyDescent="0.25">
      <c r="B26" s="3">
        <f t="shared" si="1"/>
        <v>2032</v>
      </c>
      <c r="C26" s="25">
        <f>ROUND(Total!D26-Total!C26,2)</f>
        <v>0.3</v>
      </c>
      <c r="D26" s="25">
        <f>ROUND(Total!E26-Total!D26,2)</f>
        <v>-0.51</v>
      </c>
      <c r="E26" s="25">
        <f>ROUND(Total!F26-Total!E26,2)</f>
        <v>0.59</v>
      </c>
      <c r="F26" s="25">
        <f>ROUND(Total!G26-Total!F26,2)</f>
        <v>3.95</v>
      </c>
      <c r="G26" s="25">
        <f>ROUND(Total!H26-Total!G26,2)</f>
        <v>-4.1399999999999997</v>
      </c>
      <c r="H26" s="25">
        <f>ROUND(Total!I26-Total!H26,2)</f>
        <v>-0.45</v>
      </c>
      <c r="I26" s="25">
        <f ca="1">OFFSET(Total!B26,0,COLUMN(Incremental!I26)-2)-Total!C26</f>
        <v>-0.26000000000000512</v>
      </c>
      <c r="K26" s="15">
        <f t="shared" ca="1" si="0"/>
        <v>0</v>
      </c>
      <c r="L26" s="15"/>
    </row>
    <row r="27" spans="2:12" ht="15.75" x14ac:dyDescent="0.25">
      <c r="B27" s="3">
        <f t="shared" si="1"/>
        <v>2033</v>
      </c>
      <c r="C27" s="25">
        <f>ROUND(Total!D27-Total!C27,2)</f>
        <v>0.27</v>
      </c>
      <c r="D27" s="25">
        <f>ROUND(Total!E27-Total!D27,2)</f>
        <v>-0.42</v>
      </c>
      <c r="E27" s="25">
        <f>ROUND(Total!F27-Total!E27,2)</f>
        <v>0.67</v>
      </c>
      <c r="F27" s="25">
        <f>ROUND(Total!G27-Total!F27,2)</f>
        <v>4.1399999999999997</v>
      </c>
      <c r="G27" s="25">
        <f>ROUND(Total!H27-Total!G27,2)</f>
        <v>-4.09</v>
      </c>
      <c r="H27" s="25">
        <f>ROUND(Total!I27-Total!H27,2)</f>
        <v>-0.55000000000000004</v>
      </c>
      <c r="I27" s="25">
        <f ca="1">OFFSET(Total!B27,0,COLUMN(Incremental!I27)-2)-Total!C27</f>
        <v>1.9999999999996021E-2</v>
      </c>
      <c r="K27" s="15">
        <f t="shared" ca="1" si="0"/>
        <v>0</v>
      </c>
      <c r="L27" s="15"/>
    </row>
    <row r="28" spans="2:12" ht="15.75" x14ac:dyDescent="0.25">
      <c r="B28" s="3">
        <f t="shared" si="1"/>
        <v>2034</v>
      </c>
      <c r="C28" s="25">
        <f>ROUND(Total!D28-Total!C28,2)</f>
        <v>0.28000000000000003</v>
      </c>
      <c r="D28" s="25">
        <f>ROUND(Total!E28-Total!D28,2)</f>
        <v>-0.46</v>
      </c>
      <c r="E28" s="25">
        <f>ROUND(Total!F28-Total!E28,2)</f>
        <v>0.57999999999999996</v>
      </c>
      <c r="F28" s="25">
        <f>ROUND(Total!G28-Total!F28,2)</f>
        <v>4.32</v>
      </c>
      <c r="G28" s="25">
        <f>ROUND(Total!H28-Total!G28,2)</f>
        <v>-4.0599999999999996</v>
      </c>
      <c r="H28" s="25">
        <f>ROUND(Total!I28-Total!H28,2)</f>
        <v>-0.66</v>
      </c>
      <c r="I28" s="25">
        <f ca="1">OFFSET(Total!B28,0,COLUMN(Incremental!I28)-2)-Total!C28</f>
        <v>0</v>
      </c>
      <c r="K28" s="15">
        <f t="shared" ca="1" si="0"/>
        <v>0</v>
      </c>
      <c r="L28" s="15"/>
    </row>
    <row r="29" spans="2:12" ht="15.75" x14ac:dyDescent="0.25">
      <c r="B29" s="3">
        <f t="shared" si="1"/>
        <v>2035</v>
      </c>
      <c r="C29" s="25">
        <f>ROUND(Total!D29-Total!C29,2)</f>
        <v>0.28999999999999998</v>
      </c>
      <c r="D29" s="25">
        <f>ROUND(Total!E29-Total!D29,2)</f>
        <v>-0.37</v>
      </c>
      <c r="E29" s="25">
        <f>ROUND(Total!F29-Total!E29,2)</f>
        <v>0.49</v>
      </c>
      <c r="F29" s="25">
        <f>ROUND(Total!G29-Total!F29,2)</f>
        <v>4.46</v>
      </c>
      <c r="G29" s="25">
        <f>ROUND(Total!H29-Total!G29,2)</f>
        <v>-4.33</v>
      </c>
      <c r="H29" s="25">
        <f>ROUND(Total!I29-Total!H29,2)</f>
        <v>-0.65</v>
      </c>
      <c r="I29" s="25">
        <f ca="1">OFFSET(Total!B29,0,COLUMN(Incremental!I29)-2)-Total!C29</f>
        <v>-0.10999999999999943</v>
      </c>
      <c r="K29" s="15">
        <f t="shared" ca="1" si="0"/>
        <v>0</v>
      </c>
      <c r="L29" s="15"/>
    </row>
    <row r="30" spans="2:12" x14ac:dyDescent="0.2">
      <c r="C30" s="23"/>
      <c r="D30" s="23"/>
      <c r="E30" s="23"/>
      <c r="F30" s="23"/>
      <c r="G30" s="23"/>
      <c r="H30" s="23"/>
      <c r="I30" s="23"/>
      <c r="K30" s="15"/>
      <c r="L30" s="15"/>
    </row>
    <row r="31" spans="2:12" x14ac:dyDescent="0.2">
      <c r="B31" s="18" t="str">
        <f>Total!B31</f>
        <v>Nominal Levelized Payment at 6.882% Discount Rate (3)</v>
      </c>
      <c r="C31" s="26"/>
      <c r="D31" s="26"/>
      <c r="E31" s="26"/>
      <c r="F31" s="26"/>
      <c r="G31" s="26"/>
      <c r="H31" s="26"/>
      <c r="I31" s="25"/>
      <c r="K31" s="15"/>
    </row>
    <row r="32" spans="2:12" x14ac:dyDescent="0.2">
      <c r="B32" s="11" t="str">
        <f>B10&amp;" - "&amp;B29</f>
        <v>2016 - 2035</v>
      </c>
      <c r="C32" s="24">
        <f>ROUND(Total!D32-Total!C32,2)</f>
        <v>0.04</v>
      </c>
      <c r="D32" s="24">
        <f>ROUND(Total!E32-Total!D32,2)</f>
        <v>-0.46</v>
      </c>
      <c r="E32" s="24">
        <f>ROUND(Total!F32-Total!E32,2)</f>
        <v>1.61</v>
      </c>
      <c r="F32" s="24">
        <f>ROUND(Total!G32-Total!F32,2)</f>
        <v>1.67</v>
      </c>
      <c r="G32" s="24">
        <f>ROUND(Total!H32-Total!G32,2)</f>
        <v>-2.68</v>
      </c>
      <c r="H32" s="24">
        <f>ROUND(Total!I32-Total!H32,2)</f>
        <v>-0.09</v>
      </c>
      <c r="I32" s="24">
        <f ca="1">OFFSET(Total!B32,0,COLUMN(Incremental!I32)-2)-Total!C32</f>
        <v>8.9999999999996305E-2</v>
      </c>
      <c r="K32" s="15">
        <f ca="1">ROUND(SUM(C32:I32)/2-OFFSET(K32,0,-2),4)</f>
        <v>0</v>
      </c>
    </row>
    <row r="33" spans="2:9" x14ac:dyDescent="0.2">
      <c r="I33" s="21"/>
    </row>
    <row r="34" spans="2:9" x14ac:dyDescent="0.2">
      <c r="B34" s="1" t="str">
        <f>Total!B34</f>
        <v>(1)   Studies are sequential.  The order of the studies would effect the price impact.</v>
      </c>
    </row>
    <row r="35" spans="2:9" x14ac:dyDescent="0.2">
      <c r="B35" s="1" t="str">
        <f>Total!B35</f>
        <v>(2)   Official Forward Price Curve Dated September 2014</v>
      </c>
    </row>
    <row r="36" spans="2:9" x14ac:dyDescent="0.2">
      <c r="B36" s="1" t="str">
        <f>Total!B36</f>
        <v>(3)   Discount Rate - 2013 IRP Page 164</v>
      </c>
      <c r="C36" s="11"/>
      <c r="D36" s="11"/>
    </row>
    <row r="37" spans="2:9" x14ac:dyDescent="0.2">
      <c r="B37" s="1" t="str">
        <f>Total!B37</f>
        <v xml:space="preserve">(4)   Capacity costs are allocated assuming an 85% capacity factor. </v>
      </c>
    </row>
    <row r="38" spans="2:9" hidden="1" x14ac:dyDescent="0.2"/>
    <row r="40" spans="2:9" x14ac:dyDescent="0.2">
      <c r="B40" s="51" t="s">
        <v>17</v>
      </c>
    </row>
    <row r="41" spans="2:9" x14ac:dyDescent="0.2">
      <c r="B41" s="49">
        <f>Discount_Rate</f>
        <v>6.8820000000000006E-2</v>
      </c>
    </row>
  </sheetData>
  <phoneticPr fontId="2" type="noConversion"/>
  <printOptions horizontalCentered="1"/>
  <pageMargins left="0.25" right="0.25" top="0.75" bottom="0.75" header="0.3" footer="0.2"/>
  <pageSetup scale="72" orientation="landscape" r:id="rId1"/>
  <headerFooter alignWithMargins="0">
    <oddFooter>&amp;L&amp;8NPC Group - &amp;F   ( &amp;A 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S77"/>
  <sheetViews>
    <sheetView zoomScale="70" zoomScaleNormal="70" workbookViewId="0">
      <pane xSplit="2" ySplit="9" topLeftCell="C10" activePane="bottomRight" state="frozen"/>
      <selection activeCell="E14" sqref="E14"/>
      <selection pane="topRight" activeCell="E14" sqref="E14"/>
      <selection pane="bottomLeft" activeCell="E14" sqref="E14"/>
      <selection pane="bottomRight" activeCell="I32" sqref="I32"/>
    </sheetView>
  </sheetViews>
  <sheetFormatPr defaultRowHeight="15" x14ac:dyDescent="0.2"/>
  <cols>
    <col min="1" max="1" width="1.85546875" style="1" customWidth="1"/>
    <col min="2" max="2" width="14.42578125" style="1" customWidth="1"/>
    <col min="3" max="8" width="18.85546875" style="1" customWidth="1"/>
    <col min="9" max="9" width="23.5703125" style="1" customWidth="1"/>
    <col min="10" max="10" width="2.42578125" style="1" customWidth="1"/>
    <col min="11" max="11" width="9.7109375" style="1" hidden="1" customWidth="1"/>
    <col min="12" max="12" width="9.140625" style="1" hidden="1" customWidth="1"/>
    <col min="13" max="13" width="9.140625" style="1"/>
    <col min="14" max="14" width="10.28515625" style="1" customWidth="1"/>
    <col min="15" max="16384" width="9.140625" style="1"/>
  </cols>
  <sheetData>
    <row r="1" spans="2:19" ht="15.75" x14ac:dyDescent="0.25">
      <c r="B1" s="6" t="s">
        <v>4</v>
      </c>
      <c r="C1" s="6"/>
      <c r="D1" s="6"/>
      <c r="E1" s="6"/>
      <c r="F1" s="6"/>
      <c r="G1" s="6"/>
      <c r="H1" s="6"/>
      <c r="I1" s="6"/>
    </row>
    <row r="2" spans="2:19" ht="8.25" customHeight="1" x14ac:dyDescent="0.25">
      <c r="B2" s="6"/>
      <c r="C2" s="6"/>
      <c r="D2" s="6"/>
      <c r="E2" s="6"/>
      <c r="F2" s="6"/>
      <c r="G2" s="6"/>
      <c r="H2" s="6"/>
      <c r="I2" s="6"/>
    </row>
    <row r="3" spans="2:19" ht="15.75" x14ac:dyDescent="0.25">
      <c r="B3" s="6" t="s">
        <v>1</v>
      </c>
      <c r="C3" s="6"/>
      <c r="D3" s="6"/>
      <c r="E3" s="6"/>
      <c r="F3" s="6"/>
      <c r="G3" s="6"/>
      <c r="H3" s="6"/>
      <c r="I3" s="6"/>
    </row>
    <row r="4" spans="2:19" ht="15.75" x14ac:dyDescent="0.25">
      <c r="B4" s="6" t="str">
        <f>Capacity!$B$4</f>
        <v>Step Study between 2014.Q3 and 2014.Q2 Compliance Filing</v>
      </c>
      <c r="C4" s="6"/>
      <c r="D4" s="6"/>
      <c r="E4" s="6"/>
      <c r="F4" s="6"/>
      <c r="G4" s="6"/>
      <c r="H4" s="6"/>
      <c r="I4" s="6"/>
    </row>
    <row r="5" spans="2:19" ht="15.75" x14ac:dyDescent="0.25">
      <c r="B5" s="6" t="s">
        <v>12</v>
      </c>
      <c r="C5" s="6"/>
      <c r="D5" s="6"/>
      <c r="E5" s="6"/>
      <c r="F5" s="6"/>
      <c r="G5" s="6"/>
      <c r="H5" s="6"/>
      <c r="I5" s="6"/>
    </row>
    <row r="6" spans="2:19" s="29" customFormat="1" ht="15.75" x14ac:dyDescent="0.25">
      <c r="B6" s="27"/>
      <c r="C6" s="27"/>
      <c r="D6" s="28"/>
      <c r="E6" s="28"/>
      <c r="F6" s="28"/>
      <c r="G6" s="28"/>
      <c r="H6" s="28"/>
      <c r="I6" s="28"/>
    </row>
    <row r="7" spans="2:19" ht="15.75" x14ac:dyDescent="0.25">
      <c r="B7" s="7"/>
      <c r="C7" s="9" t="str">
        <f>Energy!C7</f>
        <v>2014.Q2</v>
      </c>
      <c r="D7" s="9" t="str">
        <f>Energy!D7</f>
        <v>Misc</v>
      </c>
      <c r="E7" s="9" t="str">
        <f>Energy!E7</f>
        <v>Coal Price</v>
      </c>
      <c r="F7" s="9" t="str">
        <f>Energy!F7</f>
        <v>Load</v>
      </c>
      <c r="G7" s="9" t="str">
        <f>Energy!G7</f>
        <v>1409 OFPC</v>
      </c>
      <c r="H7" s="9" t="str">
        <f>Energy!H7</f>
        <v>QF</v>
      </c>
      <c r="I7" s="9" t="str">
        <f>Energy!I7</f>
        <v>2014 Wind</v>
      </c>
    </row>
    <row r="8" spans="2:19" ht="15.75" x14ac:dyDescent="0.25">
      <c r="B8" s="8" t="s">
        <v>0</v>
      </c>
      <c r="C8" s="2" t="str">
        <f>Energy!C8</f>
        <v>as Filed</v>
      </c>
      <c r="D8" s="2" t="str">
        <f>Energy!D8</f>
        <v>Updates</v>
      </c>
      <c r="E8" s="2" t="str">
        <f>Energy!E8</f>
        <v>Study</v>
      </c>
      <c r="F8" s="2" t="str">
        <f>Energy!F8</f>
        <v>Forecast</v>
      </c>
      <c r="G8" s="2" t="str">
        <f>Energy!G8</f>
        <v>Update</v>
      </c>
      <c r="H8" s="2" t="str">
        <f>Energy!H8</f>
        <v>Queue</v>
      </c>
      <c r="I8" s="2" t="str">
        <f>Energy!I8</f>
        <v>Integration Study</v>
      </c>
    </row>
    <row r="9" spans="2:19" ht="4.5" customHeight="1" x14ac:dyDescent="0.2"/>
    <row r="10" spans="2:19" ht="15.75" x14ac:dyDescent="0.25">
      <c r="B10" s="3">
        <v>2016</v>
      </c>
      <c r="C10" s="22">
        <f>ROUND(Capacity!$F10+Energy!C10,2)</f>
        <v>26.85</v>
      </c>
      <c r="D10" s="22">
        <f>ROUND(Capacity!$F10+Energy!D10,2)</f>
        <v>27.07</v>
      </c>
      <c r="E10" s="22">
        <f>ROUND(Capacity!$F10+Energy!E10,2)</f>
        <v>27.94</v>
      </c>
      <c r="F10" s="22">
        <f>ROUND(Capacity!$F10+Energy!F10,2)</f>
        <v>28.31</v>
      </c>
      <c r="G10" s="22">
        <f>ROUND(Capacity!$G10+Energy!G10,2)</f>
        <v>27.66</v>
      </c>
      <c r="H10" s="22">
        <f>ROUND(Capacity!$G10+Energy!H10,2)</f>
        <v>26.68</v>
      </c>
      <c r="I10" s="22">
        <f>ROUND(Capacity!$G10+Energy!I10,2)</f>
        <v>26.92</v>
      </c>
      <c r="K10" s="15"/>
      <c r="L10" s="15"/>
      <c r="M10" s="15"/>
      <c r="N10" s="15"/>
      <c r="O10" s="15"/>
      <c r="P10" s="15"/>
      <c r="Q10" s="15"/>
      <c r="R10" s="15"/>
      <c r="S10" s="15"/>
    </row>
    <row r="11" spans="2:19" ht="15.75" x14ac:dyDescent="0.25">
      <c r="B11" s="3">
        <f t="shared" ref="B11:B29" si="0">B10+1</f>
        <v>2017</v>
      </c>
      <c r="C11" s="22">
        <f>ROUND(Capacity!$F11+Energy!C11,2)</f>
        <v>26.79</v>
      </c>
      <c r="D11" s="22">
        <f>ROUND(Capacity!$F11+Energy!D11,2)</f>
        <v>26.87</v>
      </c>
      <c r="E11" s="22">
        <f>ROUND(Capacity!$F11+Energy!E11,2)</f>
        <v>27.33</v>
      </c>
      <c r="F11" s="22">
        <f>ROUND(Capacity!$F11+Energy!F11,2)</f>
        <v>27.31</v>
      </c>
      <c r="G11" s="22">
        <f>ROUND(Capacity!$G11+Energy!G11,2)</f>
        <v>25.59</v>
      </c>
      <c r="H11" s="22">
        <f>ROUND(Capacity!$G11+Energy!H11,2)</f>
        <v>24.49</v>
      </c>
      <c r="I11" s="22">
        <f>ROUND(Capacity!$G11+Energy!I11,2)</f>
        <v>25.58</v>
      </c>
      <c r="K11" s="15"/>
      <c r="L11" s="15"/>
      <c r="M11" s="15"/>
      <c r="N11" s="15"/>
      <c r="O11" s="15"/>
      <c r="P11" s="15"/>
      <c r="Q11" s="15"/>
      <c r="R11" s="15"/>
      <c r="S11" s="15"/>
    </row>
    <row r="12" spans="2:19" ht="15.75" x14ac:dyDescent="0.25">
      <c r="B12" s="3">
        <f t="shared" si="0"/>
        <v>2018</v>
      </c>
      <c r="C12" s="22">
        <f>ROUND(Capacity!$F12+Energy!C12,2)</f>
        <v>28.28</v>
      </c>
      <c r="D12" s="22">
        <f>ROUND(Capacity!$F12+Energy!D12,2)</f>
        <v>28.35</v>
      </c>
      <c r="E12" s="22">
        <f>ROUND(Capacity!$F12+Energy!E12,2)</f>
        <v>28.4</v>
      </c>
      <c r="F12" s="22">
        <f>ROUND(Capacity!$F12+Energy!F12,2)</f>
        <v>29.88</v>
      </c>
      <c r="G12" s="22">
        <f>ROUND(Capacity!$G12+Energy!G12,2)</f>
        <v>27.86</v>
      </c>
      <c r="H12" s="22">
        <f>ROUND(Capacity!$G12+Energy!H12,2)</f>
        <v>26.52</v>
      </c>
      <c r="I12" s="22">
        <f>ROUND(Capacity!$G12+Energy!I12,2)</f>
        <v>26.5</v>
      </c>
      <c r="K12" s="15"/>
      <c r="L12" s="15"/>
      <c r="M12" s="15"/>
      <c r="N12" s="15"/>
      <c r="O12" s="15"/>
      <c r="P12" s="15"/>
      <c r="Q12" s="15"/>
      <c r="R12" s="15"/>
      <c r="S12" s="15"/>
    </row>
    <row r="13" spans="2:19" ht="15.75" x14ac:dyDescent="0.25">
      <c r="B13" s="3">
        <f t="shared" si="0"/>
        <v>2019</v>
      </c>
      <c r="C13" s="22">
        <f>ROUND(Capacity!$F13+Energy!C13,2)</f>
        <v>29.4</v>
      </c>
      <c r="D13" s="22">
        <f>ROUND(Capacity!$F13+Energy!D13,2)</f>
        <v>29.36</v>
      </c>
      <c r="E13" s="22">
        <f>ROUND(Capacity!$F13+Energy!E13,2)</f>
        <v>29.21</v>
      </c>
      <c r="F13" s="22">
        <f>ROUND(Capacity!$F13+Energy!F13,2)</f>
        <v>31.91</v>
      </c>
      <c r="G13" s="22">
        <f>ROUND(Capacity!$G13+Energy!G13,2)</f>
        <v>29.48</v>
      </c>
      <c r="H13" s="22">
        <f>ROUND(Capacity!$G13+Energy!H13,2)</f>
        <v>27.8</v>
      </c>
      <c r="I13" s="22">
        <f>ROUND(Capacity!$G13+Energy!I13,2)</f>
        <v>27.51</v>
      </c>
      <c r="K13" s="15"/>
      <c r="L13" s="15"/>
      <c r="M13" s="15"/>
      <c r="N13" s="15"/>
      <c r="O13" s="15"/>
      <c r="P13" s="15"/>
      <c r="Q13" s="15"/>
      <c r="R13" s="15"/>
      <c r="S13" s="15"/>
    </row>
    <row r="14" spans="2:19" ht="15.75" x14ac:dyDescent="0.25">
      <c r="B14" s="3">
        <f t="shared" si="0"/>
        <v>2020</v>
      </c>
      <c r="C14" s="22">
        <f>ROUND(Capacity!$F14+Energy!C14,2)</f>
        <v>30.68</v>
      </c>
      <c r="D14" s="22">
        <f>ROUND(Capacity!$F14+Energy!D14,2)</f>
        <v>30.64</v>
      </c>
      <c r="E14" s="22">
        <f>ROUND(Capacity!$F14+Energy!E14,2)</f>
        <v>29.21</v>
      </c>
      <c r="F14" s="22">
        <f>ROUND(Capacity!$F14+Energy!F14,2)</f>
        <v>31.23</v>
      </c>
      <c r="G14" s="22">
        <f>ROUND(Capacity!$G14+Energy!G14,2)</f>
        <v>30.63</v>
      </c>
      <c r="H14" s="22">
        <f>ROUND(Capacity!$G14+Energy!H14,2)</f>
        <v>28.75</v>
      </c>
      <c r="I14" s="22">
        <f>ROUND(Capacity!$G14+Energy!I14,2)</f>
        <v>28.12</v>
      </c>
      <c r="K14" s="15"/>
      <c r="L14" s="15"/>
      <c r="M14" s="15"/>
      <c r="N14" s="15"/>
      <c r="O14" s="15"/>
      <c r="P14" s="15"/>
      <c r="Q14" s="15"/>
      <c r="R14" s="15"/>
      <c r="S14" s="15"/>
    </row>
    <row r="15" spans="2:19" ht="15.75" x14ac:dyDescent="0.25">
      <c r="B15" s="3">
        <f t="shared" si="0"/>
        <v>2021</v>
      </c>
      <c r="C15" s="22">
        <f>ROUND(Capacity!$F15+Energy!C15,2)</f>
        <v>32.369999999999997</v>
      </c>
      <c r="D15" s="22">
        <f>ROUND(Capacity!$F15+Energy!D15,2)</f>
        <v>31.85</v>
      </c>
      <c r="E15" s="22">
        <f>ROUND(Capacity!$F15+Energy!E15,2)</f>
        <v>31.45</v>
      </c>
      <c r="F15" s="22">
        <f>ROUND(Capacity!$F15+Energy!F15,2)</f>
        <v>33.47</v>
      </c>
      <c r="G15" s="22">
        <f>ROUND(Capacity!$G15+Energy!G15,2)</f>
        <v>34.83</v>
      </c>
      <c r="H15" s="22">
        <f>ROUND(Capacity!$G15+Energy!H15,2)</f>
        <v>32.07</v>
      </c>
      <c r="I15" s="22">
        <f>ROUND(Capacity!$G15+Energy!I15,2)</f>
        <v>31.78</v>
      </c>
      <c r="K15" s="15"/>
      <c r="L15" s="15"/>
      <c r="M15" s="15"/>
      <c r="N15" s="15"/>
      <c r="O15" s="15"/>
      <c r="P15" s="15"/>
      <c r="Q15" s="15"/>
      <c r="R15" s="15"/>
      <c r="S15" s="15"/>
    </row>
    <row r="16" spans="2:19" ht="15.75" x14ac:dyDescent="0.25">
      <c r="B16" s="3">
        <f t="shared" si="0"/>
        <v>2022</v>
      </c>
      <c r="C16" s="22">
        <f>ROUND(Capacity!$F16+Energy!C16,2)</f>
        <v>35.6</v>
      </c>
      <c r="D16" s="22">
        <f>ROUND(Capacity!$F16+Energy!D16,2)</f>
        <v>35.619999999999997</v>
      </c>
      <c r="E16" s="22">
        <f>ROUND(Capacity!$F16+Energy!E16,2)</f>
        <v>34.07</v>
      </c>
      <c r="F16" s="22">
        <f>ROUND(Capacity!$F16+Energy!F16,2)</f>
        <v>36.130000000000003</v>
      </c>
      <c r="G16" s="22">
        <f>ROUND(Capacity!$G16+Energy!G16,2)</f>
        <v>40.270000000000003</v>
      </c>
      <c r="H16" s="22">
        <f>ROUND(Capacity!$G16+Energy!H16,2)</f>
        <v>36.950000000000003</v>
      </c>
      <c r="I16" s="22">
        <f>ROUND(Capacity!$G16+Energy!I16,2)</f>
        <v>36.58</v>
      </c>
      <c r="K16" s="15"/>
      <c r="L16" s="15"/>
      <c r="M16" s="15"/>
      <c r="N16" s="15"/>
      <c r="O16" s="15"/>
      <c r="P16" s="15"/>
      <c r="Q16" s="15"/>
      <c r="R16" s="15"/>
      <c r="S16" s="15"/>
    </row>
    <row r="17" spans="2:19" ht="15.75" x14ac:dyDescent="0.25">
      <c r="B17" s="3">
        <f t="shared" si="0"/>
        <v>2023</v>
      </c>
      <c r="C17" s="22">
        <f>ROUND(Capacity!$F17+Energy!C17,2)</f>
        <v>35.979999999999997</v>
      </c>
      <c r="D17" s="22">
        <f>ROUND(Capacity!$F17+Energy!D17,2)</f>
        <v>36.21</v>
      </c>
      <c r="E17" s="22">
        <f>ROUND(Capacity!$F17+Energy!E17,2)</f>
        <v>34.74</v>
      </c>
      <c r="F17" s="22">
        <f>ROUND(Capacity!$F17+Energy!F17,2)</f>
        <v>37.119999999999997</v>
      </c>
      <c r="G17" s="22">
        <f>ROUND(Capacity!$G17+Energy!G17,2)</f>
        <v>43.04</v>
      </c>
      <c r="H17" s="22">
        <f>ROUND(Capacity!$G17+Energy!H17,2)</f>
        <v>38.83</v>
      </c>
      <c r="I17" s="22">
        <f>ROUND(Capacity!$G17+Energy!I17,2)</f>
        <v>38.78</v>
      </c>
      <c r="K17" s="15"/>
      <c r="L17" s="15"/>
      <c r="M17" s="15"/>
      <c r="N17" s="15"/>
      <c r="O17" s="15"/>
      <c r="P17" s="15"/>
      <c r="Q17" s="15"/>
      <c r="R17" s="15"/>
      <c r="S17" s="15"/>
    </row>
    <row r="18" spans="2:19" ht="15.75" x14ac:dyDescent="0.25">
      <c r="B18" s="3">
        <f t="shared" si="0"/>
        <v>2024</v>
      </c>
      <c r="C18" s="22">
        <f>ROUND(Capacity!$F18+Energy!C18,2)</f>
        <v>36.06</v>
      </c>
      <c r="D18" s="22">
        <f>ROUND(Capacity!$F18+Energy!D18,2)</f>
        <v>35.76</v>
      </c>
      <c r="E18" s="22">
        <f>ROUND(Capacity!$F18+Energy!E18,2)</f>
        <v>36.25</v>
      </c>
      <c r="F18" s="22">
        <f>ROUND(Capacity!$F18+Energy!F18,2)</f>
        <v>38.47</v>
      </c>
      <c r="G18" s="22">
        <f>ROUND(Capacity!$G18+Energy!G18,2)</f>
        <v>42.58</v>
      </c>
      <c r="H18" s="22">
        <f>ROUND(Capacity!$G18+Energy!H18,2)</f>
        <v>39.619999999999997</v>
      </c>
      <c r="I18" s="22">
        <f>ROUND(Capacity!$G18+Energy!I18,2)</f>
        <v>39.450000000000003</v>
      </c>
      <c r="K18" s="15"/>
      <c r="L18" s="15"/>
      <c r="M18" s="15"/>
      <c r="N18" s="15"/>
      <c r="O18" s="15"/>
      <c r="P18" s="15"/>
      <c r="Q18" s="15"/>
      <c r="R18" s="15"/>
      <c r="S18" s="15"/>
    </row>
    <row r="19" spans="2:19" ht="15.75" x14ac:dyDescent="0.25">
      <c r="B19" s="3">
        <f t="shared" si="0"/>
        <v>2025</v>
      </c>
      <c r="C19" s="22">
        <f>ROUND(Capacity!$F19+Energy!C19,2)</f>
        <v>37.299999999999997</v>
      </c>
      <c r="D19" s="22">
        <f>ROUND(Capacity!$F19+Energy!D19,2)</f>
        <v>37.159999999999997</v>
      </c>
      <c r="E19" s="22">
        <f>ROUND(Capacity!$F19+Energy!E19,2)</f>
        <v>36.08</v>
      </c>
      <c r="F19" s="22">
        <f>ROUND(Capacity!$F19+Energy!F19,2)</f>
        <v>38.17</v>
      </c>
      <c r="G19" s="22">
        <f>ROUND(Capacity!$G19+Energy!G19,2)</f>
        <v>42.15</v>
      </c>
      <c r="H19" s="22">
        <f>ROUND(Capacity!$G19+Energy!H19,2)</f>
        <v>38</v>
      </c>
      <c r="I19" s="22">
        <f>ROUND(Capacity!$G19+Energy!I19,2)</f>
        <v>37.72</v>
      </c>
      <c r="K19" s="15"/>
      <c r="L19" s="15"/>
      <c r="M19" s="15"/>
      <c r="N19" s="15"/>
      <c r="O19" s="15"/>
      <c r="P19" s="15"/>
      <c r="Q19" s="15"/>
      <c r="R19" s="15"/>
      <c r="S19" s="15"/>
    </row>
    <row r="20" spans="2:19" ht="15.75" x14ac:dyDescent="0.25">
      <c r="B20" s="3">
        <f t="shared" si="0"/>
        <v>2026</v>
      </c>
      <c r="C20" s="22">
        <f>ROUND(Capacity!$F20+Energy!C20,2)</f>
        <v>39.15</v>
      </c>
      <c r="D20" s="22">
        <f>ROUND(Capacity!$F20+Energy!D20,2)</f>
        <v>39.14</v>
      </c>
      <c r="E20" s="22">
        <f>ROUND(Capacity!$F20+Energy!E20,2)</f>
        <v>37.92</v>
      </c>
      <c r="F20" s="22">
        <f>ROUND(Capacity!$F20+Energy!F20,2)</f>
        <v>40.21</v>
      </c>
      <c r="G20" s="22">
        <f>ROUND(Capacity!$G20+Energy!G20,2)</f>
        <v>43.16</v>
      </c>
      <c r="H20" s="22">
        <f>ROUND(Capacity!$G20+Energy!H20,2)</f>
        <v>40.020000000000003</v>
      </c>
      <c r="I20" s="22">
        <f>ROUND(Capacity!$G20+Energy!I20,2)</f>
        <v>40.76</v>
      </c>
      <c r="K20" s="15"/>
      <c r="L20" s="15"/>
      <c r="M20" s="15"/>
      <c r="N20" s="15"/>
      <c r="O20" s="15"/>
      <c r="P20" s="15"/>
      <c r="Q20" s="15"/>
      <c r="R20" s="15"/>
      <c r="S20" s="15"/>
    </row>
    <row r="21" spans="2:19" ht="15.75" x14ac:dyDescent="0.25">
      <c r="B21" s="3">
        <f t="shared" si="0"/>
        <v>2027</v>
      </c>
      <c r="C21" s="22">
        <f>ROUND(Capacity!$F21+Energy!C21,2)</f>
        <v>40.9</v>
      </c>
      <c r="D21" s="22">
        <f>ROUND(Capacity!$F21+Energy!D21,2)</f>
        <v>40.729999999999997</v>
      </c>
      <c r="E21" s="22">
        <f>ROUND(Capacity!$F21+Energy!E21,2)</f>
        <v>39.869999999999997</v>
      </c>
      <c r="F21" s="22">
        <f>ROUND(Capacity!$F21+Energy!F21,2)</f>
        <v>42.15</v>
      </c>
      <c r="G21" s="22">
        <f>ROUND(Capacity!$G21+Energy!G21,2)</f>
        <v>43.99</v>
      </c>
      <c r="H21" s="22">
        <f>ROUND(Capacity!$G21+Energy!H21,2)</f>
        <v>40.74</v>
      </c>
      <c r="I21" s="22">
        <f>ROUND(Capacity!$G21+Energy!I21,2)</f>
        <v>41.53</v>
      </c>
      <c r="K21" s="15"/>
      <c r="L21" s="15"/>
      <c r="M21" s="15"/>
      <c r="N21" s="15"/>
      <c r="O21" s="15"/>
      <c r="P21" s="15"/>
      <c r="Q21" s="15"/>
      <c r="R21" s="15"/>
      <c r="S21" s="15"/>
    </row>
    <row r="22" spans="2:19" ht="15.75" x14ac:dyDescent="0.25">
      <c r="B22" s="3">
        <f t="shared" si="0"/>
        <v>2028</v>
      </c>
      <c r="C22" s="22">
        <f>ROUND(Capacity!$F22+Energy!C22,2)</f>
        <v>47.95</v>
      </c>
      <c r="D22" s="22">
        <f>ROUND(Capacity!$F22+Energy!D22,2)</f>
        <v>48.22</v>
      </c>
      <c r="E22" s="22">
        <f>ROUND(Capacity!$F22+Energy!E22,2)</f>
        <v>47.37</v>
      </c>
      <c r="F22" s="22">
        <f>ROUND(Capacity!$F22+Energy!F22,2)</f>
        <v>50.4</v>
      </c>
      <c r="G22" s="22">
        <f>ROUND(Capacity!$G22+Energy!G22,2)</f>
        <v>53.66</v>
      </c>
      <c r="H22" s="22">
        <f>ROUND(Capacity!$G22+Energy!H22,2)</f>
        <v>50.5</v>
      </c>
      <c r="I22" s="22">
        <f>ROUND(Capacity!$G22+Energy!I22,2)</f>
        <v>49.99</v>
      </c>
      <c r="K22" s="15"/>
      <c r="L22" s="15"/>
      <c r="M22" s="15"/>
      <c r="N22" s="15"/>
      <c r="O22" s="15"/>
      <c r="P22" s="15"/>
      <c r="Q22" s="15"/>
      <c r="R22" s="15"/>
      <c r="S22" s="15"/>
    </row>
    <row r="23" spans="2:19" ht="15.75" x14ac:dyDescent="0.25">
      <c r="B23" s="3">
        <f t="shared" si="0"/>
        <v>2029</v>
      </c>
      <c r="C23" s="22">
        <f>ROUND(Capacity!$F23+Energy!C23,2)</f>
        <v>50.93</v>
      </c>
      <c r="D23" s="22">
        <f>ROUND(Capacity!$F23+Energy!D23,2)</f>
        <v>51.13</v>
      </c>
      <c r="E23" s="22">
        <f>ROUND(Capacity!$F23+Energy!E23,2)</f>
        <v>50.23</v>
      </c>
      <c r="F23" s="22">
        <f>ROUND(Capacity!$F23+Energy!F23,2)</f>
        <v>53.14</v>
      </c>
      <c r="G23" s="22">
        <f>ROUND(Capacity!$G23+Energy!G23,2)</f>
        <v>56.62</v>
      </c>
      <c r="H23" s="22">
        <f>ROUND(Capacity!$G23+Energy!H23,2)</f>
        <v>54.08</v>
      </c>
      <c r="I23" s="22">
        <f>ROUND(Capacity!$G23+Energy!I23,2)</f>
        <v>53.64</v>
      </c>
      <c r="K23" s="15"/>
      <c r="L23" s="15"/>
      <c r="M23" s="15"/>
      <c r="N23" s="15"/>
      <c r="O23" s="15"/>
      <c r="P23" s="15"/>
      <c r="Q23" s="15"/>
      <c r="R23" s="15"/>
      <c r="S23" s="15"/>
    </row>
    <row r="24" spans="2:19" ht="15.75" x14ac:dyDescent="0.25">
      <c r="B24" s="3">
        <f t="shared" si="0"/>
        <v>2030</v>
      </c>
      <c r="C24" s="22">
        <f>ROUND(Capacity!$F24+Energy!C24,2)</f>
        <v>66.959999999999994</v>
      </c>
      <c r="D24" s="22">
        <f>ROUND(Capacity!$F24+Energy!D24,2)</f>
        <v>67.260000000000005</v>
      </c>
      <c r="E24" s="22">
        <f>ROUND(Capacity!$F24+Energy!E24,2)</f>
        <v>66.75</v>
      </c>
      <c r="F24" s="22">
        <f>ROUND(Capacity!$F24+Energy!F24,2)</f>
        <v>67.430000000000007</v>
      </c>
      <c r="G24" s="22">
        <f>ROUND(Capacity!$G24+Energy!G24,2)</f>
        <v>71.209999999999994</v>
      </c>
      <c r="H24" s="22">
        <f>ROUND(Capacity!$G24+Energy!H24,2)</f>
        <v>67.48</v>
      </c>
      <c r="I24" s="22">
        <f>ROUND(Capacity!$G24+Energy!I24,2)</f>
        <v>66.94</v>
      </c>
      <c r="K24" s="15"/>
      <c r="L24" s="15"/>
      <c r="M24" s="15"/>
      <c r="N24" s="15"/>
      <c r="O24" s="15"/>
      <c r="P24" s="15"/>
      <c r="Q24" s="15"/>
      <c r="R24" s="15"/>
      <c r="S24" s="15"/>
    </row>
    <row r="25" spans="2:19" ht="15.75" x14ac:dyDescent="0.25">
      <c r="B25" s="3">
        <f t="shared" si="0"/>
        <v>2031</v>
      </c>
      <c r="C25" s="22">
        <f>ROUND(Capacity!$F25+Energy!C25,2)</f>
        <v>68.75</v>
      </c>
      <c r="D25" s="22">
        <f>ROUND(Capacity!$F25+Energy!D25,2)</f>
        <v>69.02</v>
      </c>
      <c r="E25" s="22">
        <f>ROUND(Capacity!$F25+Energy!E25,2)</f>
        <v>68.31</v>
      </c>
      <c r="F25" s="22">
        <f>ROUND(Capacity!$F25+Energy!F25,2)</f>
        <v>69.14</v>
      </c>
      <c r="G25" s="22">
        <f>ROUND(Capacity!$G25+Energy!G25,2)</f>
        <v>73.08</v>
      </c>
      <c r="H25" s="22">
        <f>ROUND(Capacity!$G25+Energy!H25,2)</f>
        <v>69.180000000000007</v>
      </c>
      <c r="I25" s="22">
        <f>ROUND(Capacity!$G25+Energy!I25,2)</f>
        <v>68.680000000000007</v>
      </c>
      <c r="K25" s="15"/>
      <c r="L25" s="15"/>
      <c r="M25" s="15"/>
      <c r="N25" s="15"/>
      <c r="O25" s="15"/>
      <c r="P25" s="15"/>
      <c r="Q25" s="15"/>
      <c r="R25" s="15"/>
      <c r="S25" s="15"/>
    </row>
    <row r="26" spans="2:19" ht="15.75" x14ac:dyDescent="0.25">
      <c r="B26" s="3">
        <f t="shared" si="0"/>
        <v>2032</v>
      </c>
      <c r="C26" s="22">
        <f>ROUND(Capacity!$F26+Energy!C26,2)</f>
        <v>70.37</v>
      </c>
      <c r="D26" s="22">
        <f>ROUND(Capacity!$F26+Energy!D26,2)</f>
        <v>70.67</v>
      </c>
      <c r="E26" s="22">
        <f>ROUND(Capacity!$F26+Energy!E26,2)</f>
        <v>70.16</v>
      </c>
      <c r="F26" s="22">
        <f>ROUND(Capacity!$F26+Energy!F26,2)</f>
        <v>70.75</v>
      </c>
      <c r="G26" s="22">
        <f>ROUND(Capacity!$G26+Energy!G26,2)</f>
        <v>74.7</v>
      </c>
      <c r="H26" s="22">
        <f>ROUND(Capacity!$G26+Energy!H26,2)</f>
        <v>70.56</v>
      </c>
      <c r="I26" s="22">
        <f>ROUND(Capacity!$G26+Energy!I26,2)</f>
        <v>70.11</v>
      </c>
      <c r="K26" s="15"/>
      <c r="L26" s="15"/>
      <c r="M26" s="15"/>
      <c r="N26" s="15"/>
      <c r="O26" s="15"/>
      <c r="P26" s="15"/>
      <c r="Q26" s="15"/>
      <c r="R26" s="15"/>
      <c r="S26" s="15"/>
    </row>
    <row r="27" spans="2:19" ht="15.75" x14ac:dyDescent="0.25">
      <c r="B27" s="3">
        <f t="shared" si="0"/>
        <v>2033</v>
      </c>
      <c r="C27" s="22">
        <f>ROUND(Capacity!$F27+Energy!C27,2)</f>
        <v>71.8</v>
      </c>
      <c r="D27" s="22">
        <f>ROUND(Capacity!$F27+Energy!D27,2)</f>
        <v>72.069999999999993</v>
      </c>
      <c r="E27" s="22">
        <f>ROUND(Capacity!$F27+Energy!E27,2)</f>
        <v>71.650000000000006</v>
      </c>
      <c r="F27" s="22">
        <f>ROUND(Capacity!$F27+Energy!F27,2)</f>
        <v>72.319999999999993</v>
      </c>
      <c r="G27" s="22">
        <f>ROUND(Capacity!$G27+Energy!G27,2)</f>
        <v>76.459999999999994</v>
      </c>
      <c r="H27" s="22">
        <f>ROUND(Capacity!$G27+Energy!H27,2)</f>
        <v>72.37</v>
      </c>
      <c r="I27" s="22">
        <f>ROUND(Capacity!$G27+Energy!I27,2)</f>
        <v>71.819999999999993</v>
      </c>
      <c r="K27" s="15"/>
      <c r="L27" s="15"/>
      <c r="M27" s="15"/>
      <c r="N27" s="15"/>
      <c r="O27" s="15"/>
      <c r="P27" s="15"/>
      <c r="Q27" s="15"/>
      <c r="R27" s="15"/>
      <c r="S27" s="15"/>
    </row>
    <row r="28" spans="2:19" ht="15.75" x14ac:dyDescent="0.25">
      <c r="B28" s="3">
        <f t="shared" si="0"/>
        <v>2034</v>
      </c>
      <c r="C28" s="22">
        <f>ROUND(Capacity!$F28+Energy!C28,2)</f>
        <v>73.53</v>
      </c>
      <c r="D28" s="22">
        <f>ROUND(Capacity!$F28+Energy!D28,2)</f>
        <v>73.81</v>
      </c>
      <c r="E28" s="22">
        <f>ROUND(Capacity!$F28+Energy!E28,2)</f>
        <v>73.349999999999994</v>
      </c>
      <c r="F28" s="22">
        <f>ROUND(Capacity!$F28+Energy!F28,2)</f>
        <v>73.930000000000007</v>
      </c>
      <c r="G28" s="22">
        <f>ROUND(Capacity!$G28+Energy!G28,2)</f>
        <v>78.25</v>
      </c>
      <c r="H28" s="22">
        <f>ROUND(Capacity!$G28+Energy!H28,2)</f>
        <v>74.19</v>
      </c>
      <c r="I28" s="22">
        <f>ROUND(Capacity!$G28+Energy!I28,2)</f>
        <v>73.53</v>
      </c>
      <c r="K28" s="15"/>
      <c r="L28" s="15"/>
      <c r="M28" s="15"/>
      <c r="N28" s="15"/>
      <c r="O28" s="15"/>
      <c r="P28" s="15"/>
      <c r="Q28" s="15"/>
      <c r="R28" s="15"/>
      <c r="S28" s="15"/>
    </row>
    <row r="29" spans="2:19" ht="15.75" x14ac:dyDescent="0.25">
      <c r="B29" s="3">
        <f t="shared" si="0"/>
        <v>2035</v>
      </c>
      <c r="C29" s="22">
        <f>ROUND(Capacity!$F29+Energy!C29,2)</f>
        <v>75.2</v>
      </c>
      <c r="D29" s="22">
        <f>ROUND(Capacity!$F29+Energy!D29,2)</f>
        <v>75.489999999999995</v>
      </c>
      <c r="E29" s="22">
        <f>ROUND(Capacity!$F29+Energy!E29,2)</f>
        <v>75.12</v>
      </c>
      <c r="F29" s="22">
        <f>ROUND(Capacity!$F29+Energy!F29,2)</f>
        <v>75.61</v>
      </c>
      <c r="G29" s="22">
        <f>ROUND(Capacity!$G29+Energy!G29,2)</f>
        <v>80.069999999999993</v>
      </c>
      <c r="H29" s="22">
        <f>ROUND(Capacity!$G29+Energy!H29,2)</f>
        <v>75.739999999999995</v>
      </c>
      <c r="I29" s="22">
        <f>ROUND(Capacity!$G29+Energy!I29,2)</f>
        <v>75.09</v>
      </c>
      <c r="K29" s="15"/>
      <c r="L29" s="15"/>
      <c r="M29" s="15"/>
      <c r="N29" s="15"/>
      <c r="O29" s="15"/>
      <c r="P29" s="15"/>
      <c r="Q29" s="15"/>
      <c r="R29" s="15"/>
      <c r="S29" s="15"/>
    </row>
    <row r="30" spans="2:19" x14ac:dyDescent="0.2">
      <c r="C30" s="23"/>
      <c r="D30" s="23"/>
      <c r="E30" s="23"/>
      <c r="F30" s="23"/>
      <c r="G30" s="23"/>
      <c r="H30" s="23"/>
      <c r="I30" s="23"/>
      <c r="K30" s="1" t="s">
        <v>24</v>
      </c>
    </row>
    <row r="31" spans="2:19" x14ac:dyDescent="0.2">
      <c r="B31" s="4" t="str">
        <f>"Nominal Levelized Payment at "&amp;TEXT(Discount_Rate,"0.000%")&amp;" Discount Rate (3)"</f>
        <v>Nominal Levelized Payment at 6.882% Discount Rate (3)</v>
      </c>
      <c r="C31" s="23"/>
      <c r="D31" s="23"/>
      <c r="E31" s="23"/>
      <c r="F31" s="23"/>
      <c r="G31" s="23"/>
      <c r="H31" s="23"/>
      <c r="I31" s="23"/>
      <c r="K31" s="1" t="s">
        <v>25</v>
      </c>
    </row>
    <row r="32" spans="2:19" x14ac:dyDescent="0.2">
      <c r="B32" s="11" t="str">
        <f>B10&amp;" - "&amp;B29</f>
        <v>2016 - 2035</v>
      </c>
      <c r="C32" s="24">
        <f t="shared" ref="C32:H32" si="1">ROUND(PMT(Discount_Rate,COUNT(C10:C29),-NPV(Discount_Rate,C10:C29)),2)+$L$33</f>
        <v>40.340000000000003</v>
      </c>
      <c r="D32" s="24">
        <f t="shared" si="1"/>
        <v>40.380000000000003</v>
      </c>
      <c r="E32" s="24">
        <f t="shared" si="1"/>
        <v>39.92</v>
      </c>
      <c r="F32" s="24">
        <f t="shared" si="1"/>
        <v>41.53</v>
      </c>
      <c r="G32" s="24">
        <f t="shared" si="1"/>
        <v>43.2</v>
      </c>
      <c r="H32" s="24">
        <f t="shared" si="1"/>
        <v>40.520000000000003</v>
      </c>
      <c r="I32" s="24">
        <f>ROUND(PMT(Discount_Rate,COUNT(I10:I29),-NPV(Discount_Rate,I10:I29)),2)+$L$32</f>
        <v>40.43</v>
      </c>
      <c r="K32" s="1" t="str">
        <f>Capacity!J8</f>
        <v>2014.Q3</v>
      </c>
      <c r="L32" s="50">
        <v>0</v>
      </c>
      <c r="M32" s="15"/>
      <c r="N32" s="15"/>
      <c r="O32" s="15"/>
      <c r="P32" s="15"/>
      <c r="Q32" s="15"/>
      <c r="R32" s="15"/>
    </row>
    <row r="33" spans="2:18" x14ac:dyDescent="0.2">
      <c r="D33" s="14"/>
      <c r="E33" s="14"/>
      <c r="F33" s="14"/>
      <c r="G33" s="14"/>
      <c r="H33" s="14"/>
      <c r="I33" s="14"/>
      <c r="K33" s="1" t="str">
        <f>Capacity!I8</f>
        <v>2014.Q2</v>
      </c>
      <c r="L33" s="50">
        <v>0</v>
      </c>
      <c r="M33" s="15"/>
      <c r="N33" s="15"/>
      <c r="O33" s="15"/>
      <c r="P33" s="15"/>
      <c r="Q33" s="15"/>
      <c r="R33" s="15"/>
    </row>
    <row r="34" spans="2:18" x14ac:dyDescent="0.2">
      <c r="B34" s="11" t="s">
        <v>5</v>
      </c>
      <c r="M34" s="15"/>
      <c r="N34" s="15"/>
      <c r="O34" s="15"/>
      <c r="P34" s="15"/>
      <c r="Q34" s="15"/>
      <c r="R34" s="15"/>
    </row>
    <row r="35" spans="2:18" x14ac:dyDescent="0.2">
      <c r="B35" s="1" t="str">
        <f>"(2)   Official Forward Price Curve Dated "&amp;TEXT(B44,"MMMM YYYY")</f>
        <v>(2)   Official Forward Price Curve Dated September 2014</v>
      </c>
      <c r="M35" s="15"/>
      <c r="N35" s="15"/>
      <c r="O35" s="15"/>
      <c r="P35" s="15"/>
      <c r="Q35" s="15"/>
      <c r="R35" s="15"/>
    </row>
    <row r="36" spans="2:18" x14ac:dyDescent="0.2">
      <c r="B36" s="1" t="str">
        <f>"(3)   "&amp;B40</f>
        <v>(3)   Discount Rate - 2013 IRP Page 164</v>
      </c>
      <c r="M36" s="15"/>
      <c r="N36" s="15"/>
      <c r="O36" s="15"/>
      <c r="P36" s="15"/>
      <c r="Q36" s="15"/>
      <c r="R36" s="15"/>
    </row>
    <row r="37" spans="2:18" x14ac:dyDescent="0.2">
      <c r="B37" s="1" t="s">
        <v>11</v>
      </c>
      <c r="K37" s="10"/>
      <c r="M37" s="15"/>
      <c r="N37" s="15"/>
      <c r="O37" s="15"/>
      <c r="P37" s="15"/>
      <c r="Q37" s="15"/>
      <c r="R37" s="15"/>
    </row>
    <row r="38" spans="2:18" x14ac:dyDescent="0.2">
      <c r="B38" s="1" t="s">
        <v>16</v>
      </c>
      <c r="M38" s="15"/>
      <c r="N38" s="15"/>
      <c r="O38" s="15"/>
      <c r="P38" s="15"/>
      <c r="Q38" s="15"/>
      <c r="R38" s="15"/>
    </row>
    <row r="39" spans="2:18" x14ac:dyDescent="0.2">
      <c r="B39" s="32"/>
      <c r="M39" s="15"/>
      <c r="N39" s="15"/>
      <c r="O39" s="15"/>
      <c r="P39" s="15"/>
      <c r="Q39" s="15"/>
      <c r="R39" s="15"/>
    </row>
    <row r="40" spans="2:18" x14ac:dyDescent="0.2">
      <c r="B40" s="32" t="s">
        <v>17</v>
      </c>
      <c r="F40" s="30"/>
      <c r="G40" s="30"/>
      <c r="H40" s="30"/>
      <c r="I40" s="30"/>
      <c r="M40" s="15"/>
      <c r="N40" s="15"/>
      <c r="O40" s="15"/>
      <c r="P40" s="15"/>
      <c r="Q40" s="15"/>
      <c r="R40" s="15"/>
    </row>
    <row r="41" spans="2:18" x14ac:dyDescent="0.2">
      <c r="B41" s="31">
        <v>6.8820000000000006E-2</v>
      </c>
      <c r="F41" s="30"/>
      <c r="G41" s="30"/>
      <c r="H41" s="30"/>
      <c r="I41" s="30"/>
      <c r="M41" s="15"/>
      <c r="N41" s="15"/>
      <c r="O41" s="15"/>
      <c r="P41" s="15"/>
      <c r="Q41" s="15"/>
      <c r="R41" s="15"/>
    </row>
    <row r="42" spans="2:18" x14ac:dyDescent="0.2">
      <c r="D42" s="30"/>
      <c r="E42" s="30"/>
      <c r="F42" s="30"/>
      <c r="G42" s="30"/>
      <c r="H42" s="30"/>
      <c r="I42" s="30"/>
      <c r="M42" s="15"/>
      <c r="N42" s="15"/>
      <c r="O42" s="15"/>
      <c r="P42" s="15"/>
      <c r="Q42" s="15"/>
      <c r="R42" s="15"/>
    </row>
    <row r="43" spans="2:18" hidden="1" x14ac:dyDescent="0.2">
      <c r="B43" s="1" t="s">
        <v>15</v>
      </c>
      <c r="M43" s="15"/>
      <c r="N43" s="15"/>
      <c r="O43" s="15"/>
      <c r="P43" s="15"/>
      <c r="Q43" s="15"/>
      <c r="R43" s="15"/>
    </row>
    <row r="44" spans="2:18" hidden="1" x14ac:dyDescent="0.2">
      <c r="B44" s="33">
        <v>41912</v>
      </c>
      <c r="M44" s="15"/>
      <c r="N44" s="15"/>
      <c r="O44" s="15"/>
      <c r="P44" s="15"/>
      <c r="Q44" s="15"/>
      <c r="R44" s="15"/>
    </row>
    <row r="45" spans="2:18" x14ac:dyDescent="0.2">
      <c r="M45" s="15"/>
      <c r="N45" s="15"/>
      <c r="O45" s="15"/>
      <c r="P45" s="15"/>
      <c r="Q45" s="15"/>
      <c r="R45" s="15"/>
    </row>
    <row r="46" spans="2:18" x14ac:dyDescent="0.2">
      <c r="M46" s="15"/>
      <c r="N46" s="15"/>
      <c r="O46" s="15"/>
      <c r="P46" s="15"/>
      <c r="Q46" s="15"/>
      <c r="R46" s="15"/>
    </row>
    <row r="47" spans="2:18" x14ac:dyDescent="0.2">
      <c r="M47" s="15"/>
      <c r="N47" s="15"/>
      <c r="O47" s="15"/>
      <c r="P47" s="15"/>
      <c r="Q47" s="15"/>
      <c r="R47" s="15"/>
    </row>
    <row r="48" spans="2:18" x14ac:dyDescent="0.2">
      <c r="M48" s="15"/>
      <c r="N48" s="15"/>
      <c r="O48" s="15"/>
      <c r="P48" s="15"/>
      <c r="Q48" s="15"/>
      <c r="R48" s="15"/>
    </row>
    <row r="49" spans="13:18" x14ac:dyDescent="0.2">
      <c r="M49" s="15"/>
      <c r="N49" s="15"/>
      <c r="O49" s="15"/>
      <c r="P49" s="15"/>
      <c r="Q49" s="15"/>
      <c r="R49" s="15"/>
    </row>
    <row r="50" spans="13:18" x14ac:dyDescent="0.2">
      <c r="M50" s="15"/>
      <c r="N50" s="15"/>
      <c r="O50" s="15"/>
      <c r="P50" s="15"/>
      <c r="Q50" s="15"/>
      <c r="R50" s="15"/>
    </row>
    <row r="51" spans="13:18" x14ac:dyDescent="0.2">
      <c r="M51" s="15"/>
      <c r="N51" s="15"/>
      <c r="O51" s="15"/>
      <c r="P51" s="15"/>
      <c r="Q51" s="15"/>
      <c r="R51" s="15"/>
    </row>
    <row r="52" spans="13:18" x14ac:dyDescent="0.2">
      <c r="M52" s="15"/>
      <c r="N52" s="15"/>
      <c r="O52" s="15"/>
      <c r="P52" s="15"/>
      <c r="Q52" s="15"/>
      <c r="R52" s="15"/>
    </row>
    <row r="53" spans="13:18" x14ac:dyDescent="0.2">
      <c r="M53" s="15"/>
      <c r="N53" s="15"/>
      <c r="O53" s="15"/>
      <c r="P53" s="15"/>
      <c r="Q53" s="15"/>
      <c r="R53" s="15"/>
    </row>
    <row r="54" spans="13:18" x14ac:dyDescent="0.2">
      <c r="M54" s="15"/>
      <c r="N54" s="15"/>
      <c r="O54" s="15"/>
      <c r="P54" s="15"/>
      <c r="Q54" s="15"/>
      <c r="R54" s="15"/>
    </row>
    <row r="55" spans="13:18" x14ac:dyDescent="0.2">
      <c r="M55" s="15"/>
      <c r="N55" s="15"/>
      <c r="O55" s="15"/>
      <c r="P55" s="15"/>
      <c r="Q55" s="15"/>
      <c r="R55" s="15"/>
    </row>
    <row r="56" spans="13:18" x14ac:dyDescent="0.2">
      <c r="M56" s="15"/>
      <c r="N56" s="15"/>
      <c r="O56" s="15"/>
      <c r="P56" s="15"/>
      <c r="Q56" s="15"/>
      <c r="R56" s="15"/>
    </row>
    <row r="57" spans="13:18" x14ac:dyDescent="0.2">
      <c r="M57" s="15"/>
      <c r="N57" s="15"/>
      <c r="O57" s="15"/>
      <c r="P57" s="15"/>
      <c r="Q57" s="15"/>
      <c r="R57" s="15"/>
    </row>
    <row r="58" spans="13:18" x14ac:dyDescent="0.2">
      <c r="M58" s="15"/>
      <c r="N58" s="15"/>
      <c r="O58" s="15"/>
      <c r="P58" s="15"/>
      <c r="Q58" s="15"/>
      <c r="R58" s="15"/>
    </row>
    <row r="59" spans="13:18" x14ac:dyDescent="0.2">
      <c r="M59" s="15"/>
      <c r="N59" s="15"/>
      <c r="O59" s="15"/>
      <c r="P59" s="15"/>
      <c r="Q59" s="15"/>
      <c r="R59" s="15"/>
    </row>
    <row r="60" spans="13:18" x14ac:dyDescent="0.2">
      <c r="M60" s="15"/>
      <c r="N60" s="15"/>
      <c r="O60" s="15"/>
      <c r="P60" s="15"/>
      <c r="Q60" s="15"/>
      <c r="R60" s="15"/>
    </row>
    <row r="61" spans="13:18" x14ac:dyDescent="0.2">
      <c r="M61" s="15"/>
      <c r="N61" s="15"/>
      <c r="O61" s="15"/>
      <c r="P61" s="15"/>
      <c r="Q61" s="15"/>
      <c r="R61" s="15"/>
    </row>
    <row r="62" spans="13:18" x14ac:dyDescent="0.2">
      <c r="M62" s="15"/>
      <c r="N62" s="15"/>
      <c r="O62" s="15"/>
      <c r="P62" s="15"/>
      <c r="Q62" s="15"/>
      <c r="R62" s="15"/>
    </row>
    <row r="63" spans="13:18" x14ac:dyDescent="0.2">
      <c r="M63" s="15"/>
      <c r="N63" s="15"/>
      <c r="O63" s="15"/>
      <c r="P63" s="15"/>
      <c r="Q63" s="15"/>
      <c r="R63" s="15"/>
    </row>
    <row r="64" spans="13:18" x14ac:dyDescent="0.2">
      <c r="M64" s="15"/>
      <c r="N64" s="15"/>
      <c r="O64" s="15"/>
      <c r="P64" s="15"/>
      <c r="Q64" s="15"/>
      <c r="R64" s="15"/>
    </row>
    <row r="65" spans="13:18" x14ac:dyDescent="0.2">
      <c r="M65" s="15"/>
      <c r="N65" s="15"/>
      <c r="O65" s="15"/>
      <c r="P65" s="15"/>
      <c r="Q65" s="15"/>
      <c r="R65" s="15"/>
    </row>
    <row r="66" spans="13:18" x14ac:dyDescent="0.2">
      <c r="M66" s="15"/>
      <c r="N66" s="15"/>
      <c r="O66" s="15"/>
      <c r="P66" s="15"/>
      <c r="Q66" s="15"/>
      <c r="R66" s="15"/>
    </row>
    <row r="67" spans="13:18" x14ac:dyDescent="0.2">
      <c r="M67" s="15"/>
      <c r="N67" s="15"/>
      <c r="O67" s="15"/>
      <c r="P67" s="15"/>
      <c r="Q67" s="15"/>
      <c r="R67" s="15"/>
    </row>
    <row r="68" spans="13:18" x14ac:dyDescent="0.2">
      <c r="M68" s="15"/>
      <c r="N68" s="15"/>
      <c r="O68" s="15"/>
      <c r="P68" s="15"/>
      <c r="Q68" s="15"/>
      <c r="R68" s="15"/>
    </row>
    <row r="69" spans="13:18" x14ac:dyDescent="0.2">
      <c r="M69" s="15"/>
      <c r="N69" s="15"/>
      <c r="O69" s="15"/>
      <c r="P69" s="15"/>
      <c r="Q69" s="15"/>
      <c r="R69" s="15"/>
    </row>
    <row r="70" spans="13:18" x14ac:dyDescent="0.2">
      <c r="M70" s="15"/>
      <c r="N70" s="15"/>
      <c r="O70" s="15"/>
      <c r="P70" s="15"/>
      <c r="Q70" s="15"/>
      <c r="R70" s="15"/>
    </row>
    <row r="71" spans="13:18" x14ac:dyDescent="0.2">
      <c r="M71" s="15"/>
      <c r="N71" s="15"/>
      <c r="O71" s="15"/>
      <c r="P71" s="15"/>
      <c r="Q71" s="15"/>
      <c r="R71" s="15"/>
    </row>
    <row r="72" spans="13:18" x14ac:dyDescent="0.2">
      <c r="M72" s="15"/>
      <c r="N72" s="15"/>
      <c r="O72" s="15"/>
      <c r="P72" s="15"/>
      <c r="Q72" s="15"/>
      <c r="R72" s="15"/>
    </row>
    <row r="73" spans="13:18" x14ac:dyDescent="0.2">
      <c r="M73" s="15"/>
      <c r="N73" s="15"/>
      <c r="O73" s="15"/>
      <c r="P73" s="15"/>
      <c r="Q73" s="15"/>
      <c r="R73" s="15"/>
    </row>
    <row r="74" spans="13:18" x14ac:dyDescent="0.2">
      <c r="M74" s="15"/>
      <c r="N74" s="15"/>
      <c r="O74" s="15"/>
      <c r="P74" s="15"/>
      <c r="Q74" s="15"/>
      <c r="R74" s="15"/>
    </row>
    <row r="75" spans="13:18" x14ac:dyDescent="0.2">
      <c r="M75" s="15"/>
      <c r="N75" s="15"/>
      <c r="O75" s="15"/>
      <c r="P75" s="15"/>
      <c r="Q75" s="15"/>
      <c r="R75" s="15"/>
    </row>
    <row r="76" spans="13:18" x14ac:dyDescent="0.2">
      <c r="M76" s="15"/>
      <c r="N76" s="15"/>
      <c r="O76" s="15"/>
      <c r="P76" s="15"/>
      <c r="Q76" s="15"/>
      <c r="R76" s="15"/>
    </row>
    <row r="77" spans="13:18" x14ac:dyDescent="0.2">
      <c r="M77" s="15"/>
      <c r="N77" s="15"/>
      <c r="O77" s="15"/>
      <c r="P77" s="15"/>
      <c r="Q77" s="15"/>
      <c r="R77" s="15"/>
    </row>
  </sheetData>
  <phoneticPr fontId="2" type="noConversion"/>
  <printOptions horizontalCentered="1"/>
  <pageMargins left="0.25" right="0.25" top="0.75" bottom="0.75" header="0.3" footer="0.2"/>
  <pageSetup scale="89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S41"/>
  <sheetViews>
    <sheetView zoomScale="70" zoomScaleNormal="70" workbookViewId="0">
      <pane xSplit="2" ySplit="8" topLeftCell="C9" activePane="bottomRight" state="frozen"/>
      <selection activeCell="D39" sqref="D39"/>
      <selection pane="topRight" activeCell="D39" sqref="D39"/>
      <selection pane="bottomLeft" activeCell="D39" sqref="D39"/>
      <selection pane="bottomRight" activeCell="I7" sqref="I7"/>
    </sheetView>
  </sheetViews>
  <sheetFormatPr defaultRowHeight="15" x14ac:dyDescent="0.2"/>
  <cols>
    <col min="1" max="1" width="1.85546875" style="1" customWidth="1"/>
    <col min="2" max="2" width="14.140625" style="1" customWidth="1"/>
    <col min="3" max="5" width="18.85546875" style="1" customWidth="1"/>
    <col min="6" max="7" width="19.85546875" style="1" customWidth="1"/>
    <col min="8" max="8" width="18.85546875" style="36" customWidth="1"/>
    <col min="9" max="9" width="23.140625" style="1" customWidth="1"/>
    <col min="10" max="10" width="2.28515625" style="1" customWidth="1"/>
    <col min="11" max="16384" width="9.140625" style="1"/>
  </cols>
  <sheetData>
    <row r="1" spans="2:19" ht="15.75" x14ac:dyDescent="0.25">
      <c r="B1" s="6" t="str">
        <f>Total!B1</f>
        <v>Appendix C</v>
      </c>
      <c r="C1" s="6"/>
      <c r="D1" s="6"/>
      <c r="E1" s="6"/>
      <c r="F1" s="6"/>
      <c r="G1" s="6"/>
      <c r="H1" s="34"/>
      <c r="I1" s="6"/>
    </row>
    <row r="2" spans="2:19" ht="8.25" customHeight="1" x14ac:dyDescent="0.25">
      <c r="B2" s="6"/>
      <c r="C2" s="6"/>
      <c r="D2" s="6"/>
      <c r="E2" s="6"/>
      <c r="F2" s="6"/>
      <c r="G2" s="6"/>
      <c r="H2" s="34"/>
      <c r="I2" s="6"/>
    </row>
    <row r="3" spans="2:19" ht="15.75" x14ac:dyDescent="0.25">
      <c r="B3" s="6" t="str">
        <f>Total!B3</f>
        <v>Utah Quarterly Compliance Filing</v>
      </c>
      <c r="C3" s="6"/>
      <c r="D3" s="6"/>
      <c r="E3" s="6"/>
      <c r="F3" s="6"/>
      <c r="G3" s="6"/>
      <c r="H3" s="34"/>
      <c r="I3" s="6"/>
    </row>
    <row r="4" spans="2:19" ht="15.75" x14ac:dyDescent="0.25">
      <c r="B4" s="6" t="str">
        <f>Capacity!$B$4</f>
        <v>Step Study between 2014.Q3 and 2014.Q2 Compliance Filing</v>
      </c>
      <c r="C4" s="6"/>
      <c r="D4" s="6"/>
      <c r="E4" s="6"/>
      <c r="F4" s="6"/>
      <c r="G4" s="6"/>
      <c r="H4" s="34"/>
      <c r="I4" s="6"/>
    </row>
    <row r="5" spans="2:19" ht="15.75" x14ac:dyDescent="0.25">
      <c r="B5" s="6" t="s">
        <v>8</v>
      </c>
      <c r="C5" s="6"/>
      <c r="D5" s="6"/>
      <c r="E5" s="6"/>
      <c r="F5" s="6"/>
      <c r="G5" s="6"/>
      <c r="H5" s="34"/>
      <c r="I5" s="6"/>
    </row>
    <row r="6" spans="2:19" ht="15.75" x14ac:dyDescent="0.25">
      <c r="B6" s="6"/>
      <c r="C6" s="6"/>
      <c r="D6" s="6"/>
      <c r="E6" s="6"/>
      <c r="F6" s="6"/>
      <c r="G6" s="6"/>
      <c r="H6" s="34"/>
      <c r="I6" s="6"/>
    </row>
    <row r="7" spans="2:19" ht="15.75" x14ac:dyDescent="0.25">
      <c r="B7" s="7"/>
      <c r="C7" s="9" t="str">
        <f>Capacity!I8</f>
        <v>2014.Q2</v>
      </c>
      <c r="D7" s="9" t="s">
        <v>29</v>
      </c>
      <c r="E7" s="9" t="s">
        <v>27</v>
      </c>
      <c r="F7" s="16" t="s">
        <v>21</v>
      </c>
      <c r="G7" s="16" t="s">
        <v>30</v>
      </c>
      <c r="H7" s="57" t="s">
        <v>23</v>
      </c>
      <c r="I7" s="16" t="s">
        <v>36</v>
      </c>
    </row>
    <row r="8" spans="2:19" ht="15.75" x14ac:dyDescent="0.25">
      <c r="B8" s="8" t="s">
        <v>0</v>
      </c>
      <c r="C8" s="2" t="s">
        <v>32</v>
      </c>
      <c r="D8" s="2" t="s">
        <v>18</v>
      </c>
      <c r="E8" s="2" t="s">
        <v>28</v>
      </c>
      <c r="F8" s="17" t="s">
        <v>22</v>
      </c>
      <c r="G8" s="17" t="s">
        <v>19</v>
      </c>
      <c r="H8" s="58" t="s">
        <v>20</v>
      </c>
      <c r="I8" s="17" t="s">
        <v>33</v>
      </c>
    </row>
    <row r="9" spans="2:19" ht="4.5" customHeight="1" x14ac:dyDescent="0.2"/>
    <row r="10" spans="2:19" ht="15.75" x14ac:dyDescent="0.25">
      <c r="B10" s="3">
        <f>Total!B10</f>
        <v>2016</v>
      </c>
      <c r="C10" s="55">
        <v>26.85</v>
      </c>
      <c r="D10" s="55">
        <v>27.07</v>
      </c>
      <c r="E10" s="55">
        <v>27.94</v>
      </c>
      <c r="F10" s="55">
        <v>28.31</v>
      </c>
      <c r="G10" s="55">
        <v>27.66</v>
      </c>
      <c r="H10" s="55">
        <v>26.68</v>
      </c>
      <c r="I10" s="55">
        <v>26.92</v>
      </c>
      <c r="L10" s="15"/>
      <c r="M10" s="15"/>
      <c r="N10" s="15"/>
      <c r="O10" s="15"/>
      <c r="P10" s="15"/>
      <c r="Q10" s="15"/>
      <c r="R10" s="15"/>
      <c r="S10" s="15"/>
    </row>
    <row r="11" spans="2:19" ht="15.75" x14ac:dyDescent="0.25">
      <c r="B11" s="3">
        <f t="shared" ref="B11:B29" si="0">B10+1</f>
        <v>2017</v>
      </c>
      <c r="C11" s="55">
        <v>26.79</v>
      </c>
      <c r="D11" s="55">
        <v>26.87</v>
      </c>
      <c r="E11" s="55">
        <v>27.33</v>
      </c>
      <c r="F11" s="55">
        <v>27.31</v>
      </c>
      <c r="G11" s="55">
        <v>25.59</v>
      </c>
      <c r="H11" s="55">
        <v>24.49</v>
      </c>
      <c r="I11" s="55">
        <v>25.58</v>
      </c>
      <c r="L11" s="15"/>
      <c r="M11" s="15"/>
      <c r="N11" s="15"/>
      <c r="O11" s="15"/>
      <c r="P11" s="15"/>
      <c r="Q11" s="15"/>
      <c r="R11" s="15"/>
      <c r="S11" s="15"/>
    </row>
    <row r="12" spans="2:19" ht="15.75" x14ac:dyDescent="0.25">
      <c r="B12" s="3">
        <f t="shared" si="0"/>
        <v>2018</v>
      </c>
      <c r="C12" s="55">
        <v>28.28</v>
      </c>
      <c r="D12" s="55">
        <v>28.35</v>
      </c>
      <c r="E12" s="55">
        <v>28.4</v>
      </c>
      <c r="F12" s="55">
        <v>29.88</v>
      </c>
      <c r="G12" s="55">
        <v>27.86</v>
      </c>
      <c r="H12" s="55">
        <v>26.52</v>
      </c>
      <c r="I12" s="55">
        <v>26.5</v>
      </c>
      <c r="L12" s="15"/>
      <c r="M12" s="15"/>
      <c r="N12" s="15"/>
      <c r="O12" s="15"/>
      <c r="P12" s="15"/>
      <c r="Q12" s="15"/>
      <c r="R12" s="15"/>
      <c r="S12" s="15"/>
    </row>
    <row r="13" spans="2:19" ht="15.75" x14ac:dyDescent="0.25">
      <c r="B13" s="3">
        <f t="shared" si="0"/>
        <v>2019</v>
      </c>
      <c r="C13" s="55">
        <v>29.4</v>
      </c>
      <c r="D13" s="55">
        <v>29.36</v>
      </c>
      <c r="E13" s="55">
        <v>29.21</v>
      </c>
      <c r="F13" s="55">
        <v>31.91</v>
      </c>
      <c r="G13" s="55">
        <v>29.48</v>
      </c>
      <c r="H13" s="55">
        <v>27.8</v>
      </c>
      <c r="I13" s="55">
        <v>27.51</v>
      </c>
      <c r="L13" s="15"/>
      <c r="M13" s="15"/>
      <c r="N13" s="15"/>
      <c r="O13" s="15"/>
      <c r="P13" s="15"/>
      <c r="Q13" s="15"/>
      <c r="R13" s="15"/>
      <c r="S13" s="15"/>
    </row>
    <row r="14" spans="2:19" ht="15.75" x14ac:dyDescent="0.25">
      <c r="B14" s="3">
        <f t="shared" si="0"/>
        <v>2020</v>
      </c>
      <c r="C14" s="55">
        <v>30.68</v>
      </c>
      <c r="D14" s="55">
        <v>30.64</v>
      </c>
      <c r="E14" s="55">
        <v>29.21</v>
      </c>
      <c r="F14" s="55">
        <v>31.23</v>
      </c>
      <c r="G14" s="55">
        <v>30.63</v>
      </c>
      <c r="H14" s="55">
        <v>28.75</v>
      </c>
      <c r="I14" s="55">
        <v>28.12</v>
      </c>
      <c r="L14" s="15"/>
      <c r="M14" s="15"/>
      <c r="N14" s="15"/>
      <c r="O14" s="15"/>
      <c r="P14" s="15"/>
      <c r="Q14" s="15"/>
      <c r="R14" s="15"/>
      <c r="S14" s="15"/>
    </row>
    <row r="15" spans="2:19" ht="15.75" x14ac:dyDescent="0.25">
      <c r="B15" s="3">
        <f t="shared" si="0"/>
        <v>2021</v>
      </c>
      <c r="C15" s="55">
        <v>32.369999999999997</v>
      </c>
      <c r="D15" s="55">
        <v>31.85</v>
      </c>
      <c r="E15" s="55">
        <v>31.45</v>
      </c>
      <c r="F15" s="55">
        <v>33.47</v>
      </c>
      <c r="G15" s="55">
        <v>34.83</v>
      </c>
      <c r="H15" s="55">
        <v>32.07</v>
      </c>
      <c r="I15" s="55">
        <v>31.78</v>
      </c>
      <c r="L15" s="15"/>
      <c r="M15" s="15"/>
      <c r="N15" s="15"/>
      <c r="O15" s="15"/>
      <c r="P15" s="15"/>
      <c r="Q15" s="15"/>
      <c r="R15" s="15"/>
      <c r="S15" s="15"/>
    </row>
    <row r="16" spans="2:19" ht="15.75" x14ac:dyDescent="0.25">
      <c r="B16" s="3">
        <f t="shared" si="0"/>
        <v>2022</v>
      </c>
      <c r="C16" s="55">
        <v>35.6</v>
      </c>
      <c r="D16" s="55">
        <v>35.619999999999997</v>
      </c>
      <c r="E16" s="55">
        <v>34.07</v>
      </c>
      <c r="F16" s="55">
        <v>36.130000000000003</v>
      </c>
      <c r="G16" s="55">
        <v>40.270000000000003</v>
      </c>
      <c r="H16" s="55">
        <v>36.950000000000003</v>
      </c>
      <c r="I16" s="55">
        <v>36.58</v>
      </c>
      <c r="L16" s="15"/>
      <c r="M16" s="15"/>
      <c r="N16" s="15"/>
      <c r="O16" s="15"/>
      <c r="P16" s="15"/>
      <c r="Q16" s="15"/>
      <c r="R16" s="15"/>
      <c r="S16" s="15"/>
    </row>
    <row r="17" spans="2:19" ht="15.75" x14ac:dyDescent="0.25">
      <c r="B17" s="3">
        <f t="shared" si="0"/>
        <v>2023</v>
      </c>
      <c r="C17" s="55">
        <v>35.979999999999997</v>
      </c>
      <c r="D17" s="55">
        <v>36.21</v>
      </c>
      <c r="E17" s="55">
        <v>34.74</v>
      </c>
      <c r="F17" s="55">
        <v>37.119999999999997</v>
      </c>
      <c r="G17" s="55">
        <v>43.04</v>
      </c>
      <c r="H17" s="55">
        <v>38.83</v>
      </c>
      <c r="I17" s="55">
        <v>38.78</v>
      </c>
      <c r="L17" s="15"/>
      <c r="M17" s="15"/>
      <c r="N17" s="15"/>
      <c r="O17" s="15"/>
      <c r="P17" s="15"/>
      <c r="Q17" s="15"/>
      <c r="R17" s="15"/>
      <c r="S17" s="15"/>
    </row>
    <row r="18" spans="2:19" ht="15.75" x14ac:dyDescent="0.25">
      <c r="B18" s="3">
        <f t="shared" si="0"/>
        <v>2024</v>
      </c>
      <c r="C18" s="55">
        <v>36.06</v>
      </c>
      <c r="D18" s="55">
        <v>35.76</v>
      </c>
      <c r="E18" s="55">
        <v>36.25</v>
      </c>
      <c r="F18" s="55">
        <v>38.47</v>
      </c>
      <c r="G18" s="55">
        <v>42.58</v>
      </c>
      <c r="H18" s="55">
        <v>39.619999999999997</v>
      </c>
      <c r="I18" s="55">
        <v>39.450000000000003</v>
      </c>
      <c r="L18" s="15"/>
      <c r="M18" s="15"/>
      <c r="N18" s="15"/>
      <c r="O18" s="15"/>
      <c r="P18" s="15"/>
      <c r="Q18" s="15"/>
      <c r="R18" s="15"/>
      <c r="S18" s="15"/>
    </row>
    <row r="19" spans="2:19" ht="15.75" x14ac:dyDescent="0.25">
      <c r="B19" s="3">
        <f t="shared" si="0"/>
        <v>2025</v>
      </c>
      <c r="C19" s="55">
        <v>37.299999999999997</v>
      </c>
      <c r="D19" s="55">
        <v>37.159999999999997</v>
      </c>
      <c r="E19" s="55">
        <v>36.08</v>
      </c>
      <c r="F19" s="55">
        <v>38.17</v>
      </c>
      <c r="G19" s="55">
        <v>42.15</v>
      </c>
      <c r="H19" s="55">
        <v>38</v>
      </c>
      <c r="I19" s="55">
        <v>37.72</v>
      </c>
      <c r="L19" s="15"/>
      <c r="M19" s="15"/>
      <c r="N19" s="15"/>
      <c r="O19" s="15"/>
      <c r="P19" s="15"/>
      <c r="Q19" s="15"/>
      <c r="R19" s="15"/>
      <c r="S19" s="15"/>
    </row>
    <row r="20" spans="2:19" ht="15.75" x14ac:dyDescent="0.25">
      <c r="B20" s="3">
        <f t="shared" si="0"/>
        <v>2026</v>
      </c>
      <c r="C20" s="55">
        <v>39.15</v>
      </c>
      <c r="D20" s="55">
        <v>39.14</v>
      </c>
      <c r="E20" s="55">
        <v>37.92</v>
      </c>
      <c r="F20" s="55">
        <v>40.21</v>
      </c>
      <c r="G20" s="55">
        <v>43.16</v>
      </c>
      <c r="H20" s="55">
        <v>40.020000000000003</v>
      </c>
      <c r="I20" s="55">
        <v>40.76</v>
      </c>
      <c r="L20" s="15"/>
      <c r="M20" s="15"/>
      <c r="N20" s="15"/>
      <c r="O20" s="15"/>
      <c r="P20" s="15"/>
      <c r="Q20" s="15"/>
      <c r="R20" s="15"/>
      <c r="S20" s="15"/>
    </row>
    <row r="21" spans="2:19" ht="15.75" x14ac:dyDescent="0.25">
      <c r="B21" s="3">
        <f t="shared" si="0"/>
        <v>2027</v>
      </c>
      <c r="C21" s="55">
        <v>40.9</v>
      </c>
      <c r="D21" s="55">
        <v>40.729999999999997</v>
      </c>
      <c r="E21" s="55">
        <v>39.869999999999997</v>
      </c>
      <c r="F21" s="55">
        <v>42.15</v>
      </c>
      <c r="G21" s="55">
        <v>43.99</v>
      </c>
      <c r="H21" s="55">
        <v>40.74</v>
      </c>
      <c r="I21" s="55">
        <v>41.53</v>
      </c>
      <c r="L21" s="15"/>
      <c r="M21" s="15"/>
      <c r="N21" s="15"/>
      <c r="O21" s="15"/>
      <c r="P21" s="15"/>
      <c r="Q21" s="15"/>
      <c r="R21" s="15"/>
      <c r="S21" s="15"/>
    </row>
    <row r="22" spans="2:19" ht="15.75" x14ac:dyDescent="0.25">
      <c r="B22" s="3">
        <f t="shared" si="0"/>
        <v>2028</v>
      </c>
      <c r="C22" s="55">
        <v>47.95</v>
      </c>
      <c r="D22" s="55">
        <v>48.22</v>
      </c>
      <c r="E22" s="55">
        <v>47.37</v>
      </c>
      <c r="F22" s="55">
        <v>50.4</v>
      </c>
      <c r="G22" s="55">
        <v>53.66</v>
      </c>
      <c r="H22" s="55">
        <v>50.5</v>
      </c>
      <c r="I22" s="55">
        <v>49.99</v>
      </c>
      <c r="L22" s="15"/>
      <c r="M22" s="15"/>
      <c r="N22" s="15"/>
      <c r="O22" s="15"/>
      <c r="P22" s="15"/>
      <c r="Q22" s="15"/>
      <c r="R22" s="15"/>
      <c r="S22" s="15"/>
    </row>
    <row r="23" spans="2:19" ht="15.75" x14ac:dyDescent="0.25">
      <c r="B23" s="3">
        <f t="shared" si="0"/>
        <v>2029</v>
      </c>
      <c r="C23" s="55">
        <v>50.93</v>
      </c>
      <c r="D23" s="55">
        <v>51.13</v>
      </c>
      <c r="E23" s="55">
        <v>50.23</v>
      </c>
      <c r="F23" s="55">
        <v>53.14</v>
      </c>
      <c r="G23" s="55">
        <v>56.62</v>
      </c>
      <c r="H23" s="55">
        <v>54.08</v>
      </c>
      <c r="I23" s="55">
        <v>53.64</v>
      </c>
      <c r="L23" s="15"/>
      <c r="M23" s="15"/>
      <c r="N23" s="15"/>
      <c r="O23" s="15"/>
      <c r="P23" s="15"/>
      <c r="Q23" s="15"/>
      <c r="R23" s="15"/>
      <c r="S23" s="15"/>
    </row>
    <row r="24" spans="2:19" ht="15.75" x14ac:dyDescent="0.25">
      <c r="B24" s="3">
        <f t="shared" si="0"/>
        <v>2030</v>
      </c>
      <c r="C24" s="55">
        <v>45.84</v>
      </c>
      <c r="D24" s="55">
        <v>46.14</v>
      </c>
      <c r="E24" s="55">
        <v>45.63</v>
      </c>
      <c r="F24" s="55">
        <v>46.31</v>
      </c>
      <c r="G24" s="55">
        <v>47.95</v>
      </c>
      <c r="H24" s="55">
        <v>44.22</v>
      </c>
      <c r="I24" s="55">
        <v>43.68</v>
      </c>
      <c r="L24" s="15"/>
      <c r="M24" s="15"/>
      <c r="N24" s="15"/>
      <c r="O24" s="15"/>
      <c r="P24" s="15"/>
      <c r="Q24" s="15"/>
      <c r="R24" s="15"/>
      <c r="S24" s="15"/>
    </row>
    <row r="25" spans="2:19" ht="15.75" x14ac:dyDescent="0.25">
      <c r="B25" s="3">
        <f t="shared" si="0"/>
        <v>2031</v>
      </c>
      <c r="C25" s="55">
        <v>47.23</v>
      </c>
      <c r="D25" s="55">
        <v>47.5</v>
      </c>
      <c r="E25" s="55">
        <v>46.79</v>
      </c>
      <c r="F25" s="55">
        <v>47.62</v>
      </c>
      <c r="G25" s="55">
        <v>49.37</v>
      </c>
      <c r="H25" s="55">
        <v>45.47</v>
      </c>
      <c r="I25" s="55">
        <v>44.97</v>
      </c>
      <c r="L25" s="15"/>
      <c r="M25" s="15"/>
      <c r="N25" s="15"/>
      <c r="O25" s="15"/>
      <c r="P25" s="15"/>
      <c r="Q25" s="15"/>
      <c r="R25" s="15"/>
      <c r="S25" s="15"/>
    </row>
    <row r="26" spans="2:19" ht="15.75" x14ac:dyDescent="0.25">
      <c r="B26" s="3">
        <f t="shared" si="0"/>
        <v>2032</v>
      </c>
      <c r="C26" s="55">
        <v>48.49</v>
      </c>
      <c r="D26" s="55">
        <v>48.79</v>
      </c>
      <c r="E26" s="55">
        <v>48.28</v>
      </c>
      <c r="F26" s="55">
        <v>48.87</v>
      </c>
      <c r="G26" s="55">
        <v>50.61</v>
      </c>
      <c r="H26" s="55">
        <v>46.47</v>
      </c>
      <c r="I26" s="55">
        <v>46.02</v>
      </c>
      <c r="L26" s="15"/>
      <c r="M26" s="15"/>
      <c r="N26" s="15"/>
      <c r="O26" s="15"/>
      <c r="P26" s="15"/>
      <c r="Q26" s="15"/>
      <c r="R26" s="15"/>
      <c r="S26" s="15"/>
    </row>
    <row r="27" spans="2:19" ht="15.75" x14ac:dyDescent="0.25">
      <c r="B27" s="3">
        <f t="shared" si="0"/>
        <v>2033</v>
      </c>
      <c r="C27" s="55">
        <v>49.43</v>
      </c>
      <c r="D27" s="55">
        <v>49.7</v>
      </c>
      <c r="E27" s="55">
        <v>49.28</v>
      </c>
      <c r="F27" s="55">
        <v>49.95</v>
      </c>
      <c r="G27" s="55">
        <v>51.82</v>
      </c>
      <c r="H27" s="55">
        <v>47.73</v>
      </c>
      <c r="I27" s="55">
        <v>47.18</v>
      </c>
      <c r="L27" s="15"/>
      <c r="M27" s="15"/>
      <c r="N27" s="15"/>
      <c r="O27" s="15"/>
      <c r="P27" s="15"/>
      <c r="Q27" s="15"/>
      <c r="R27" s="15"/>
      <c r="S27" s="15"/>
    </row>
    <row r="28" spans="2:19" ht="15.75" x14ac:dyDescent="0.25">
      <c r="B28" s="3">
        <f t="shared" si="0"/>
        <v>2034</v>
      </c>
      <c r="C28" s="55">
        <v>50.73</v>
      </c>
      <c r="D28" s="55">
        <v>51.01</v>
      </c>
      <c r="E28" s="55">
        <v>50.55</v>
      </c>
      <c r="F28" s="55">
        <v>51.13</v>
      </c>
      <c r="G28" s="55">
        <v>53.14</v>
      </c>
      <c r="H28" s="55">
        <v>49.08</v>
      </c>
      <c r="I28" s="55">
        <v>48.42</v>
      </c>
      <c r="L28" s="15"/>
      <c r="M28" s="15"/>
      <c r="N28" s="15"/>
      <c r="O28" s="15"/>
      <c r="P28" s="15"/>
      <c r="Q28" s="15"/>
      <c r="R28" s="15"/>
      <c r="S28" s="15"/>
    </row>
    <row r="29" spans="2:19" ht="15.75" x14ac:dyDescent="0.25">
      <c r="B29" s="3">
        <f t="shared" si="0"/>
        <v>2035</v>
      </c>
      <c r="C29" s="54">
        <f t="shared" ref="C29:G29" si="1">ROUND(C28*(C28/C25)^(1/3),2)</f>
        <v>51.95</v>
      </c>
      <c r="D29" s="54">
        <f t="shared" si="1"/>
        <v>52.24</v>
      </c>
      <c r="E29" s="54">
        <f t="shared" si="1"/>
        <v>51.87</v>
      </c>
      <c r="F29" s="54">
        <f t="shared" si="1"/>
        <v>52.36</v>
      </c>
      <c r="G29" s="54">
        <f t="shared" si="1"/>
        <v>54.46</v>
      </c>
      <c r="H29" s="55">
        <v>50.13</v>
      </c>
      <c r="I29" s="55">
        <v>49.48</v>
      </c>
      <c r="L29" s="15"/>
      <c r="M29" s="15"/>
      <c r="N29" s="15"/>
      <c r="O29" s="15"/>
      <c r="P29" s="15"/>
      <c r="Q29" s="15"/>
      <c r="R29" s="15"/>
      <c r="S29" s="15"/>
    </row>
    <row r="30" spans="2:19" x14ac:dyDescent="0.2">
      <c r="C30" s="52"/>
      <c r="D30" s="52"/>
      <c r="E30" s="52"/>
      <c r="F30" s="52"/>
      <c r="G30" s="52"/>
      <c r="H30" s="52"/>
      <c r="I30" s="52"/>
    </row>
    <row r="31" spans="2:19" x14ac:dyDescent="0.2">
      <c r="B31" s="4" t="str">
        <f>"Nominal Levelized Payment at "&amp;TEXT($B$41,"0.000%")&amp;" Discount Rate (3)"</f>
        <v>Nominal Levelized Payment at 6.882% Discount Rate (3)</v>
      </c>
      <c r="C31" s="52"/>
      <c r="D31" s="52"/>
      <c r="E31" s="52"/>
      <c r="F31" s="52"/>
      <c r="G31" s="52"/>
      <c r="H31" s="52"/>
      <c r="I31" s="52"/>
    </row>
    <row r="32" spans="2:19" x14ac:dyDescent="0.2">
      <c r="B32" s="11" t="str">
        <f>B10&amp;" - "&amp;B29</f>
        <v>2016 - 2035</v>
      </c>
      <c r="C32" s="56">
        <f>ROUND(PMT($B$41,COUNT(C10:C29),-NPV($B$41,C10:C29)),2)</f>
        <v>36.450000000000003</v>
      </c>
      <c r="D32" s="56">
        <f t="shared" ref="D32:I32" si="2">ROUND(PMT($B$41,COUNT(D10:D29),-NPV($B$41,D10:D29)),2)</f>
        <v>36.49</v>
      </c>
      <c r="E32" s="56">
        <f t="shared" si="2"/>
        <v>36.03</v>
      </c>
      <c r="F32" s="56">
        <f t="shared" si="2"/>
        <v>37.64</v>
      </c>
      <c r="G32" s="56">
        <f t="shared" si="2"/>
        <v>38.92</v>
      </c>
      <c r="H32" s="56">
        <f t="shared" si="2"/>
        <v>36.24</v>
      </c>
      <c r="I32" s="56">
        <f t="shared" si="2"/>
        <v>36.15</v>
      </c>
    </row>
    <row r="33" spans="2:9" x14ac:dyDescent="0.2">
      <c r="B33" s="11"/>
      <c r="C33" s="5"/>
      <c r="D33" s="5"/>
      <c r="E33" s="5"/>
      <c r="F33" s="5"/>
      <c r="G33" s="5"/>
      <c r="H33" s="43"/>
      <c r="I33" s="5"/>
    </row>
    <row r="34" spans="2:9" x14ac:dyDescent="0.2">
      <c r="D34" s="13"/>
      <c r="E34" s="13"/>
    </row>
    <row r="35" spans="2:9" x14ac:dyDescent="0.2">
      <c r="B35" s="11" t="str">
        <f>Total!B34</f>
        <v>(1)   Studies are sequential.  The order of the studies would effect the price impact.</v>
      </c>
    </row>
    <row r="36" spans="2:9" x14ac:dyDescent="0.2">
      <c r="B36" s="11" t="str">
        <f>Total!B35</f>
        <v>(2)   Official Forward Price Curve Dated September 2014</v>
      </c>
    </row>
    <row r="37" spans="2:9" x14ac:dyDescent="0.2">
      <c r="B37" s="11" t="str">
        <f>Total!B36</f>
        <v>(3)   Discount Rate - 2013 IRP Page 164</v>
      </c>
    </row>
    <row r="38" spans="2:9" x14ac:dyDescent="0.2">
      <c r="B38" s="1" t="s">
        <v>16</v>
      </c>
    </row>
    <row r="40" spans="2:9" hidden="1" x14ac:dyDescent="0.2">
      <c r="B40" s="32" t="s">
        <v>17</v>
      </c>
    </row>
    <row r="41" spans="2:9" hidden="1" x14ac:dyDescent="0.2">
      <c r="B41" s="31">
        <f>Discount_Rate</f>
        <v>6.8820000000000006E-2</v>
      </c>
    </row>
  </sheetData>
  <phoneticPr fontId="2" type="noConversion"/>
  <printOptions horizontalCentered="1"/>
  <pageMargins left="0.25" right="0.25" top="0.75" bottom="0.75" header="0.3" footer="0.2"/>
  <pageSetup scale="72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J41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9" sqref="D19"/>
    </sheetView>
  </sheetViews>
  <sheetFormatPr defaultRowHeight="15" x14ac:dyDescent="0.2"/>
  <cols>
    <col min="1" max="1" width="1.85546875" style="36" customWidth="1"/>
    <col min="2" max="2" width="13.85546875" style="36" customWidth="1"/>
    <col min="3" max="4" width="21.85546875" style="36" customWidth="1"/>
    <col min="5" max="5" width="1.140625" style="36" customWidth="1"/>
    <col min="6" max="7" width="21.85546875" style="36" customWidth="1"/>
    <col min="8" max="8" width="1.5703125" style="36" customWidth="1"/>
    <col min="9" max="9" width="0" style="36" hidden="1" customWidth="1"/>
    <col min="10" max="10" width="9.140625" style="36" hidden="1" customWidth="1"/>
    <col min="11" max="16384" width="9.140625" style="36"/>
  </cols>
  <sheetData>
    <row r="1" spans="2:10" ht="15.75" x14ac:dyDescent="0.25">
      <c r="B1" s="34" t="str">
        <f>Total!B1</f>
        <v>Appendix C</v>
      </c>
      <c r="C1" s="34"/>
      <c r="D1" s="34"/>
      <c r="E1" s="35"/>
      <c r="F1" s="34"/>
      <c r="G1" s="34"/>
      <c r="H1" s="35"/>
    </row>
    <row r="2" spans="2:10" ht="8.25" customHeight="1" x14ac:dyDescent="0.25">
      <c r="B2" s="34"/>
      <c r="C2" s="34"/>
      <c r="D2" s="34"/>
      <c r="E2" s="35"/>
      <c r="F2" s="34"/>
      <c r="G2" s="34"/>
      <c r="H2" s="35"/>
    </row>
    <row r="3" spans="2:10" ht="15.75" x14ac:dyDescent="0.25">
      <c r="B3" s="34" t="str">
        <f>Total!B3</f>
        <v>Utah Quarterly Compliance Filing</v>
      </c>
      <c r="C3" s="34"/>
      <c r="D3" s="34"/>
      <c r="E3" s="35"/>
      <c r="F3" s="34"/>
      <c r="G3" s="34"/>
      <c r="H3" s="35"/>
    </row>
    <row r="4" spans="2:10" ht="15.75" x14ac:dyDescent="0.25">
      <c r="B4" s="34" t="str">
        <f>"Step Study between "&amp;J8&amp;" and "&amp;I8&amp;" Compliance Filing"</f>
        <v>Step Study between 2014.Q3 and 2014.Q2 Compliance Filing</v>
      </c>
      <c r="C4" s="34"/>
      <c r="D4" s="34"/>
      <c r="E4" s="35"/>
      <c r="F4" s="34"/>
      <c r="G4" s="34"/>
      <c r="H4" s="35"/>
    </row>
    <row r="5" spans="2:10" ht="15.75" x14ac:dyDescent="0.25">
      <c r="B5" s="34" t="s">
        <v>10</v>
      </c>
      <c r="C5" s="34"/>
      <c r="D5" s="34"/>
      <c r="E5" s="35"/>
      <c r="F5" s="34"/>
      <c r="G5" s="34"/>
      <c r="H5" s="35"/>
    </row>
    <row r="6" spans="2:10" ht="15.75" x14ac:dyDescent="0.25">
      <c r="B6" s="34"/>
      <c r="C6" s="34"/>
      <c r="D6" s="34"/>
      <c r="F6" s="34"/>
      <c r="G6" s="34"/>
    </row>
    <row r="7" spans="2:10" ht="15.75" x14ac:dyDescent="0.25">
      <c r="B7" s="37"/>
      <c r="C7" s="38" t="s">
        <v>2</v>
      </c>
      <c r="D7" s="53"/>
      <c r="F7" s="38" t="s">
        <v>9</v>
      </c>
      <c r="G7" s="53"/>
    </row>
    <row r="8" spans="2:10" ht="15.75" x14ac:dyDescent="0.25">
      <c r="B8" s="39" t="s">
        <v>0</v>
      </c>
      <c r="C8" s="40" t="str">
        <f>$I$8&amp;" (3)"</f>
        <v>2014.Q2 (3)</v>
      </c>
      <c r="D8" s="40" t="str">
        <f>$J$8&amp;" (4)"</f>
        <v>2014.Q3 (4)</v>
      </c>
      <c r="F8" s="40" t="str">
        <f>C8</f>
        <v>2014.Q2 (3)</v>
      </c>
      <c r="G8" s="40" t="str">
        <f>D8</f>
        <v>2014.Q3 (4)</v>
      </c>
      <c r="I8" s="40" t="s">
        <v>26</v>
      </c>
      <c r="J8" s="40" t="s">
        <v>31</v>
      </c>
    </row>
    <row r="9" spans="2:10" ht="4.5" customHeight="1" x14ac:dyDescent="0.2"/>
    <row r="10" spans="2:10" ht="15.75" x14ac:dyDescent="0.25">
      <c r="B10" s="41">
        <f>Total!B10</f>
        <v>2016</v>
      </c>
      <c r="C10" s="42">
        <v>0</v>
      </c>
      <c r="D10" s="42">
        <v>0</v>
      </c>
      <c r="F10" s="42">
        <f>ROUND(C10*1000/(IF(MOD($B10,4)=0,8784,8760)*0.85),2)</f>
        <v>0</v>
      </c>
      <c r="G10" s="42">
        <f>ROUND(D10*1000/(IF(MOD($B10,4)=0,8784,8760)*0.85),2)</f>
        <v>0</v>
      </c>
    </row>
    <row r="11" spans="2:10" ht="15.75" x14ac:dyDescent="0.25">
      <c r="B11" s="41">
        <f t="shared" ref="B11:B29" si="0">B10+1</f>
        <v>2017</v>
      </c>
      <c r="C11" s="42">
        <v>0</v>
      </c>
      <c r="D11" s="42">
        <v>0</v>
      </c>
      <c r="F11" s="42">
        <f t="shared" ref="F11:F29" si="1">ROUND(C11*1000/(IF(MOD($B11,4)=0,8784,8760)*0.85),2)</f>
        <v>0</v>
      </c>
      <c r="G11" s="42">
        <f t="shared" ref="G11:G29" si="2">ROUND(D11*1000/(IF(MOD($B11,4)=0,8784,8760)*0.85),2)</f>
        <v>0</v>
      </c>
    </row>
    <row r="12" spans="2:10" ht="15.75" x14ac:dyDescent="0.25">
      <c r="B12" s="41">
        <f t="shared" si="0"/>
        <v>2018</v>
      </c>
      <c r="C12" s="42">
        <v>0</v>
      </c>
      <c r="D12" s="42">
        <v>0</v>
      </c>
      <c r="F12" s="42">
        <f t="shared" si="1"/>
        <v>0</v>
      </c>
      <c r="G12" s="42">
        <f t="shared" si="2"/>
        <v>0</v>
      </c>
    </row>
    <row r="13" spans="2:10" ht="15.75" x14ac:dyDescent="0.25">
      <c r="B13" s="41">
        <f t="shared" si="0"/>
        <v>2019</v>
      </c>
      <c r="C13" s="42">
        <v>0</v>
      </c>
      <c r="D13" s="42">
        <v>0</v>
      </c>
      <c r="F13" s="42">
        <f t="shared" si="1"/>
        <v>0</v>
      </c>
      <c r="G13" s="42">
        <f t="shared" si="2"/>
        <v>0</v>
      </c>
    </row>
    <row r="14" spans="2:10" ht="15.75" x14ac:dyDescent="0.25">
      <c r="B14" s="41">
        <f t="shared" si="0"/>
        <v>2020</v>
      </c>
      <c r="C14" s="42">
        <v>0</v>
      </c>
      <c r="D14" s="42">
        <v>0</v>
      </c>
      <c r="F14" s="42">
        <f t="shared" si="1"/>
        <v>0</v>
      </c>
      <c r="G14" s="42">
        <f t="shared" si="2"/>
        <v>0</v>
      </c>
    </row>
    <row r="15" spans="2:10" ht="15.75" x14ac:dyDescent="0.25">
      <c r="B15" s="41">
        <f t="shared" si="0"/>
        <v>2021</v>
      </c>
      <c r="C15" s="42">
        <v>0</v>
      </c>
      <c r="D15" s="42">
        <v>0</v>
      </c>
      <c r="F15" s="42">
        <f t="shared" si="1"/>
        <v>0</v>
      </c>
      <c r="G15" s="42">
        <f t="shared" si="2"/>
        <v>0</v>
      </c>
    </row>
    <row r="16" spans="2:10" ht="15.75" x14ac:dyDescent="0.25">
      <c r="B16" s="41">
        <f t="shared" si="0"/>
        <v>2022</v>
      </c>
      <c r="C16" s="42">
        <v>0</v>
      </c>
      <c r="D16" s="42">
        <v>0</v>
      </c>
      <c r="F16" s="42">
        <f t="shared" si="1"/>
        <v>0</v>
      </c>
      <c r="G16" s="42">
        <f t="shared" si="2"/>
        <v>0</v>
      </c>
    </row>
    <row r="17" spans="2:7" ht="15.75" x14ac:dyDescent="0.25">
      <c r="B17" s="41">
        <f t="shared" si="0"/>
        <v>2023</v>
      </c>
      <c r="C17" s="42">
        <v>0</v>
      </c>
      <c r="D17" s="42">
        <v>0</v>
      </c>
      <c r="F17" s="42">
        <f t="shared" si="1"/>
        <v>0</v>
      </c>
      <c r="G17" s="42">
        <f t="shared" si="2"/>
        <v>0</v>
      </c>
    </row>
    <row r="18" spans="2:7" ht="15.75" x14ac:dyDescent="0.25">
      <c r="B18" s="41">
        <f t="shared" si="0"/>
        <v>2024</v>
      </c>
      <c r="C18" s="42">
        <v>0</v>
      </c>
      <c r="D18" s="42">
        <v>0</v>
      </c>
      <c r="F18" s="42">
        <f t="shared" si="1"/>
        <v>0</v>
      </c>
      <c r="G18" s="42">
        <f t="shared" si="2"/>
        <v>0</v>
      </c>
    </row>
    <row r="19" spans="2:7" ht="15.75" x14ac:dyDescent="0.25">
      <c r="B19" s="41">
        <f t="shared" si="0"/>
        <v>2025</v>
      </c>
      <c r="C19" s="42">
        <v>0</v>
      </c>
      <c r="D19" s="42">
        <v>0</v>
      </c>
      <c r="F19" s="42">
        <f t="shared" si="1"/>
        <v>0</v>
      </c>
      <c r="G19" s="42">
        <f t="shared" si="2"/>
        <v>0</v>
      </c>
    </row>
    <row r="20" spans="2:7" ht="15.75" x14ac:dyDescent="0.25">
      <c r="B20" s="41">
        <f t="shared" si="0"/>
        <v>2026</v>
      </c>
      <c r="C20" s="42">
        <v>0</v>
      </c>
      <c r="D20" s="42">
        <v>0</v>
      </c>
      <c r="F20" s="42">
        <f t="shared" si="1"/>
        <v>0</v>
      </c>
      <c r="G20" s="42">
        <f t="shared" si="2"/>
        <v>0</v>
      </c>
    </row>
    <row r="21" spans="2:7" ht="15.75" x14ac:dyDescent="0.25">
      <c r="B21" s="41">
        <f t="shared" si="0"/>
        <v>2027</v>
      </c>
      <c r="C21" s="42">
        <v>0</v>
      </c>
      <c r="D21" s="42">
        <v>0</v>
      </c>
      <c r="F21" s="42">
        <f t="shared" si="1"/>
        <v>0</v>
      </c>
      <c r="G21" s="42">
        <f t="shared" si="2"/>
        <v>0</v>
      </c>
    </row>
    <row r="22" spans="2:7" ht="15.75" x14ac:dyDescent="0.25">
      <c r="B22" s="41">
        <f t="shared" si="0"/>
        <v>2028</v>
      </c>
      <c r="C22" s="42">
        <v>0</v>
      </c>
      <c r="D22" s="42">
        <v>0</v>
      </c>
      <c r="F22" s="42">
        <f t="shared" si="1"/>
        <v>0</v>
      </c>
      <c r="G22" s="42">
        <f t="shared" si="2"/>
        <v>0</v>
      </c>
    </row>
    <row r="23" spans="2:7" ht="15.75" x14ac:dyDescent="0.25">
      <c r="B23" s="41">
        <f t="shared" si="0"/>
        <v>2029</v>
      </c>
      <c r="C23" s="42">
        <v>0</v>
      </c>
      <c r="D23" s="42">
        <v>0</v>
      </c>
      <c r="F23" s="42">
        <f t="shared" si="1"/>
        <v>0</v>
      </c>
      <c r="G23" s="42">
        <f t="shared" si="2"/>
        <v>0</v>
      </c>
    </row>
    <row r="24" spans="2:7" ht="15.75" x14ac:dyDescent="0.25">
      <c r="B24" s="41">
        <f t="shared" si="0"/>
        <v>2030</v>
      </c>
      <c r="C24" s="42">
        <v>157.29</v>
      </c>
      <c r="D24" s="42">
        <v>173.22</v>
      </c>
      <c r="F24" s="42">
        <f t="shared" si="1"/>
        <v>21.12</v>
      </c>
      <c r="G24" s="42">
        <f t="shared" si="2"/>
        <v>23.26</v>
      </c>
    </row>
    <row r="25" spans="2:7" ht="15.75" x14ac:dyDescent="0.25">
      <c r="B25" s="41">
        <f t="shared" si="0"/>
        <v>2031</v>
      </c>
      <c r="C25" s="42">
        <v>160.26</v>
      </c>
      <c r="D25" s="42">
        <v>176.51</v>
      </c>
      <c r="F25" s="42">
        <f t="shared" si="1"/>
        <v>21.52</v>
      </c>
      <c r="G25" s="42">
        <f t="shared" si="2"/>
        <v>23.71</v>
      </c>
    </row>
    <row r="26" spans="2:7" ht="15.75" x14ac:dyDescent="0.25">
      <c r="B26" s="41">
        <f t="shared" si="0"/>
        <v>2032</v>
      </c>
      <c r="C26" s="42">
        <v>163.33000000000001</v>
      </c>
      <c r="D26" s="42">
        <v>179.86</v>
      </c>
      <c r="F26" s="42">
        <f t="shared" si="1"/>
        <v>21.88</v>
      </c>
      <c r="G26" s="42">
        <f t="shared" si="2"/>
        <v>24.09</v>
      </c>
    </row>
    <row r="27" spans="2:7" ht="15.75" x14ac:dyDescent="0.25">
      <c r="B27" s="41">
        <f t="shared" si="0"/>
        <v>2033</v>
      </c>
      <c r="C27" s="42">
        <v>166.59</v>
      </c>
      <c r="D27" s="42">
        <v>183.47</v>
      </c>
      <c r="F27" s="42">
        <f t="shared" si="1"/>
        <v>22.37</v>
      </c>
      <c r="G27" s="42">
        <f t="shared" si="2"/>
        <v>24.64</v>
      </c>
    </row>
    <row r="28" spans="2:7" ht="15.75" x14ac:dyDescent="0.25">
      <c r="B28" s="41">
        <f t="shared" si="0"/>
        <v>2034</v>
      </c>
      <c r="C28" s="42">
        <v>169.76</v>
      </c>
      <c r="D28" s="42">
        <v>186.98</v>
      </c>
      <c r="F28" s="42">
        <f t="shared" si="1"/>
        <v>22.8</v>
      </c>
      <c r="G28" s="42">
        <f t="shared" si="2"/>
        <v>25.11</v>
      </c>
    </row>
    <row r="29" spans="2:7" ht="15.75" x14ac:dyDescent="0.25">
      <c r="B29" s="41">
        <f t="shared" si="0"/>
        <v>2035</v>
      </c>
      <c r="C29" s="42">
        <v>173.14</v>
      </c>
      <c r="D29" s="42">
        <v>190.71</v>
      </c>
      <c r="F29" s="42">
        <f t="shared" si="1"/>
        <v>23.25</v>
      </c>
      <c r="G29" s="42">
        <f t="shared" si="2"/>
        <v>25.61</v>
      </c>
    </row>
    <row r="30" spans="2:7" ht="15.75" x14ac:dyDescent="0.25">
      <c r="B30" s="41"/>
      <c r="C30" s="43"/>
      <c r="F30" s="43"/>
    </row>
    <row r="31" spans="2:7" x14ac:dyDescent="0.2">
      <c r="B31" s="44" t="str">
        <f>"Nominal Levelized Payment at "&amp;TEXT($B$41,"0.000%")&amp;" Discount Rate (2)"</f>
        <v>Nominal Levelized Payment at 6.882% Discount Rate (2)</v>
      </c>
      <c r="D31" s="44"/>
    </row>
    <row r="32" spans="2:7" x14ac:dyDescent="0.2">
      <c r="B32" s="45" t="str">
        <f>$B$10&amp;" - "&amp;B29</f>
        <v>2016 - 2035</v>
      </c>
      <c r="C32" s="46">
        <f>PMT($B$41,COUNT(C10:C29),-NPV($B$41,C10:C29))</f>
        <v>28.979996748975893</v>
      </c>
      <c r="D32" s="46">
        <f>PMT($B$41,COUNT(D10:D29),-NPV($B$41,D10:D29))</f>
        <v>31.917097889165333</v>
      </c>
      <c r="F32" s="46">
        <f>PMT($B$41,COUNT(F10:F29),-NPV($B$41,F10:F29))</f>
        <v>3.8899941071472153</v>
      </c>
      <c r="G32" s="46">
        <f>PMT($B$41,COUNT(G10:G29),-NPV($B$41,G10:G29))</f>
        <v>4.2844361926834171</v>
      </c>
    </row>
    <row r="34" spans="2:2" x14ac:dyDescent="0.2">
      <c r="B34" s="36" t="s">
        <v>3</v>
      </c>
    </row>
    <row r="35" spans="2:2" x14ac:dyDescent="0.2">
      <c r="B35" s="36" t="str">
        <f>"(2)   "&amp;B40</f>
        <v>(2)   Discount Rate - 2013 IRP Page 164</v>
      </c>
    </row>
    <row r="36" spans="2:2" x14ac:dyDescent="0.2">
      <c r="B36" s="36" t="s">
        <v>34</v>
      </c>
    </row>
    <row r="37" spans="2:2" x14ac:dyDescent="0.2">
      <c r="B37" s="36" t="s">
        <v>35</v>
      </c>
    </row>
    <row r="40" spans="2:2" hidden="1" x14ac:dyDescent="0.2">
      <c r="B40" s="47" t="str">
        <f>Total!B40</f>
        <v>Discount Rate - 2013 IRP Page 164</v>
      </c>
    </row>
    <row r="41" spans="2:2" hidden="1" x14ac:dyDescent="0.2">
      <c r="B41" s="48">
        <f>Discount_Rate</f>
        <v>6.8820000000000006E-2</v>
      </c>
    </row>
  </sheetData>
  <printOptions horizontalCentered="1"/>
  <pageMargins left="0.25" right="0.25" top="0.75" bottom="0.75" header="0.3" footer="0.2"/>
  <pageSetup scale="88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laurieharris</cp:lastModifiedBy>
  <cp:lastPrinted>2011-11-16T17:17:06Z</cp:lastPrinted>
  <dcterms:created xsi:type="dcterms:W3CDTF">2006-07-10T20:43:15Z</dcterms:created>
  <dcterms:modified xsi:type="dcterms:W3CDTF">2014-11-04T19:33:22Z</dcterms:modified>
</cp:coreProperties>
</file>