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55\"/>
    </mc:Choice>
  </mc:AlternateContent>
  <bookViews>
    <workbookView xWindow="0" yWindow="0" windowWidth="21600" windowHeight="9735" tabRatio="903" firstSheet="2" activeTab="6"/>
  </bookViews>
  <sheets>
    <sheet name="Table 1" sheetId="38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6" sheetId="5" r:id="rId6"/>
    <sheet name="Table 7" sheetId="47" r:id="rId7"/>
    <sheet name="Table 8" sheetId="28" r:id="rId8"/>
    <sheet name="Table 9" sheetId="29" r:id="rId9"/>
    <sheet name="Table 10" sheetId="32" r:id="rId10"/>
    <sheet name="Table 11" sheetId="34" r:id="rId11"/>
    <sheet name="Table 12" sheetId="43" r:id="rId12"/>
    <sheet name="--- Do Not Print ---&gt;" sheetId="37" r:id="rId13"/>
    <sheet name="Tariff Page" sheetId="36" r:id="rId14"/>
    <sheet name="Tariff Page Solar Fixed" sheetId="44" r:id="rId15"/>
    <sheet name="Tariff Page Solar Tracking" sheetId="45" r:id="rId16"/>
    <sheet name="Tariff Page Wind" sheetId="39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apacity_Contr_Solar_Fixed" localSheetId="2">'Table 2B Wind'!$Q$90</definedName>
    <definedName name="Capacity_Contr_Solar_Fixed" localSheetId="3">'Table 2C SolarFixed'!$F$89</definedName>
    <definedName name="Capacity_Contr_Solar_Fixed" localSheetId="4">'Table 2D SolarTracking'!#REF!</definedName>
    <definedName name="Capacity_Contr_Solar_Fixed">'Table 2A BaseLoad'!$E$88</definedName>
    <definedName name="Capacity_Contr_Solar_Tracking" localSheetId="2">'Table 2B Wind'!$D$88</definedName>
    <definedName name="Capacity_Contr_Solar_Tracking" localSheetId="3">'Table 2C SolarFixed'!$Q$91</definedName>
    <definedName name="Capacity_Contr_Solar_Tracking" localSheetId="4">'Table 2D SolarTracking'!$F$89</definedName>
    <definedName name="Capacity_Contr_Solar_Tracking">'Table 2A BaseLoad'!$Q$90</definedName>
    <definedName name="Capacity_Contr_Wind" localSheetId="2">'Table 2B Wind'!$E$89</definedName>
    <definedName name="Capacity_Contr_Wind" localSheetId="3">'Table 2C SolarFixed'!$Q$92</definedName>
    <definedName name="Capacity_Contr_Wind" localSheetId="4">'Table 2D SolarTracking'!$Q$92</definedName>
    <definedName name="Capacity_Contr_Wind">'Table 2A BaseLoad'!$Q$91</definedName>
    <definedName name="dateTable" localSheetId="0">'[1]on off peak hours'!$C$15:$ED$15</definedName>
    <definedName name="dateTable">'[2]on off peak hours'!$C$15:$ED$15</definedName>
    <definedName name="DispatchSum">"GRID Thermal Generation!R2C1:R4C2"</definedName>
    <definedName name="HoursHoliday" localSheetId="0">'[1]on off peak hours'!$C$16:$ED$20</definedName>
    <definedName name="HoursHoliday">'[2]on off peak hours'!$C$16:$ED$20</definedName>
    <definedName name="_xlnm.Print_Area" localSheetId="0">'Table 1'!$B$1:$Y$69</definedName>
    <definedName name="_xlnm.Print_Area" localSheetId="9">'Table 10'!$A$1:$G$38</definedName>
    <definedName name="_xlnm.Print_Area" localSheetId="10">'Table 11'!$A$1:$Q$37</definedName>
    <definedName name="_xlnm.Print_Area" localSheetId="11">'Table 12'!$A$1:$G$46</definedName>
    <definedName name="_xlnm.Print_Area" localSheetId="1">'Table 2A BaseLoad'!$A$1:$M$85</definedName>
    <definedName name="_xlnm.Print_Area" localSheetId="2">'Table 2B Wind'!$A$1:$N$86</definedName>
    <definedName name="_xlnm.Print_Area" localSheetId="3">'Table 2C SolarFixed'!$A$1:$N$87</definedName>
    <definedName name="_xlnm.Print_Area" localSheetId="4">'Table 2D SolarTracking'!$A$1:$N$87</definedName>
    <definedName name="_xlnm.Print_Area" localSheetId="6">'Table 7'!$A$1:$N$44</definedName>
    <definedName name="_xlnm.Print_Area" localSheetId="7">'Table 8'!$B$1:$K$141</definedName>
    <definedName name="_xlnm.Print_Area" localSheetId="8">'Table 9'!$A$1:$D$37</definedName>
    <definedName name="_xlnm.Print_Area" localSheetId="5">'Tables 3 to 6'!$A$1:$AU$48</definedName>
    <definedName name="_xlnm.Print_Area" localSheetId="13">'Tariff Page'!$A$1:$G$39</definedName>
    <definedName name="_xlnm.Print_Area" localSheetId="14">'Tariff Page Solar Fixed'!$A$1:$G$46</definedName>
    <definedName name="_xlnm.Print_Area" localSheetId="15">'Tariff Page Solar Tracking'!$A$1:$G$47</definedName>
    <definedName name="_xlnm.Print_Area" localSheetId="16">'Tariff Page Wind'!$A$1:$G$46</definedName>
    <definedName name="_xlnm.Print_Titles" localSheetId="6">'Table 7'!$B:$B</definedName>
    <definedName name="RevenueSum">"GRID Thermal Revenue!R2C1:R4C2"</definedName>
    <definedName name="Solar_Fixed_integr_cost">'Table 12'!$B$46</definedName>
    <definedName name="Solar_Tracking_integr_cost">'Table 12'!$B$45</definedName>
    <definedName name="Study_Name" localSheetId="0">[3]ImportData!$D$7</definedName>
    <definedName name="Study_Name">[2]ImportData!$D$7</definedName>
  </definedNames>
  <calcPr calcId="152511"/>
</workbook>
</file>

<file path=xl/calcChain.xml><?xml version="1.0" encoding="utf-8"?>
<calcChain xmlns="http://schemas.openxmlformats.org/spreadsheetml/2006/main">
  <c r="C84" i="42" l="1"/>
  <c r="C83" i="42"/>
  <c r="C85" i="41"/>
  <c r="C84" i="41"/>
  <c r="C83" i="41"/>
  <c r="C84" i="40"/>
  <c r="C83" i="40"/>
  <c r="O42" i="5"/>
  <c r="M40" i="47" l="1"/>
  <c r="J40" i="47"/>
  <c r="N11" i="47"/>
  <c r="K11" i="47"/>
  <c r="H11" i="47"/>
  <c r="E11" i="47"/>
  <c r="G40" i="47" l="1"/>
  <c r="D40" i="47"/>
  <c r="K30" i="39"/>
  <c r="K29" i="39"/>
  <c r="K30" i="45"/>
  <c r="K29" i="45"/>
  <c r="K30" i="44"/>
  <c r="K29" i="44"/>
  <c r="B14" i="47" l="1"/>
  <c r="B15" i="47" l="1"/>
  <c r="B16" i="47" l="1"/>
  <c r="B17" i="47" l="1"/>
  <c r="B18" i="47" l="1"/>
  <c r="B19" i="47" l="1"/>
  <c r="B20" i="47" l="1"/>
  <c r="B21" i="47" l="1"/>
  <c r="B22" i="47" l="1"/>
  <c r="B23" i="47" l="1"/>
  <c r="B24" i="47" l="1"/>
  <c r="B25" i="47" l="1"/>
  <c r="B26" i="47" l="1"/>
  <c r="B27" i="47" l="1"/>
  <c r="B28" i="47" l="1"/>
  <c r="B29" i="47" l="1"/>
  <c r="B30" i="47" l="1"/>
  <c r="B31" i="47" l="1"/>
  <c r="B32" i="47" l="1"/>
  <c r="B33" i="47" l="1"/>
  <c r="B34" i="47" l="1"/>
  <c r="B39" i="47"/>
  <c r="AQ42" i="5" l="1"/>
  <c r="L9" i="45" l="1"/>
  <c r="N9" i="45" s="1"/>
  <c r="N8" i="45"/>
  <c r="L9" i="44"/>
  <c r="L10" i="44" s="1"/>
  <c r="N8" i="44"/>
  <c r="L10" i="45" l="1"/>
  <c r="N10" i="45" s="1"/>
  <c r="N9" i="44"/>
  <c r="N10" i="44"/>
  <c r="L11" i="44"/>
  <c r="L11" i="45" l="1"/>
  <c r="L12" i="45" s="1"/>
  <c r="N12" i="45" s="1"/>
  <c r="N11" i="44"/>
  <c r="L12" i="44"/>
  <c r="L13" i="45" l="1"/>
  <c r="N11" i="45"/>
  <c r="N13" i="45"/>
  <c r="L14" i="45"/>
  <c r="N12" i="44"/>
  <c r="L13" i="44"/>
  <c r="N14" i="45" l="1"/>
  <c r="L15" i="45"/>
  <c r="N13" i="44"/>
  <c r="L14" i="44"/>
  <c r="N15" i="45" l="1"/>
  <c r="L16" i="45"/>
  <c r="N14" i="44"/>
  <c r="L15" i="44"/>
  <c r="N16" i="45" l="1"/>
  <c r="L17" i="45"/>
  <c r="N15" i="44"/>
  <c r="L16" i="44"/>
  <c r="N17" i="45" l="1"/>
  <c r="L18" i="45"/>
  <c r="N16" i="44"/>
  <c r="L17" i="44"/>
  <c r="N18" i="45" l="1"/>
  <c r="L19" i="45"/>
  <c r="N17" i="44"/>
  <c r="L18" i="44"/>
  <c r="N19" i="45" l="1"/>
  <c r="L20" i="45"/>
  <c r="N18" i="44"/>
  <c r="L19" i="44"/>
  <c r="L21" i="45" l="1"/>
  <c r="N20" i="45"/>
  <c r="N19" i="44"/>
  <c r="L20" i="44"/>
  <c r="N21" i="45" l="1"/>
  <c r="L22" i="45"/>
  <c r="N20" i="44"/>
  <c r="L21" i="44"/>
  <c r="N22" i="45" l="1"/>
  <c r="L23" i="45"/>
  <c r="N21" i="44"/>
  <c r="L22" i="44"/>
  <c r="N23" i="45" l="1"/>
  <c r="L24" i="45"/>
  <c r="N22" i="44"/>
  <c r="L23" i="44"/>
  <c r="N24" i="45" l="1"/>
  <c r="L25" i="45"/>
  <c r="N23" i="44"/>
  <c r="L24" i="44"/>
  <c r="N25" i="45" l="1"/>
  <c r="L26" i="45"/>
  <c r="N24" i="44"/>
  <c r="L25" i="44"/>
  <c r="N26" i="45" l="1"/>
  <c r="L27" i="45"/>
  <c r="L26" i="44"/>
  <c r="N25" i="44"/>
  <c r="N27" i="45" l="1"/>
  <c r="L28" i="45"/>
  <c r="N26" i="44"/>
  <c r="L27" i="44"/>
  <c r="L29" i="45" l="1"/>
  <c r="N28" i="45"/>
  <c r="N27" i="44"/>
  <c r="L28" i="44"/>
  <c r="N36" i="45" l="1"/>
  <c r="N34" i="45"/>
  <c r="N29" i="45"/>
  <c r="L30" i="45"/>
  <c r="N28" i="44"/>
  <c r="L29" i="44"/>
  <c r="N36" i="44" l="1"/>
  <c r="N34" i="44"/>
  <c r="L31" i="45"/>
  <c r="N30" i="45"/>
  <c r="L30" i="44"/>
  <c r="N29" i="44"/>
  <c r="N31" i="45" l="1"/>
  <c r="L32" i="45"/>
  <c r="N32" i="45" s="1"/>
  <c r="L31" i="44"/>
  <c r="N30" i="44"/>
  <c r="N31" i="44" l="1"/>
  <c r="L32" i="44"/>
  <c r="N32" i="44" s="1"/>
  <c r="C85" i="40" l="1"/>
  <c r="C85" i="42"/>
  <c r="AI42" i="5" l="1"/>
  <c r="AJ42" i="5"/>
  <c r="A9" i="42"/>
  <c r="A9" i="41"/>
  <c r="A9" i="40"/>
  <c r="AJ44" i="5" l="1"/>
  <c r="AQ44" i="5"/>
  <c r="AU10" i="5" l="1"/>
  <c r="AT10" i="5"/>
  <c r="AF10" i="5"/>
  <c r="AM10" i="5"/>
  <c r="AQ10" i="5"/>
  <c r="AJ10" i="5"/>
  <c r="AC10" i="5"/>
  <c r="AP44" i="5" l="1"/>
  <c r="AQ43" i="5"/>
  <c r="AP43" i="5"/>
  <c r="AP42" i="5"/>
  <c r="AC44" i="5"/>
  <c r="AJ43" i="5"/>
  <c r="AC43" i="5"/>
  <c r="AC42" i="5"/>
  <c r="AI44" i="5"/>
  <c r="AI43" i="5"/>
  <c r="AB44" i="5"/>
  <c r="V42" i="5"/>
  <c r="AP13" i="5"/>
  <c r="AI13" i="5"/>
  <c r="AB43" i="5"/>
  <c r="AB42" i="5"/>
  <c r="AB13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N10" i="5" l="1"/>
  <c r="AG10" i="5"/>
  <c r="AU6" i="5" l="1"/>
  <c r="AT6" i="5"/>
  <c r="AN6" i="5"/>
  <c r="AM6" i="5"/>
  <c r="AG6" i="5"/>
  <c r="AF6" i="5"/>
  <c r="Z6" i="5"/>
  <c r="Y6" i="5"/>
  <c r="B9" i="43" l="1"/>
  <c r="A46" i="42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28" i="42"/>
  <c r="A10" i="42"/>
  <c r="A66" i="42" s="1"/>
  <c r="A46" i="4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28" i="41"/>
  <c r="A10" i="41"/>
  <c r="A66" i="41" s="1"/>
  <c r="B10" i="43" l="1"/>
  <c r="A29" i="41"/>
  <c r="A30" i="41" s="1"/>
  <c r="A11" i="42"/>
  <c r="A12" i="42" s="1"/>
  <c r="A68" i="42" s="1"/>
  <c r="A29" i="42"/>
  <c r="A11" i="41"/>
  <c r="A46" i="40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28" i="40"/>
  <c r="A29" i="40" s="1"/>
  <c r="A10" i="40"/>
  <c r="B11" i="43" l="1"/>
  <c r="A67" i="42"/>
  <c r="E9" i="43"/>
  <c r="A13" i="42"/>
  <c r="A14" i="42" s="1"/>
  <c r="A30" i="42"/>
  <c r="A31" i="41"/>
  <c r="A67" i="41"/>
  <c r="A12" i="41"/>
  <c r="A11" i="40"/>
  <c r="A66" i="40"/>
  <c r="A30" i="40"/>
  <c r="E10" i="43" l="1"/>
  <c r="B12" i="43"/>
  <c r="B13" i="43" s="1"/>
  <c r="A69" i="42"/>
  <c r="A31" i="42"/>
  <c r="A70" i="42"/>
  <c r="A15" i="42"/>
  <c r="A32" i="41"/>
  <c r="A68" i="41"/>
  <c r="A13" i="41"/>
  <c r="A31" i="40"/>
  <c r="A12" i="40"/>
  <c r="A67" i="40"/>
  <c r="E11" i="43" l="1"/>
  <c r="B14" i="43"/>
  <c r="A71" i="42"/>
  <c r="A16" i="42"/>
  <c r="A32" i="42"/>
  <c r="A69" i="41"/>
  <c r="A14" i="41"/>
  <c r="A33" i="41"/>
  <c r="A32" i="40"/>
  <c r="A68" i="40"/>
  <c r="A13" i="40"/>
  <c r="E12" i="43" l="1"/>
  <c r="E13" i="43"/>
  <c r="B15" i="43"/>
  <c r="A33" i="42"/>
  <c r="A72" i="42"/>
  <c r="A17" i="42"/>
  <c r="A34" i="41"/>
  <c r="A15" i="41"/>
  <c r="A70" i="41"/>
  <c r="A33" i="40"/>
  <c r="A69" i="40"/>
  <c r="A14" i="40"/>
  <c r="E14" i="43" l="1"/>
  <c r="B16" i="43"/>
  <c r="A73" i="42"/>
  <c r="A18" i="42"/>
  <c r="A34" i="42"/>
  <c r="A35" i="41"/>
  <c r="A71" i="41"/>
  <c r="A16" i="41"/>
  <c r="A34" i="40"/>
  <c r="A70" i="40"/>
  <c r="A15" i="40"/>
  <c r="E15" i="43" l="1"/>
  <c r="B17" i="43"/>
  <c r="A35" i="42"/>
  <c r="A74" i="42"/>
  <c r="A19" i="42"/>
  <c r="A72" i="41"/>
  <c r="A17" i="41"/>
  <c r="A36" i="41"/>
  <c r="A35" i="40"/>
  <c r="A71" i="40"/>
  <c r="A16" i="40"/>
  <c r="E16" i="43" l="1"/>
  <c r="B18" i="43"/>
  <c r="A20" i="42"/>
  <c r="A75" i="42"/>
  <c r="A36" i="42"/>
  <c r="A73" i="41"/>
  <c r="A18" i="41"/>
  <c r="A37" i="41"/>
  <c r="A36" i="40"/>
  <c r="A17" i="40"/>
  <c r="A72" i="40"/>
  <c r="E17" i="43" l="1"/>
  <c r="B19" i="43"/>
  <c r="A76" i="42"/>
  <c r="A21" i="42"/>
  <c r="A37" i="42"/>
  <c r="A38" i="41"/>
  <c r="A19" i="41"/>
  <c r="A74" i="41"/>
  <c r="A73" i="40"/>
  <c r="A18" i="40"/>
  <c r="A37" i="40"/>
  <c r="E18" i="43" l="1"/>
  <c r="B20" i="43"/>
  <c r="A38" i="42"/>
  <c r="A22" i="42"/>
  <c r="A77" i="42"/>
  <c r="A75" i="41"/>
  <c r="A20" i="41"/>
  <c r="A39" i="41"/>
  <c r="A38" i="40"/>
  <c r="A19" i="40"/>
  <c r="A74" i="40"/>
  <c r="E19" i="43" l="1"/>
  <c r="B21" i="43"/>
  <c r="A39" i="42"/>
  <c r="A78" i="42"/>
  <c r="A3" i="42"/>
  <c r="A40" i="41"/>
  <c r="A76" i="41"/>
  <c r="A21" i="41"/>
  <c r="A39" i="40"/>
  <c r="A75" i="40"/>
  <c r="A20" i="40"/>
  <c r="B22" i="43" l="1"/>
  <c r="E20" i="43"/>
  <c r="B23" i="43"/>
  <c r="A40" i="42"/>
  <c r="A77" i="41"/>
  <c r="A22" i="41"/>
  <c r="A76" i="40"/>
  <c r="A21" i="40"/>
  <c r="A40" i="40"/>
  <c r="E21" i="43" l="1"/>
  <c r="B24" i="43"/>
  <c r="A78" i="41"/>
  <c r="A3" i="41"/>
  <c r="A77" i="40"/>
  <c r="A22" i="40"/>
  <c r="E22" i="43" l="1"/>
  <c r="E23" i="43"/>
  <c r="B25" i="43"/>
  <c r="A78" i="40"/>
  <c r="A3" i="40"/>
  <c r="E24" i="43" l="1"/>
  <c r="B26" i="43"/>
  <c r="E25" i="43" l="1"/>
  <c r="B27" i="43"/>
  <c r="E26" i="43" l="1"/>
  <c r="B28" i="43"/>
  <c r="E27" i="43" l="1"/>
  <c r="B29" i="43"/>
  <c r="E28" i="43" l="1"/>
  <c r="B30" i="43"/>
  <c r="E29" i="43" l="1"/>
  <c r="B31" i="43"/>
  <c r="E30" i="43" l="1"/>
  <c r="B32" i="43"/>
  <c r="E31" i="43" l="1"/>
  <c r="B33" i="43"/>
  <c r="E32" i="43" l="1"/>
  <c r="E33" i="43" l="1"/>
  <c r="C49" i="28" l="1"/>
  <c r="C124" i="28"/>
  <c r="C121" i="28"/>
  <c r="S10" i="5" l="1"/>
  <c r="R10" i="5"/>
  <c r="Q10" i="5"/>
  <c r="Y10" i="5" l="1"/>
  <c r="Z10" i="5"/>
  <c r="C45" i="28" l="1"/>
  <c r="C46" i="28"/>
  <c r="C48" i="28"/>
  <c r="D49" i="28"/>
  <c r="D48" i="28"/>
  <c r="D47" i="28"/>
  <c r="D46" i="28"/>
  <c r="D123" i="28"/>
  <c r="C123" i="28"/>
  <c r="F108" i="28"/>
  <c r="F109" i="28"/>
  <c r="H108" i="28"/>
  <c r="H109" i="28"/>
  <c r="B10" i="29" l="1"/>
  <c r="B10" i="32"/>
  <c r="B7" i="34"/>
  <c r="K7" i="34" l="1"/>
  <c r="O7" i="34"/>
  <c r="N7" i="34"/>
  <c r="M7" i="34"/>
  <c r="C7" i="34"/>
  <c r="L7" i="34"/>
  <c r="P7" i="34"/>
  <c r="B24" i="34"/>
  <c r="B8" i="34"/>
  <c r="F8" i="34" l="1"/>
  <c r="E8" i="34"/>
  <c r="G8" i="34"/>
  <c r="H8" i="34"/>
  <c r="I8" i="34"/>
  <c r="J8" i="34"/>
  <c r="K8" i="34"/>
  <c r="C8" i="34"/>
  <c r="L8" i="34"/>
  <c r="M8" i="34"/>
  <c r="N8" i="34"/>
  <c r="O8" i="34"/>
  <c r="P8" i="34"/>
  <c r="B25" i="34"/>
  <c r="B9" i="34"/>
  <c r="E9" i="34" l="1"/>
  <c r="F9" i="34"/>
  <c r="G9" i="34"/>
  <c r="H9" i="34"/>
  <c r="J9" i="34"/>
  <c r="I9" i="34"/>
  <c r="K9" i="34"/>
  <c r="L9" i="34"/>
  <c r="M9" i="34"/>
  <c r="C9" i="34"/>
  <c r="N9" i="34"/>
  <c r="O9" i="34"/>
  <c r="P9" i="34"/>
  <c r="B26" i="34"/>
  <c r="B10" i="34"/>
  <c r="E10" i="34" l="1"/>
  <c r="F10" i="34"/>
  <c r="G10" i="34"/>
  <c r="H10" i="34"/>
  <c r="I10" i="34"/>
  <c r="J10" i="34"/>
  <c r="K10" i="34"/>
  <c r="L10" i="34"/>
  <c r="M10" i="34"/>
  <c r="C10" i="34"/>
  <c r="N10" i="34"/>
  <c r="O10" i="34"/>
  <c r="P10" i="34"/>
  <c r="B27" i="34"/>
  <c r="B11" i="34"/>
  <c r="E11" i="34" l="1"/>
  <c r="G11" i="34"/>
  <c r="F11" i="34"/>
  <c r="I11" i="34"/>
  <c r="H11" i="34"/>
  <c r="J11" i="34"/>
  <c r="K11" i="34"/>
  <c r="L11" i="34"/>
  <c r="M11" i="34"/>
  <c r="C11" i="34"/>
  <c r="O11" i="34"/>
  <c r="N11" i="34"/>
  <c r="P11" i="34"/>
  <c r="B28" i="34"/>
  <c r="B12" i="34"/>
  <c r="E12" i="34" l="1"/>
  <c r="F12" i="34"/>
  <c r="G12" i="34"/>
  <c r="H12" i="34"/>
  <c r="I12" i="34"/>
  <c r="J12" i="34"/>
  <c r="L12" i="34"/>
  <c r="K12" i="34"/>
  <c r="C12" i="34"/>
  <c r="M12" i="34"/>
  <c r="N12" i="34"/>
  <c r="P12" i="34"/>
  <c r="O12" i="34"/>
  <c r="B29" i="34"/>
  <c r="B13" i="34"/>
  <c r="E13" i="34" l="1"/>
  <c r="F13" i="34"/>
  <c r="G13" i="34"/>
  <c r="H13" i="34"/>
  <c r="I13" i="34"/>
  <c r="J13" i="34"/>
  <c r="K13" i="34"/>
  <c r="L13" i="34"/>
  <c r="C13" i="34"/>
  <c r="N13" i="34"/>
  <c r="M13" i="34"/>
  <c r="O13" i="34"/>
  <c r="P13" i="34"/>
  <c r="B30" i="34"/>
  <c r="B14" i="34"/>
  <c r="E14" i="34" l="1"/>
  <c r="F14" i="34"/>
  <c r="G14" i="34"/>
  <c r="H14" i="34"/>
  <c r="I14" i="34"/>
  <c r="J14" i="34"/>
  <c r="K14" i="34"/>
  <c r="L14" i="34"/>
  <c r="C14" i="34"/>
  <c r="M14" i="34"/>
  <c r="N14" i="34"/>
  <c r="O14" i="34"/>
  <c r="P14" i="34"/>
  <c r="B31" i="34"/>
  <c r="B15" i="34"/>
  <c r="E15" i="34" l="1"/>
  <c r="G15" i="34"/>
  <c r="F15" i="34"/>
  <c r="I15" i="34"/>
  <c r="H15" i="34"/>
  <c r="J15" i="34"/>
  <c r="K15" i="34"/>
  <c r="L15" i="34"/>
  <c r="M15" i="34"/>
  <c r="C15" i="34"/>
  <c r="N15" i="34"/>
  <c r="O15" i="34"/>
  <c r="P15" i="34"/>
  <c r="B32" i="34"/>
  <c r="B16" i="34"/>
  <c r="C16" i="34" l="1"/>
  <c r="E16" i="34"/>
  <c r="G16" i="34"/>
  <c r="F16" i="34"/>
  <c r="H16" i="34"/>
  <c r="I16" i="34"/>
  <c r="J16" i="34"/>
  <c r="K16" i="34"/>
  <c r="L16" i="34"/>
  <c r="M16" i="34"/>
  <c r="N16" i="34"/>
  <c r="O16" i="34"/>
  <c r="P16" i="34"/>
  <c r="B33" i="34"/>
  <c r="B17" i="34"/>
  <c r="K17" i="34" l="1"/>
  <c r="H17" i="34"/>
  <c r="F17" i="34"/>
  <c r="O17" i="34"/>
  <c r="I17" i="34"/>
  <c r="E17" i="34"/>
  <c r="N17" i="34"/>
  <c r="J17" i="34"/>
  <c r="M17" i="34"/>
  <c r="C17" i="34"/>
  <c r="L17" i="34"/>
  <c r="G17" i="34"/>
  <c r="P17" i="34"/>
  <c r="B18" i="34"/>
  <c r="B34" i="34"/>
  <c r="F18" i="34" l="1"/>
  <c r="E18" i="34"/>
  <c r="G18" i="34"/>
  <c r="H18" i="34"/>
  <c r="I18" i="34"/>
  <c r="J18" i="34"/>
  <c r="K18" i="34"/>
  <c r="C18" i="34"/>
  <c r="L18" i="34"/>
  <c r="M18" i="34"/>
  <c r="N18" i="34"/>
  <c r="O18" i="34"/>
  <c r="P18" i="34"/>
  <c r="B19" i="34"/>
  <c r="B35" i="34"/>
  <c r="C19" i="34" l="1"/>
  <c r="E19" i="34"/>
  <c r="F19" i="34"/>
  <c r="G19" i="34"/>
  <c r="H19" i="34"/>
  <c r="I19" i="34"/>
  <c r="J19" i="34"/>
  <c r="K19" i="34"/>
  <c r="L19" i="34"/>
  <c r="M19" i="34"/>
  <c r="N19" i="34"/>
  <c r="O19" i="34"/>
  <c r="P19" i="34"/>
  <c r="B20" i="34"/>
  <c r="B36" i="34"/>
  <c r="D126" i="28" l="1"/>
  <c r="A46" i="17" l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28" i="17"/>
  <c r="A10" i="17"/>
  <c r="A11" i="17" l="1"/>
  <c r="A12" i="17" s="1"/>
  <c r="A29" i="17"/>
  <c r="A13" i="17" l="1"/>
  <c r="A68" i="17"/>
  <c r="A30" i="17"/>
  <c r="A31" i="17" l="1"/>
  <c r="A14" i="17"/>
  <c r="A69" i="17"/>
  <c r="A15" i="17" l="1"/>
  <c r="A70" i="17"/>
  <c r="A32" i="17"/>
  <c r="A33" i="17" l="1"/>
  <c r="A16" i="17"/>
  <c r="A71" i="17"/>
  <c r="A17" i="17" l="1"/>
  <c r="A72" i="17"/>
  <c r="A34" i="17"/>
  <c r="A35" i="17" l="1"/>
  <c r="A18" i="17"/>
  <c r="A73" i="17"/>
  <c r="A19" i="17" l="1"/>
  <c r="A74" i="17"/>
  <c r="A36" i="17"/>
  <c r="A37" i="17" l="1"/>
  <c r="A20" i="17"/>
  <c r="A75" i="17"/>
  <c r="A76" i="17" l="1"/>
  <c r="A21" i="17"/>
  <c r="A38" i="17"/>
  <c r="A39" i="17" l="1"/>
  <c r="A22" i="17"/>
  <c r="A77" i="17"/>
  <c r="A40" i="17"/>
  <c r="A78" i="17" l="1"/>
  <c r="A3" i="17" l="1"/>
  <c r="B11" i="32" l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C132" i="28"/>
  <c r="B34" i="32" l="1"/>
  <c r="D38" i="28" l="1"/>
  <c r="B38" i="28"/>
  <c r="D39" i="28"/>
  <c r="B11" i="29" l="1"/>
  <c r="B12" i="29" l="1"/>
  <c r="B13" i="29" l="1"/>
  <c r="B14" i="29" l="1"/>
  <c r="B15" i="29" l="1"/>
  <c r="B16" i="29" l="1"/>
  <c r="B17" i="29" l="1"/>
  <c r="B18" i="29" l="1"/>
  <c r="B19" i="29" l="1"/>
  <c r="B20" i="29" l="1"/>
  <c r="B21" i="29" l="1"/>
  <c r="B22" i="29" l="1"/>
  <c r="B23" i="29" l="1"/>
  <c r="B24" i="29" l="1"/>
  <c r="B25" i="29" l="1"/>
  <c r="B26" i="29" l="1"/>
  <c r="B27" i="29" l="1"/>
  <c r="B28" i="29" l="1"/>
  <c r="B29" i="29" l="1"/>
  <c r="B30" i="29" l="1"/>
  <c r="B31" i="29" l="1"/>
  <c r="B32" i="29" l="1"/>
  <c r="B33" i="29" s="1"/>
  <c r="B34" i="29" s="1"/>
  <c r="J114" i="28" l="1"/>
  <c r="J113" i="28"/>
  <c r="E118" i="28"/>
  <c r="D97" i="28" l="1"/>
  <c r="D100" i="28" l="1"/>
  <c r="U45" i="5" l="1"/>
  <c r="B45" i="5"/>
  <c r="B14" i="5"/>
  <c r="I108" i="28"/>
  <c r="C10" i="28"/>
  <c r="D10" i="28" s="1"/>
  <c r="E10" i="28"/>
  <c r="F113" i="28"/>
  <c r="F114" i="28"/>
  <c r="I109" i="28"/>
  <c r="C42" i="5"/>
  <c r="C43" i="5" s="1"/>
  <c r="K113" i="28"/>
  <c r="K114" i="28"/>
  <c r="H13" i="5"/>
  <c r="I42" i="5"/>
  <c r="B9" i="28"/>
  <c r="B11" i="28"/>
  <c r="C39" i="28"/>
  <c r="C40" i="28"/>
  <c r="D40" i="28"/>
  <c r="C41" i="28"/>
  <c r="D41" i="28"/>
  <c r="B53" i="28"/>
  <c r="B90" i="28" s="1"/>
  <c r="B54" i="28"/>
  <c r="B61" i="28"/>
  <c r="B63" i="28"/>
  <c r="B91" i="28"/>
  <c r="C97" i="28"/>
  <c r="C98" i="28"/>
  <c r="C99" i="28"/>
  <c r="D99" i="28"/>
  <c r="C100" i="28"/>
  <c r="C101" i="28"/>
  <c r="C102" i="28"/>
  <c r="D102" i="28"/>
  <c r="C113" i="28"/>
  <c r="G113" i="28"/>
  <c r="C114" i="28"/>
  <c r="G114" i="28"/>
  <c r="N134" i="28"/>
  <c r="N135" i="28" s="1"/>
  <c r="N136" i="28" s="1"/>
  <c r="N137" i="28" s="1"/>
  <c r="N138" i="28" s="1"/>
  <c r="N139" i="28" s="1"/>
  <c r="H43" i="5"/>
  <c r="U13" i="5"/>
  <c r="N13" i="5"/>
  <c r="B44" i="5"/>
  <c r="E10" i="5"/>
  <c r="O43" i="5"/>
  <c r="I44" i="5"/>
  <c r="V45" i="5"/>
  <c r="H45" i="5"/>
  <c r="U43" i="5"/>
  <c r="U42" i="5"/>
  <c r="B43" i="5"/>
  <c r="B42" i="5"/>
  <c r="L10" i="5"/>
  <c r="H44" i="5"/>
  <c r="H42" i="5"/>
  <c r="N43" i="5"/>
  <c r="N42" i="5"/>
  <c r="AI14" i="5" l="1"/>
  <c r="AB14" i="5"/>
  <c r="AP14" i="5"/>
  <c r="AE13" i="5"/>
  <c r="B15" i="5"/>
  <c r="N14" i="5"/>
  <c r="B12" i="28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U14" i="5"/>
  <c r="B64" i="28"/>
  <c r="B65" i="28" s="1"/>
  <c r="B66" i="28" s="1"/>
  <c r="B67" i="28" s="1"/>
  <c r="B68" i="28" s="1"/>
  <c r="B69" i="28" s="1"/>
  <c r="B70" i="28" s="1"/>
  <c r="H114" i="28"/>
  <c r="F10" i="28"/>
  <c r="H14" i="5"/>
  <c r="H113" i="28"/>
  <c r="F110" i="28"/>
  <c r="G108" i="28" s="1"/>
  <c r="G109" i="28" s="1"/>
  <c r="G110" i="28" s="1"/>
  <c r="F115" i="28"/>
  <c r="N140" i="28"/>
  <c r="AP15" i="5" l="1"/>
  <c r="AB15" i="5"/>
  <c r="AI15" i="5"/>
  <c r="AE14" i="5"/>
  <c r="H110" i="28"/>
  <c r="C62" i="28" s="1"/>
  <c r="D62" i="28" s="1"/>
  <c r="H115" i="28"/>
  <c r="D128" i="28" s="1"/>
  <c r="C45" i="5" s="1"/>
  <c r="B16" i="5"/>
  <c r="H15" i="5"/>
  <c r="N15" i="5"/>
  <c r="U15" i="5"/>
  <c r="G10" i="28"/>
  <c r="H10" i="28" s="1"/>
  <c r="I110" i="28"/>
  <c r="E62" i="28" s="1"/>
  <c r="B71" i="28"/>
  <c r="N141" i="28"/>
  <c r="I113" i="28" l="1"/>
  <c r="I114" i="28" s="1"/>
  <c r="J115" i="28" s="1"/>
  <c r="F62" i="28" s="1"/>
  <c r="E129" i="28"/>
  <c r="AP16" i="5"/>
  <c r="AB16" i="5"/>
  <c r="AI16" i="5"/>
  <c r="AE15" i="5"/>
  <c r="D129" i="28"/>
  <c r="V43" i="5" s="1"/>
  <c r="G115" i="28"/>
  <c r="D98" i="28" s="1"/>
  <c r="B17" i="5"/>
  <c r="U16" i="5"/>
  <c r="N16" i="5"/>
  <c r="H16" i="5"/>
  <c r="K115" i="28"/>
  <c r="B72" i="28"/>
  <c r="B73" i="28" s="1"/>
  <c r="B74" i="28" s="1"/>
  <c r="I115" i="28"/>
  <c r="F7" i="5"/>
  <c r="K7" i="5" s="1"/>
  <c r="F10" i="5"/>
  <c r="AP17" i="5" l="1"/>
  <c r="AB17" i="5"/>
  <c r="AI17" i="5"/>
  <c r="W10" i="5"/>
  <c r="AE16" i="5"/>
  <c r="G62" i="28"/>
  <c r="H62" i="28" s="1"/>
  <c r="H17" i="5"/>
  <c r="B18" i="5"/>
  <c r="U17" i="5"/>
  <c r="N17" i="5"/>
  <c r="B75" i="28"/>
  <c r="D101" i="28"/>
  <c r="J27" i="5"/>
  <c r="I43" i="5"/>
  <c r="AI18" i="5" l="1"/>
  <c r="AB18" i="5"/>
  <c r="AP18" i="5"/>
  <c r="AE17" i="5"/>
  <c r="H18" i="5"/>
  <c r="B19" i="5"/>
  <c r="U18" i="5"/>
  <c r="N18" i="5"/>
  <c r="B76" i="28"/>
  <c r="N142" i="28"/>
  <c r="AB19" i="5" l="1"/>
  <c r="AP19" i="5"/>
  <c r="AI19" i="5"/>
  <c r="AE18" i="5"/>
  <c r="H19" i="5"/>
  <c r="B20" i="5"/>
  <c r="U19" i="5"/>
  <c r="N19" i="5"/>
  <c r="B77" i="28"/>
  <c r="N143" i="28"/>
  <c r="AP20" i="5" l="1"/>
  <c r="AB20" i="5"/>
  <c r="AI20" i="5"/>
  <c r="AE19" i="5"/>
  <c r="H20" i="5"/>
  <c r="B21" i="5"/>
  <c r="U20" i="5"/>
  <c r="N20" i="5"/>
  <c r="B78" i="28"/>
  <c r="N144" i="28"/>
  <c r="AP21" i="5" l="1"/>
  <c r="AB21" i="5"/>
  <c r="AI21" i="5"/>
  <c r="AE20" i="5"/>
  <c r="H21" i="5"/>
  <c r="B22" i="5"/>
  <c r="U21" i="5"/>
  <c r="N21" i="5"/>
  <c r="B79" i="28"/>
  <c r="N145" i="28"/>
  <c r="B23" i="5" l="1"/>
  <c r="AI22" i="5"/>
  <c r="AP22" i="5"/>
  <c r="AB22" i="5"/>
  <c r="AE21" i="5"/>
  <c r="B24" i="5"/>
  <c r="H23" i="5"/>
  <c r="U23" i="5"/>
  <c r="N23" i="5"/>
  <c r="H22" i="5"/>
  <c r="U22" i="5"/>
  <c r="N22" i="5"/>
  <c r="B80" i="28"/>
  <c r="N146" i="28"/>
  <c r="AP24" i="5" l="1"/>
  <c r="AB24" i="5"/>
  <c r="AI24" i="5"/>
  <c r="AP23" i="5"/>
  <c r="AB23" i="5"/>
  <c r="AI23" i="5"/>
  <c r="AE22" i="5"/>
  <c r="AE23" i="5"/>
  <c r="B25" i="5"/>
  <c r="N24" i="5"/>
  <c r="U24" i="5"/>
  <c r="H24" i="5"/>
  <c r="B81" i="28"/>
  <c r="N147" i="28"/>
  <c r="B28" i="5" l="1"/>
  <c r="AP25" i="5"/>
  <c r="AB25" i="5"/>
  <c r="AI25" i="5"/>
  <c r="AE24" i="5"/>
  <c r="U25" i="5"/>
  <c r="N25" i="5"/>
  <c r="H25" i="5"/>
  <c r="I45" i="5" s="1"/>
  <c r="B29" i="5"/>
  <c r="N28" i="5"/>
  <c r="U28" i="5"/>
  <c r="B82" i="28"/>
  <c r="AP29" i="5" l="1"/>
  <c r="AB29" i="5"/>
  <c r="AI29" i="5"/>
  <c r="H28" i="5"/>
  <c r="AI28" i="5"/>
  <c r="AB28" i="5"/>
  <c r="AP28" i="5"/>
  <c r="AE25" i="5"/>
  <c r="AE28" i="5"/>
  <c r="N29" i="5"/>
  <c r="U29" i="5"/>
  <c r="B30" i="5"/>
  <c r="H29" i="5"/>
  <c r="B83" i="28"/>
  <c r="AI30" i="5" l="1"/>
  <c r="AP30" i="5"/>
  <c r="AB30" i="5"/>
  <c r="AE29" i="5"/>
  <c r="N30" i="5"/>
  <c r="U30" i="5"/>
  <c r="B31" i="5"/>
  <c r="H30" i="5"/>
  <c r="B84" i="28"/>
  <c r="AP31" i="5" l="1"/>
  <c r="AB31" i="5"/>
  <c r="AI31" i="5"/>
  <c r="AE30" i="5"/>
  <c r="B32" i="5"/>
  <c r="H31" i="5"/>
  <c r="U31" i="5"/>
  <c r="N31" i="5"/>
  <c r="B85" i="28"/>
  <c r="AI32" i="5" l="1"/>
  <c r="AP32" i="5"/>
  <c r="AB32" i="5"/>
  <c r="AE31" i="5"/>
  <c r="U32" i="5"/>
  <c r="H32" i="5"/>
  <c r="N32" i="5"/>
  <c r="B33" i="5"/>
  <c r="B86" i="28"/>
  <c r="AP33" i="5" l="1"/>
  <c r="AB33" i="5"/>
  <c r="AI33" i="5"/>
  <c r="AE32" i="5"/>
  <c r="N33" i="5"/>
  <c r="H33" i="5"/>
  <c r="U33" i="5"/>
  <c r="B34" i="5"/>
  <c r="B87" i="28"/>
  <c r="B88" i="28" s="1"/>
  <c r="AP34" i="5" l="1"/>
  <c r="AB34" i="5"/>
  <c r="AI34" i="5"/>
  <c r="AE33" i="5"/>
  <c r="B35" i="5"/>
  <c r="N34" i="5"/>
  <c r="U34" i="5"/>
  <c r="H34" i="5"/>
  <c r="AP35" i="5" l="1"/>
  <c r="AB35" i="5"/>
  <c r="AI35" i="5"/>
  <c r="AE34" i="5"/>
  <c r="B36" i="5"/>
  <c r="U35" i="5"/>
  <c r="H35" i="5"/>
  <c r="N35" i="5"/>
  <c r="B37" i="5" l="1"/>
  <c r="AI36" i="5"/>
  <c r="AB36" i="5"/>
  <c r="AP36" i="5"/>
  <c r="AE35" i="5"/>
  <c r="B38" i="5" l="1"/>
  <c r="AP37" i="5"/>
  <c r="AB37" i="5"/>
  <c r="AI37" i="5"/>
  <c r="N36" i="5"/>
  <c r="U36" i="5"/>
  <c r="H36" i="5"/>
  <c r="AP38" i="5" l="1"/>
  <c r="AB38" i="5"/>
  <c r="AI38" i="5"/>
  <c r="B39" i="5"/>
  <c r="AE36" i="5"/>
  <c r="H38" i="5"/>
  <c r="U38" i="5"/>
  <c r="N38" i="5"/>
  <c r="N37" i="5"/>
  <c r="U37" i="5"/>
  <c r="H37" i="5"/>
  <c r="AP39" i="5" l="1"/>
  <c r="AB39" i="5"/>
  <c r="AI39" i="5"/>
  <c r="AE37" i="5"/>
  <c r="AE38" i="5"/>
  <c r="U39" i="5"/>
  <c r="H39" i="5"/>
  <c r="N39" i="5"/>
  <c r="AE39" i="5" l="1"/>
  <c r="A66" i="17" l="1"/>
  <c r="A67" i="17" l="1"/>
  <c r="C35" i="34" l="1"/>
  <c r="C34" i="34" l="1"/>
  <c r="C36" i="34" l="1"/>
  <c r="D11" i="28" l="1"/>
  <c r="D12" i="28" s="1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D32" i="28" s="1"/>
  <c r="D33" i="28" s="1"/>
  <c r="E11" i="28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F11" i="28"/>
  <c r="E63" i="28"/>
  <c r="E64" i="28" s="1"/>
  <c r="E65" i="28" s="1"/>
  <c r="E66" i="28" s="1"/>
  <c r="E67" i="28" s="1"/>
  <c r="E68" i="28" s="1"/>
  <c r="E69" i="28" s="1"/>
  <c r="E70" i="28" s="1"/>
  <c r="E71" i="28" s="1"/>
  <c r="E72" i="28" s="1"/>
  <c r="E73" i="28" s="1"/>
  <c r="E74" i="28" s="1"/>
  <c r="E75" i="28" s="1"/>
  <c r="E76" i="28" s="1"/>
  <c r="E77" i="28" s="1"/>
  <c r="E78" i="28" s="1"/>
  <c r="E79" i="28" s="1"/>
  <c r="E80" i="28" s="1"/>
  <c r="E81" i="28" s="1"/>
  <c r="E82" i="28" s="1"/>
  <c r="E83" i="28" s="1"/>
  <c r="E84" i="28" s="1"/>
  <c r="E85" i="28" s="1"/>
  <c r="E86" i="28" s="1"/>
  <c r="E87" i="28" s="1"/>
  <c r="E88" i="28" s="1"/>
  <c r="F63" i="28"/>
  <c r="D63" i="28"/>
  <c r="D64" i="28" s="1"/>
  <c r="D65" i="28" l="1"/>
  <c r="F12" i="28"/>
  <c r="G11" i="28"/>
  <c r="H11" i="28" s="1"/>
  <c r="F64" i="28"/>
  <c r="G63" i="28"/>
  <c r="H63" i="28" s="1"/>
  <c r="D34" i="28"/>
  <c r="D35" i="28" l="1"/>
  <c r="D36" i="28" s="1"/>
  <c r="F13" i="28"/>
  <c r="G12" i="28"/>
  <c r="H12" i="28" s="1"/>
  <c r="F65" i="28"/>
  <c r="G64" i="28"/>
  <c r="H64" i="28" s="1"/>
  <c r="D66" i="28"/>
  <c r="F14" i="28" l="1"/>
  <c r="G13" i="28"/>
  <c r="H13" i="28" s="1"/>
  <c r="D67" i="28"/>
  <c r="D68" i="28" s="1"/>
  <c r="D69" i="28" s="1"/>
  <c r="D70" i="28" s="1"/>
  <c r="D71" i="28" s="1"/>
  <c r="D72" i="28" s="1"/>
  <c r="D73" i="28" s="1"/>
  <c r="D74" i="28" s="1"/>
  <c r="D75" i="28" s="1"/>
  <c r="D76" i="28" s="1"/>
  <c r="D77" i="28" s="1"/>
  <c r="D78" i="28" s="1"/>
  <c r="D79" i="28" s="1"/>
  <c r="D80" i="28" s="1"/>
  <c r="D81" i="28" s="1"/>
  <c r="D82" i="28" s="1"/>
  <c r="D83" i="28" s="1"/>
  <c r="D84" i="28" s="1"/>
  <c r="D85" i="28" s="1"/>
  <c r="D86" i="28" s="1"/>
  <c r="D87" i="28" s="1"/>
  <c r="D88" i="28" s="1"/>
  <c r="F66" i="28"/>
  <c r="G65" i="28"/>
  <c r="H65" i="28" s="1"/>
  <c r="F67" i="28" l="1"/>
  <c r="G66" i="28"/>
  <c r="H66" i="28" s="1"/>
  <c r="F15" i="28"/>
  <c r="G14" i="28"/>
  <c r="H14" i="28" s="1"/>
  <c r="F16" i="28" l="1"/>
  <c r="G15" i="28"/>
  <c r="H15" i="28" s="1"/>
  <c r="F68" i="28"/>
  <c r="G67" i="28"/>
  <c r="H67" i="28" s="1"/>
  <c r="F17" i="28" l="1"/>
  <c r="G16" i="28"/>
  <c r="H16" i="28" s="1"/>
  <c r="F69" i="28"/>
  <c r="G68" i="28"/>
  <c r="H68" i="28" s="1"/>
  <c r="F70" i="28" l="1"/>
  <c r="G69" i="28"/>
  <c r="H69" i="28" s="1"/>
  <c r="F18" i="28"/>
  <c r="G17" i="28"/>
  <c r="H17" i="28" s="1"/>
  <c r="F19" i="28" l="1"/>
  <c r="G18" i="28"/>
  <c r="H18" i="28" s="1"/>
  <c r="F71" i="28"/>
  <c r="G70" i="28"/>
  <c r="H70" i="28" s="1"/>
  <c r="F20" i="28" l="1"/>
  <c r="G19" i="28"/>
  <c r="H19" i="28" s="1"/>
  <c r="F72" i="28"/>
  <c r="G71" i="28"/>
  <c r="H71" i="28" s="1"/>
  <c r="F73" i="28" l="1"/>
  <c r="G72" i="28"/>
  <c r="H72" i="28" s="1"/>
  <c r="F21" i="28"/>
  <c r="G20" i="28"/>
  <c r="H20" i="28" s="1"/>
  <c r="F74" i="28" l="1"/>
  <c r="G73" i="28"/>
  <c r="H73" i="28" s="1"/>
  <c r="F22" i="28"/>
  <c r="G21" i="28"/>
  <c r="H21" i="28" s="1"/>
  <c r="F23" i="28" l="1"/>
  <c r="G22" i="28"/>
  <c r="H22" i="28" s="1"/>
  <c r="D23" i="5" s="1"/>
  <c r="O23" i="5" s="1"/>
  <c r="V23" i="5" s="1"/>
  <c r="F75" i="28"/>
  <c r="G74" i="28"/>
  <c r="H74" i="28" s="1"/>
  <c r="F24" i="28" l="1"/>
  <c r="G23" i="28"/>
  <c r="H23" i="28" s="1"/>
  <c r="D24" i="5" s="1"/>
  <c r="O24" i="5" s="1"/>
  <c r="V24" i="5" s="1"/>
  <c r="F76" i="28"/>
  <c r="G75" i="28"/>
  <c r="H75" i="28" s="1"/>
  <c r="W23" i="5" l="1"/>
  <c r="AJ23" i="5" s="1"/>
  <c r="F77" i="28"/>
  <c r="G76" i="28"/>
  <c r="H76" i="28" s="1"/>
  <c r="F25" i="28"/>
  <c r="G24" i="28"/>
  <c r="H24" i="28" s="1"/>
  <c r="D25" i="5" s="1"/>
  <c r="O25" i="5" s="1"/>
  <c r="V25" i="5" s="1"/>
  <c r="AC23" i="5" l="1"/>
  <c r="AQ23" i="5"/>
  <c r="W24" i="5"/>
  <c r="F78" i="28"/>
  <c r="G77" i="28"/>
  <c r="H77" i="28" s="1"/>
  <c r="F26" i="28"/>
  <c r="G25" i="28"/>
  <c r="H25" i="28" s="1"/>
  <c r="D28" i="5" s="1"/>
  <c r="AQ24" i="5" l="1"/>
  <c r="AJ24" i="5"/>
  <c r="AC24" i="5"/>
  <c r="W25" i="5"/>
  <c r="AC25" i="5" s="1"/>
  <c r="F27" i="28"/>
  <c r="G26" i="28"/>
  <c r="H26" i="28" s="1"/>
  <c r="D29" i="5" s="1"/>
  <c r="F79" i="28"/>
  <c r="G78" i="28"/>
  <c r="H78" i="28" s="1"/>
  <c r="C28" i="5"/>
  <c r="E28" i="5" s="1"/>
  <c r="F28" i="5" s="1"/>
  <c r="K28" i="5" s="1"/>
  <c r="AJ25" i="5" l="1"/>
  <c r="AQ25" i="5"/>
  <c r="O28" i="5"/>
  <c r="V28" i="5"/>
  <c r="C29" i="5"/>
  <c r="E29" i="5" s="1"/>
  <c r="F29" i="5" s="1"/>
  <c r="K29" i="5" s="1"/>
  <c r="F80" i="28"/>
  <c r="G79" i="28"/>
  <c r="H79" i="28" s="1"/>
  <c r="F28" i="28"/>
  <c r="G27" i="28"/>
  <c r="H27" i="28" s="1"/>
  <c r="D30" i="5" s="1"/>
  <c r="W28" i="5" l="1"/>
  <c r="O29" i="5"/>
  <c r="V29" i="5"/>
  <c r="F81" i="28"/>
  <c r="G80" i="28"/>
  <c r="H80" i="28" s="1"/>
  <c r="F29" i="28"/>
  <c r="G28" i="28"/>
  <c r="H28" i="28" s="1"/>
  <c r="D31" i="5" s="1"/>
  <c r="C30" i="5"/>
  <c r="E30" i="5" s="1"/>
  <c r="F30" i="5" s="1"/>
  <c r="K30" i="5" s="1"/>
  <c r="AC28" i="5"/>
  <c r="AQ28" i="5"/>
  <c r="AJ28" i="5"/>
  <c r="W29" i="5" l="1"/>
  <c r="AQ29" i="5" s="1"/>
  <c r="C31" i="5"/>
  <c r="E31" i="5" s="1"/>
  <c r="F31" i="5" s="1"/>
  <c r="K31" i="5" s="1"/>
  <c r="O30" i="5"/>
  <c r="F30" i="28"/>
  <c r="G29" i="28"/>
  <c r="H29" i="28" s="1"/>
  <c r="D32" i="5" s="1"/>
  <c r="F82" i="28"/>
  <c r="G81" i="28"/>
  <c r="H81" i="28" s="1"/>
  <c r="V30" i="5"/>
  <c r="W30" i="5" l="1"/>
  <c r="AJ29" i="5"/>
  <c r="AC29" i="5"/>
  <c r="V31" i="5"/>
  <c r="F31" i="28"/>
  <c r="G30" i="28"/>
  <c r="H30" i="28" s="1"/>
  <c r="D33" i="5" s="1"/>
  <c r="F83" i="28"/>
  <c r="G82" i="28"/>
  <c r="H82" i="28" s="1"/>
  <c r="AC30" i="5"/>
  <c r="AJ30" i="5"/>
  <c r="AQ30" i="5"/>
  <c r="C32" i="5"/>
  <c r="E32" i="5" s="1"/>
  <c r="F32" i="5" s="1"/>
  <c r="K32" i="5" s="1"/>
  <c r="O31" i="5"/>
  <c r="W31" i="5" l="1"/>
  <c r="AC31" i="5" s="1"/>
  <c r="AQ31" i="5"/>
  <c r="V32" i="5"/>
  <c r="F32" i="28"/>
  <c r="G31" i="28"/>
  <c r="H31" i="28" s="1"/>
  <c r="D34" i="5" s="1"/>
  <c r="C33" i="5"/>
  <c r="E33" i="5" s="1"/>
  <c r="F33" i="5" s="1"/>
  <c r="K33" i="5" s="1"/>
  <c r="O32" i="5"/>
  <c r="F84" i="28"/>
  <c r="G83" i="28"/>
  <c r="H83" i="28" s="1"/>
  <c r="AJ31" i="5" l="1"/>
  <c r="W32" i="5"/>
  <c r="F33" i="28"/>
  <c r="G32" i="28"/>
  <c r="H32" i="28" s="1"/>
  <c r="D35" i="5" s="1"/>
  <c r="AC32" i="5"/>
  <c r="AQ32" i="5"/>
  <c r="AJ32" i="5"/>
  <c r="V33" i="5"/>
  <c r="C34" i="5"/>
  <c r="E34" i="5" s="1"/>
  <c r="F34" i="5" s="1"/>
  <c r="K34" i="5" s="1"/>
  <c r="F85" i="28"/>
  <c r="G84" i="28"/>
  <c r="H84" i="28" s="1"/>
  <c r="O33" i="5"/>
  <c r="W33" i="5" l="1"/>
  <c r="V34" i="5"/>
  <c r="O34" i="5"/>
  <c r="AC33" i="5"/>
  <c r="AJ33" i="5"/>
  <c r="AQ33" i="5"/>
  <c r="F86" i="28"/>
  <c r="G85" i="28"/>
  <c r="H85" i="28" s="1"/>
  <c r="F34" i="28"/>
  <c r="G33" i="28"/>
  <c r="H33" i="28" s="1"/>
  <c r="D36" i="5" s="1"/>
  <c r="C35" i="5"/>
  <c r="E35" i="5" s="1"/>
  <c r="F35" i="5" s="1"/>
  <c r="K35" i="5" s="1"/>
  <c r="W34" i="5" l="1"/>
  <c r="AC34" i="5" s="1"/>
  <c r="AQ34" i="5"/>
  <c r="C36" i="5"/>
  <c r="E36" i="5" s="1"/>
  <c r="F36" i="5" s="1"/>
  <c r="K36" i="5" s="1"/>
  <c r="F35" i="28"/>
  <c r="G34" i="28"/>
  <c r="H34" i="28" s="1"/>
  <c r="D37" i="5" s="1"/>
  <c r="O35" i="5"/>
  <c r="F87" i="28"/>
  <c r="G86" i="28"/>
  <c r="H86" i="28" s="1"/>
  <c r="V35" i="5"/>
  <c r="AJ34" i="5" l="1"/>
  <c r="W35" i="5"/>
  <c r="V36" i="5"/>
  <c r="AC35" i="5"/>
  <c r="AJ35" i="5"/>
  <c r="AQ35" i="5"/>
  <c r="F88" i="28"/>
  <c r="G88" i="28" s="1"/>
  <c r="H88" i="28" s="1"/>
  <c r="G87" i="28"/>
  <c r="H87" i="28" s="1"/>
  <c r="C37" i="5"/>
  <c r="E37" i="5" s="1"/>
  <c r="F37" i="5" s="1"/>
  <c r="K37" i="5" s="1"/>
  <c r="O36" i="5"/>
  <c r="F36" i="28"/>
  <c r="G36" i="28" s="1"/>
  <c r="H36" i="28" s="1"/>
  <c r="D39" i="5" s="1"/>
  <c r="G35" i="28"/>
  <c r="H35" i="28" s="1"/>
  <c r="D38" i="5" s="1"/>
  <c r="W36" i="5" l="1"/>
  <c r="AJ36" i="5" s="1"/>
  <c r="V37" i="5"/>
  <c r="C39" i="5"/>
  <c r="E39" i="5" s="1"/>
  <c r="F39" i="5" s="1"/>
  <c r="K39" i="5" s="1"/>
  <c r="C38" i="5"/>
  <c r="E38" i="5" s="1"/>
  <c r="F38" i="5" s="1"/>
  <c r="K38" i="5" s="1"/>
  <c r="O37" i="5"/>
  <c r="W37" i="5" l="1"/>
  <c r="AQ36" i="5"/>
  <c r="AC36" i="5"/>
  <c r="V38" i="5"/>
  <c r="V39" i="5"/>
  <c r="O39" i="5"/>
  <c r="AC37" i="5"/>
  <c r="AQ37" i="5"/>
  <c r="AJ37" i="5"/>
  <c r="O38" i="5"/>
  <c r="W38" i="5" l="1"/>
  <c r="W39" i="5"/>
  <c r="AJ39" i="5" s="1"/>
  <c r="AC39" i="5" l="1"/>
  <c r="AQ39" i="5"/>
  <c r="AJ38" i="5"/>
  <c r="AQ38" i="5"/>
  <c r="AC38" i="5"/>
  <c r="C25" i="34"/>
  <c r="D14" i="5" l="1"/>
  <c r="O14" i="5" s="1"/>
  <c r="V14" i="5" s="1"/>
  <c r="W14" i="5" l="1"/>
  <c r="AQ14" i="5" s="1"/>
  <c r="C24" i="34"/>
  <c r="E24" i="34"/>
  <c r="AC14" i="5" l="1"/>
  <c r="AJ14" i="5"/>
  <c r="D13" i="5"/>
  <c r="O13" i="5" s="1"/>
  <c r="V13" i="5" s="1"/>
  <c r="W13" i="5" s="1"/>
  <c r="AQ13" i="5" s="1"/>
  <c r="C26" i="34"/>
  <c r="D15" i="5" l="1"/>
  <c r="O15" i="5" s="1"/>
  <c r="V15" i="5" s="1"/>
  <c r="AJ13" i="5"/>
  <c r="AC13" i="5"/>
  <c r="W15" i="5" l="1"/>
  <c r="AC15" i="5" s="1"/>
  <c r="AJ15" i="5" l="1"/>
  <c r="AQ15" i="5"/>
  <c r="C27" i="34"/>
  <c r="D16" i="5" l="1"/>
  <c r="O16" i="5" s="1"/>
  <c r="V16" i="5" s="1"/>
  <c r="W16" i="5" s="1"/>
  <c r="AJ16" i="5" s="1"/>
  <c r="AQ16" i="5" l="1"/>
  <c r="AC16" i="5"/>
  <c r="C28" i="34"/>
  <c r="D17" i="5" l="1"/>
  <c r="O17" i="5" s="1"/>
  <c r="V17" i="5" s="1"/>
  <c r="W17" i="5" s="1"/>
  <c r="AC17" i="5" s="1"/>
  <c r="AQ17" i="5" l="1"/>
  <c r="AJ17" i="5"/>
  <c r="C29" i="34"/>
  <c r="D18" i="5" l="1"/>
  <c r="O18" i="5" s="1"/>
  <c r="V18" i="5" s="1"/>
  <c r="W18" i="5" s="1"/>
  <c r="AQ18" i="5" s="1"/>
  <c r="AC18" i="5" l="1"/>
  <c r="AJ18" i="5"/>
  <c r="C30" i="34"/>
  <c r="D19" i="5" l="1"/>
  <c r="O19" i="5" s="1"/>
  <c r="V19" i="5" s="1"/>
  <c r="W19" i="5" s="1"/>
  <c r="AJ19" i="5" s="1"/>
  <c r="AC19" i="5" l="1"/>
  <c r="AQ19" i="5"/>
  <c r="C31" i="34"/>
  <c r="D20" i="5" l="1"/>
  <c r="O20" i="5" s="1"/>
  <c r="V20" i="5" s="1"/>
  <c r="W20" i="5" s="1"/>
  <c r="AC20" i="5" s="1"/>
  <c r="AJ20" i="5" l="1"/>
  <c r="AQ20" i="5"/>
  <c r="C32" i="34"/>
  <c r="D21" i="5" l="1"/>
  <c r="O21" i="5" s="1"/>
  <c r="V21" i="5" s="1"/>
  <c r="W21" i="5" s="1"/>
  <c r="AQ21" i="5" l="1"/>
  <c r="AC21" i="5"/>
  <c r="AJ21" i="5"/>
  <c r="C33" i="34"/>
  <c r="D22" i="5" l="1"/>
  <c r="O22" i="5" s="1"/>
  <c r="V22" i="5" s="1"/>
  <c r="W22" i="5" s="1"/>
  <c r="AQ22" i="5" l="1"/>
  <c r="AC22" i="5"/>
  <c r="AJ22" i="5"/>
  <c r="I86" i="28"/>
  <c r="J86" i="28" s="1"/>
  <c r="K86" i="28" s="1"/>
  <c r="I37" i="5"/>
  <c r="J37" i="5" s="1"/>
  <c r="L37" i="5" s="1"/>
  <c r="I81" i="28"/>
  <c r="J81" i="28" s="1"/>
  <c r="K81" i="28" s="1"/>
  <c r="I32" i="5"/>
  <c r="J32" i="5" s="1"/>
  <c r="L32" i="5" s="1"/>
  <c r="I82" i="28"/>
  <c r="J82" i="28" s="1"/>
  <c r="K82" i="28" s="1"/>
  <c r="I33" i="5"/>
  <c r="J33" i="5" s="1"/>
  <c r="L33" i="5" s="1"/>
  <c r="I79" i="28"/>
  <c r="J79" i="28" s="1"/>
  <c r="K79" i="28" s="1"/>
  <c r="I30" i="5"/>
  <c r="J30" i="5" s="1"/>
  <c r="L30" i="5" s="1"/>
  <c r="I87" i="28"/>
  <c r="J87" i="28" s="1"/>
  <c r="K87" i="28" s="1"/>
  <c r="I38" i="5"/>
  <c r="J38" i="5" s="1"/>
  <c r="L38" i="5" s="1"/>
  <c r="I88" i="28"/>
  <c r="J88" i="28" s="1"/>
  <c r="K88" i="28" s="1"/>
  <c r="I39" i="5"/>
  <c r="J39" i="5" s="1"/>
  <c r="L39" i="5" s="1"/>
  <c r="I85" i="28"/>
  <c r="J85" i="28" s="1"/>
  <c r="K85" i="28" s="1"/>
  <c r="I36" i="5"/>
  <c r="J36" i="5" s="1"/>
  <c r="L36" i="5" s="1"/>
  <c r="I77" i="28"/>
  <c r="J77" i="28" s="1"/>
  <c r="K77" i="28" s="1"/>
  <c r="I28" i="5"/>
  <c r="J28" i="5" s="1"/>
  <c r="L28" i="5" s="1"/>
  <c r="I84" i="28"/>
  <c r="J84" i="28" s="1"/>
  <c r="K84" i="28" s="1"/>
  <c r="I35" i="5"/>
  <c r="J35" i="5" s="1"/>
  <c r="L35" i="5" s="1"/>
  <c r="I83" i="28"/>
  <c r="J83" i="28" s="1"/>
  <c r="K83" i="28" s="1"/>
  <c r="I34" i="5"/>
  <c r="J34" i="5" s="1"/>
  <c r="L34" i="5" s="1"/>
  <c r="I80" i="28"/>
  <c r="J80" i="28" s="1"/>
  <c r="K80" i="28" s="1"/>
  <c r="I31" i="5"/>
  <c r="J31" i="5" s="1"/>
  <c r="L31" i="5" s="1"/>
  <c r="I78" i="28"/>
  <c r="J78" i="28" s="1"/>
  <c r="K78" i="28" s="1"/>
  <c r="I29" i="5"/>
  <c r="J29" i="5" s="1"/>
  <c r="L29" i="5" s="1"/>
  <c r="X34" i="5" l="1"/>
  <c r="P34" i="5"/>
  <c r="X28" i="5"/>
  <c r="P28" i="5"/>
  <c r="X39" i="5"/>
  <c r="P39" i="5"/>
  <c r="X35" i="5"/>
  <c r="P35" i="5"/>
  <c r="X36" i="5"/>
  <c r="P36" i="5"/>
  <c r="X38" i="5"/>
  <c r="P38" i="5"/>
  <c r="X29" i="5"/>
  <c r="P29" i="5"/>
  <c r="P33" i="5"/>
  <c r="X33" i="5"/>
  <c r="X37" i="5"/>
  <c r="P37" i="5"/>
  <c r="P31" i="5"/>
  <c r="X31" i="5"/>
  <c r="X30" i="5"/>
  <c r="P30" i="5"/>
  <c r="P32" i="5"/>
  <c r="X32" i="5"/>
  <c r="AD30" i="5" l="1"/>
  <c r="Y30" i="5"/>
  <c r="C23" i="36" s="1"/>
  <c r="D23" i="36" s="1"/>
  <c r="AK30" i="5"/>
  <c r="AR30" i="5"/>
  <c r="Z30" i="5"/>
  <c r="E23" i="36" s="1"/>
  <c r="F23" i="36" s="1"/>
  <c r="S31" i="5"/>
  <c r="R31" i="5"/>
  <c r="Q31" i="5"/>
  <c r="R33" i="5"/>
  <c r="S33" i="5"/>
  <c r="Q33" i="5"/>
  <c r="Y38" i="5"/>
  <c r="C31" i="36" s="1"/>
  <c r="D31" i="36" s="1"/>
  <c r="Z38" i="5"/>
  <c r="E31" i="36" s="1"/>
  <c r="F31" i="36" s="1"/>
  <c r="AD38" i="5"/>
  <c r="AR38" i="5"/>
  <c r="AK38" i="5"/>
  <c r="AK35" i="5"/>
  <c r="Z35" i="5"/>
  <c r="E28" i="36" s="1"/>
  <c r="F28" i="36" s="1"/>
  <c r="AR35" i="5"/>
  <c r="Y35" i="5"/>
  <c r="C28" i="36" s="1"/>
  <c r="D28" i="36" s="1"/>
  <c r="AD35" i="5"/>
  <c r="AD28" i="5"/>
  <c r="AR28" i="5"/>
  <c r="Y28" i="5"/>
  <c r="C21" i="36" s="1"/>
  <c r="AK28" i="5"/>
  <c r="Z28" i="5"/>
  <c r="E21" i="36" s="1"/>
  <c r="AK32" i="5"/>
  <c r="Y32" i="5"/>
  <c r="C25" i="36" s="1"/>
  <c r="D25" i="36" s="1"/>
  <c r="AR32" i="5"/>
  <c r="AD32" i="5"/>
  <c r="Z32" i="5"/>
  <c r="E25" i="36" s="1"/>
  <c r="F25" i="36" s="1"/>
  <c r="S37" i="5"/>
  <c r="Q37" i="5"/>
  <c r="R37" i="5"/>
  <c r="R29" i="5"/>
  <c r="Q29" i="5"/>
  <c r="S29" i="5"/>
  <c r="Q36" i="5"/>
  <c r="S36" i="5"/>
  <c r="R36" i="5"/>
  <c r="S39" i="5"/>
  <c r="R39" i="5"/>
  <c r="Q39" i="5"/>
  <c r="Q34" i="5"/>
  <c r="S34" i="5"/>
  <c r="R34" i="5"/>
  <c r="S30" i="5"/>
  <c r="Q30" i="5"/>
  <c r="R30" i="5"/>
  <c r="AD31" i="5"/>
  <c r="AK31" i="5"/>
  <c r="Y31" i="5"/>
  <c r="C24" i="36" s="1"/>
  <c r="D24" i="36" s="1"/>
  <c r="Z31" i="5"/>
  <c r="E24" i="36" s="1"/>
  <c r="F24" i="36" s="1"/>
  <c r="AR31" i="5"/>
  <c r="Z33" i="5"/>
  <c r="E26" i="36" s="1"/>
  <c r="F26" i="36" s="1"/>
  <c r="AK33" i="5"/>
  <c r="Y33" i="5"/>
  <c r="C26" i="36" s="1"/>
  <c r="D26" i="36" s="1"/>
  <c r="AR33" i="5"/>
  <c r="AD33" i="5"/>
  <c r="R38" i="5"/>
  <c r="Q38" i="5"/>
  <c r="S38" i="5"/>
  <c r="S35" i="5"/>
  <c r="R35" i="5"/>
  <c r="Q35" i="5"/>
  <c r="S28" i="5"/>
  <c r="Q28" i="5"/>
  <c r="R28" i="5"/>
  <c r="S32" i="5"/>
  <c r="R32" i="5"/>
  <c r="Q32" i="5"/>
  <c r="Z37" i="5"/>
  <c r="E30" i="36" s="1"/>
  <c r="F30" i="36" s="1"/>
  <c r="AD37" i="5"/>
  <c r="AK37" i="5"/>
  <c r="AR37" i="5"/>
  <c r="Y37" i="5"/>
  <c r="C30" i="36" s="1"/>
  <c r="D30" i="36" s="1"/>
  <c r="Y29" i="5"/>
  <c r="C22" i="36" s="1"/>
  <c r="D22" i="36" s="1"/>
  <c r="AR29" i="5"/>
  <c r="Z29" i="5"/>
  <c r="E22" i="36" s="1"/>
  <c r="F22" i="36" s="1"/>
  <c r="AK29" i="5"/>
  <c r="AD29" i="5"/>
  <c r="AR36" i="5"/>
  <c r="Z36" i="5"/>
  <c r="E29" i="36" s="1"/>
  <c r="F29" i="36" s="1"/>
  <c r="AD36" i="5"/>
  <c r="Y36" i="5"/>
  <c r="C29" i="36" s="1"/>
  <c r="D29" i="36" s="1"/>
  <c r="AK36" i="5"/>
  <c r="Z39" i="5"/>
  <c r="E32" i="36" s="1"/>
  <c r="F32" i="36" s="1"/>
  <c r="AD39" i="5"/>
  <c r="AR39" i="5"/>
  <c r="AK39" i="5"/>
  <c r="Y39" i="5"/>
  <c r="C32" i="36" s="1"/>
  <c r="D32" i="36" s="1"/>
  <c r="AR34" i="5"/>
  <c r="AK34" i="5"/>
  <c r="Z34" i="5"/>
  <c r="E27" i="36" s="1"/>
  <c r="F27" i="36" s="1"/>
  <c r="Y34" i="5"/>
  <c r="C27" i="36" s="1"/>
  <c r="D27" i="36" s="1"/>
  <c r="AD34" i="5"/>
  <c r="C29" i="47" l="1"/>
  <c r="E29" i="47" s="1"/>
  <c r="C28" i="47"/>
  <c r="E28" i="47" s="1"/>
  <c r="C30" i="47"/>
  <c r="E30" i="47" s="1"/>
  <c r="C33" i="47"/>
  <c r="E33" i="47" s="1"/>
  <c r="C32" i="47"/>
  <c r="E32" i="47" s="1"/>
  <c r="C34" i="47"/>
  <c r="E34" i="47" s="1"/>
  <c r="C27" i="47"/>
  <c r="E27" i="47" s="1"/>
  <c r="C31" i="47"/>
  <c r="E31" i="47" s="1"/>
  <c r="D21" i="36"/>
  <c r="AU30" i="5"/>
  <c r="E23" i="45" s="1"/>
  <c r="AT30" i="5"/>
  <c r="C23" i="45" s="1"/>
  <c r="O23" i="45" s="1"/>
  <c r="AU37" i="5"/>
  <c r="E30" i="45" s="1"/>
  <c r="AT37" i="5"/>
  <c r="C30" i="45" s="1"/>
  <c r="O30" i="45" s="1"/>
  <c r="AN31" i="5"/>
  <c r="E24" i="44" s="1"/>
  <c r="AM31" i="5"/>
  <c r="C24" i="44" s="1"/>
  <c r="O24" i="44" s="1"/>
  <c r="AN32" i="5"/>
  <c r="E25" i="44" s="1"/>
  <c r="AM32" i="5"/>
  <c r="C25" i="44" s="1"/>
  <c r="O25" i="44" s="1"/>
  <c r="AU28" i="5"/>
  <c r="E21" i="45" s="1"/>
  <c r="U21" i="45" s="1"/>
  <c r="AT28" i="5"/>
  <c r="C21" i="45" s="1"/>
  <c r="O21" i="45" s="1"/>
  <c r="AU35" i="5"/>
  <c r="E28" i="45" s="1"/>
  <c r="AT35" i="5"/>
  <c r="C28" i="45" s="1"/>
  <c r="O28" i="45" s="1"/>
  <c r="AU38" i="5"/>
  <c r="E31" i="45" s="1"/>
  <c r="AT38" i="5"/>
  <c r="C31" i="45" s="1"/>
  <c r="O31" i="45" s="1"/>
  <c r="AN30" i="5"/>
  <c r="E23" i="44" s="1"/>
  <c r="AM30" i="5"/>
  <c r="C23" i="44" s="1"/>
  <c r="O23" i="44" s="1"/>
  <c r="AN39" i="5"/>
  <c r="E32" i="44" s="1"/>
  <c r="AM39" i="5"/>
  <c r="C32" i="44" s="1"/>
  <c r="O32" i="44" s="1"/>
  <c r="AN36" i="5"/>
  <c r="E29" i="44" s="1"/>
  <c r="AM36" i="5"/>
  <c r="C29" i="44" s="1"/>
  <c r="O29" i="44" s="1"/>
  <c r="AU36" i="5"/>
  <c r="E29" i="45" s="1"/>
  <c r="AT36" i="5"/>
  <c r="C29" i="45" s="1"/>
  <c r="O29" i="45" s="1"/>
  <c r="AU29" i="5"/>
  <c r="E22" i="45" s="1"/>
  <c r="AT29" i="5"/>
  <c r="C22" i="45" s="1"/>
  <c r="O22" i="45" s="1"/>
  <c r="AN37" i="5"/>
  <c r="E30" i="44" s="1"/>
  <c r="AM37" i="5"/>
  <c r="C30" i="44" s="1"/>
  <c r="O30" i="44" s="1"/>
  <c r="AU33" i="5"/>
  <c r="E26" i="45" s="1"/>
  <c r="AT33" i="5"/>
  <c r="C26" i="45" s="1"/>
  <c r="O26" i="45" s="1"/>
  <c r="AU31" i="5"/>
  <c r="E24" i="45" s="1"/>
  <c r="AT31" i="5"/>
  <c r="C24" i="45" s="1"/>
  <c r="O24" i="45" s="1"/>
  <c r="AF31" i="5"/>
  <c r="C24" i="39" s="1"/>
  <c r="D24" i="39" s="1"/>
  <c r="AG31" i="5"/>
  <c r="E24" i="39" s="1"/>
  <c r="F24" i="39" s="1"/>
  <c r="AG32" i="5"/>
  <c r="E25" i="39" s="1"/>
  <c r="F25" i="39" s="1"/>
  <c r="AF32" i="5"/>
  <c r="C25" i="39" s="1"/>
  <c r="D25" i="39" s="1"/>
  <c r="F21" i="36"/>
  <c r="AG28" i="5"/>
  <c r="E21" i="39" s="1"/>
  <c r="AF28" i="5"/>
  <c r="C21" i="39" s="1"/>
  <c r="AG38" i="5"/>
  <c r="E31" i="39" s="1"/>
  <c r="F31" i="39" s="1"/>
  <c r="AF38" i="5"/>
  <c r="C31" i="39" s="1"/>
  <c r="D31" i="39" s="1"/>
  <c r="AG34" i="5"/>
  <c r="E27" i="39" s="1"/>
  <c r="F27" i="39" s="1"/>
  <c r="AF34" i="5"/>
  <c r="C27" i="39" s="1"/>
  <c r="D27" i="39" s="1"/>
  <c r="AU34" i="5"/>
  <c r="E27" i="45" s="1"/>
  <c r="AT34" i="5"/>
  <c r="C27" i="45" s="1"/>
  <c r="O27" i="45" s="1"/>
  <c r="AG39" i="5"/>
  <c r="E32" i="39" s="1"/>
  <c r="F32" i="39" s="1"/>
  <c r="AF39" i="5"/>
  <c r="C32" i="39" s="1"/>
  <c r="D32" i="39" s="1"/>
  <c r="AG36" i="5"/>
  <c r="E29" i="39" s="1"/>
  <c r="F29" i="39" s="1"/>
  <c r="AF36" i="5"/>
  <c r="C29" i="39" s="1"/>
  <c r="D29" i="39" s="1"/>
  <c r="AN29" i="5"/>
  <c r="E22" i="44" s="1"/>
  <c r="AM29" i="5"/>
  <c r="C22" i="44" s="1"/>
  <c r="O22" i="44" s="1"/>
  <c r="AN33" i="5"/>
  <c r="E26" i="44" s="1"/>
  <c r="AM33" i="5"/>
  <c r="C26" i="44" s="1"/>
  <c r="O26" i="44" s="1"/>
  <c r="AN38" i="5"/>
  <c r="E31" i="44" s="1"/>
  <c r="AM38" i="5"/>
  <c r="C31" i="44" s="1"/>
  <c r="O31" i="44" s="1"/>
  <c r="AF33" i="5"/>
  <c r="C26" i="39" s="1"/>
  <c r="D26" i="39" s="1"/>
  <c r="AG33" i="5"/>
  <c r="E26" i="39" s="1"/>
  <c r="F26" i="39" s="1"/>
  <c r="AN34" i="5"/>
  <c r="E27" i="44" s="1"/>
  <c r="AM34" i="5"/>
  <c r="C27" i="44" s="1"/>
  <c r="O27" i="44" s="1"/>
  <c r="AU39" i="5"/>
  <c r="E32" i="45" s="1"/>
  <c r="AT39" i="5"/>
  <c r="C32" i="45" s="1"/>
  <c r="O32" i="45" s="1"/>
  <c r="AF29" i="5"/>
  <c r="C22" i="39" s="1"/>
  <c r="D22" i="39" s="1"/>
  <c r="AG29" i="5"/>
  <c r="E22" i="39" s="1"/>
  <c r="F22" i="39" s="1"/>
  <c r="AF37" i="5"/>
  <c r="C30" i="39" s="1"/>
  <c r="D30" i="39" s="1"/>
  <c r="AG37" i="5"/>
  <c r="E30" i="39" s="1"/>
  <c r="F30" i="39" s="1"/>
  <c r="AU32" i="5"/>
  <c r="E25" i="45" s="1"/>
  <c r="AT32" i="5"/>
  <c r="C25" i="45" s="1"/>
  <c r="O25" i="45" s="1"/>
  <c r="AN28" i="5"/>
  <c r="E21" i="44" s="1"/>
  <c r="U21" i="44" s="1"/>
  <c r="AM28" i="5"/>
  <c r="C21" i="44" s="1"/>
  <c r="O21" i="44" s="1"/>
  <c r="AG35" i="5"/>
  <c r="E28" i="39" s="1"/>
  <c r="F28" i="39" s="1"/>
  <c r="AF35" i="5"/>
  <c r="C28" i="39" s="1"/>
  <c r="D28" i="39" s="1"/>
  <c r="AN35" i="5"/>
  <c r="E28" i="44" s="1"/>
  <c r="AM35" i="5"/>
  <c r="C28" i="44" s="1"/>
  <c r="O28" i="44" s="1"/>
  <c r="AG30" i="5"/>
  <c r="E23" i="39" s="1"/>
  <c r="F23" i="39" s="1"/>
  <c r="AF30" i="5"/>
  <c r="C23" i="39" s="1"/>
  <c r="D23" i="39" s="1"/>
  <c r="F31" i="47" l="1"/>
  <c r="H31" i="47" s="1"/>
  <c r="F30" i="47"/>
  <c r="H30" i="47" s="1"/>
  <c r="F28" i="47"/>
  <c r="H28" i="47" s="1"/>
  <c r="F33" i="47"/>
  <c r="H33" i="47" s="1"/>
  <c r="F32" i="47"/>
  <c r="H32" i="47" s="1"/>
  <c r="F27" i="47"/>
  <c r="H27" i="47" s="1"/>
  <c r="C26" i="47"/>
  <c r="E26" i="47" s="1"/>
  <c r="F34" i="47"/>
  <c r="H34" i="47" s="1"/>
  <c r="F29" i="47"/>
  <c r="H29" i="47" s="1"/>
  <c r="F25" i="45"/>
  <c r="X25" i="45" s="1"/>
  <c r="U25" i="45"/>
  <c r="F26" i="45"/>
  <c r="X26" i="45" s="1"/>
  <c r="U26" i="45"/>
  <c r="F22" i="45"/>
  <c r="X22" i="45" s="1"/>
  <c r="U22" i="45"/>
  <c r="F28" i="45"/>
  <c r="X28" i="45" s="1"/>
  <c r="U28" i="45"/>
  <c r="F30" i="45"/>
  <c r="X30" i="45" s="1"/>
  <c r="U30" i="45"/>
  <c r="F32" i="45"/>
  <c r="X32" i="45" s="1"/>
  <c r="U32" i="45"/>
  <c r="F27" i="45"/>
  <c r="X27" i="45" s="1"/>
  <c r="U27" i="45"/>
  <c r="F24" i="45"/>
  <c r="X24" i="45" s="1"/>
  <c r="U24" i="45"/>
  <c r="F29" i="45"/>
  <c r="X29" i="45" s="1"/>
  <c r="U29" i="45"/>
  <c r="F31" i="45"/>
  <c r="X31" i="45" s="1"/>
  <c r="U31" i="45"/>
  <c r="F23" i="45"/>
  <c r="X23" i="45" s="1"/>
  <c r="U23" i="45"/>
  <c r="F27" i="44"/>
  <c r="X27" i="44" s="1"/>
  <c r="U27" i="44"/>
  <c r="F22" i="44"/>
  <c r="X22" i="44" s="1"/>
  <c r="U22" i="44"/>
  <c r="F23" i="44"/>
  <c r="X23" i="44" s="1"/>
  <c r="U23" i="44"/>
  <c r="F25" i="44"/>
  <c r="X25" i="44" s="1"/>
  <c r="U25" i="44"/>
  <c r="F26" i="44"/>
  <c r="X26" i="44" s="1"/>
  <c r="U26" i="44"/>
  <c r="F31" i="44"/>
  <c r="X31" i="44" s="1"/>
  <c r="U31" i="44"/>
  <c r="F29" i="44"/>
  <c r="X29" i="44" s="1"/>
  <c r="U29" i="44"/>
  <c r="F28" i="44"/>
  <c r="X28" i="44" s="1"/>
  <c r="U28" i="44"/>
  <c r="F30" i="44"/>
  <c r="X30" i="44" s="1"/>
  <c r="U30" i="44"/>
  <c r="F32" i="44"/>
  <c r="X32" i="44" s="1"/>
  <c r="U32" i="44"/>
  <c r="F24" i="44"/>
  <c r="X24" i="44" s="1"/>
  <c r="U24" i="44"/>
  <c r="D24" i="45"/>
  <c r="D31" i="45"/>
  <c r="D23" i="45"/>
  <c r="D25" i="45"/>
  <c r="D29" i="45"/>
  <c r="L34" i="47" s="1"/>
  <c r="N34" i="47" s="1"/>
  <c r="D32" i="45"/>
  <c r="D27" i="45"/>
  <c r="D26" i="45"/>
  <c r="L31" i="47" s="1"/>
  <c r="N31" i="47" s="1"/>
  <c r="D22" i="45"/>
  <c r="L27" i="47" s="1"/>
  <c r="N27" i="47" s="1"/>
  <c r="D28" i="45"/>
  <c r="D30" i="45"/>
  <c r="D28" i="44"/>
  <c r="D27" i="44"/>
  <c r="D22" i="44"/>
  <c r="D32" i="44"/>
  <c r="D31" i="44"/>
  <c r="D30" i="44"/>
  <c r="D24" i="44"/>
  <c r="D26" i="44"/>
  <c r="I31" i="47" s="1"/>
  <c r="K31" i="47" s="1"/>
  <c r="D29" i="44"/>
  <c r="D23" i="44"/>
  <c r="D25" i="44"/>
  <c r="D21" i="45"/>
  <c r="F21" i="45"/>
  <c r="X21" i="45" s="1"/>
  <c r="F21" i="44"/>
  <c r="X21" i="44" s="1"/>
  <c r="D21" i="39"/>
  <c r="F21" i="39"/>
  <c r="D21" i="44"/>
  <c r="I34" i="47" l="1"/>
  <c r="K34" i="47" s="1"/>
  <c r="I26" i="47"/>
  <c r="K26" i="47" s="1"/>
  <c r="I33" i="47"/>
  <c r="K33" i="47" s="1"/>
  <c r="L30" i="47"/>
  <c r="N30" i="47" s="1"/>
  <c r="L32" i="47"/>
  <c r="N32" i="47" s="1"/>
  <c r="L28" i="47"/>
  <c r="N28" i="47" s="1"/>
  <c r="I30" i="47"/>
  <c r="K30" i="47" s="1"/>
  <c r="I27" i="47"/>
  <c r="K27" i="47" s="1"/>
  <c r="L26" i="47"/>
  <c r="N26" i="47" s="1"/>
  <c r="F26" i="47"/>
  <c r="H26" i="47" s="1"/>
  <c r="I29" i="47"/>
  <c r="K29" i="47" s="1"/>
  <c r="L33" i="47"/>
  <c r="N33" i="47" s="1"/>
  <c r="I28" i="47"/>
  <c r="K28" i="47" s="1"/>
  <c r="I32" i="47"/>
  <c r="K32" i="47" s="1"/>
  <c r="L29" i="47"/>
  <c r="N29" i="47" s="1"/>
  <c r="R23" i="44"/>
  <c r="R27" i="44"/>
  <c r="R29" i="45"/>
  <c r="R24" i="45"/>
  <c r="R31" i="44"/>
  <c r="R26" i="45"/>
  <c r="R21" i="45"/>
  <c r="R30" i="45"/>
  <c r="R27" i="45"/>
  <c r="R23" i="45"/>
  <c r="R30" i="44"/>
  <c r="R22" i="45"/>
  <c r="R21" i="44"/>
  <c r="R29" i="44"/>
  <c r="R28" i="44"/>
  <c r="R25" i="45"/>
  <c r="R26" i="44"/>
  <c r="R32" i="44"/>
  <c r="R25" i="44"/>
  <c r="R24" i="44"/>
  <c r="R22" i="44"/>
  <c r="R28" i="45"/>
  <c r="R32" i="45"/>
  <c r="R31" i="45"/>
  <c r="C39" i="17" l="1"/>
  <c r="F40" i="17"/>
  <c r="G40" i="17"/>
  <c r="L40" i="17"/>
  <c r="J40" i="17"/>
  <c r="D39" i="17"/>
  <c r="J39" i="17"/>
  <c r="E38" i="17"/>
  <c r="L39" i="17"/>
  <c r="K39" i="17"/>
  <c r="H38" i="17"/>
  <c r="E39" i="17"/>
  <c r="G38" i="17"/>
  <c r="F39" i="17"/>
  <c r="J38" i="17"/>
  <c r="L38" i="17"/>
  <c r="K40" i="17"/>
  <c r="M39" i="17"/>
  <c r="H39" i="17"/>
  <c r="D38" i="17"/>
  <c r="K38" i="17"/>
  <c r="I38" i="17"/>
  <c r="E40" i="17"/>
  <c r="G39" i="17"/>
  <c r="F38" i="17"/>
  <c r="I40" i="17"/>
  <c r="C40" i="17"/>
  <c r="M38" i="17"/>
  <c r="C38" i="17"/>
  <c r="I39" i="17"/>
  <c r="M40" i="17"/>
  <c r="D40" i="17"/>
  <c r="H40" i="17"/>
  <c r="M40" i="42" l="1"/>
  <c r="M22" i="42" s="1"/>
  <c r="M58" i="42" s="1"/>
  <c r="M40" i="41"/>
  <c r="M22" i="41" s="1"/>
  <c r="M58" i="41" s="1"/>
  <c r="M40" i="40"/>
  <c r="M22" i="40" s="1"/>
  <c r="M58" i="40" s="1"/>
  <c r="M22" i="17"/>
  <c r="M58" i="17" s="1"/>
  <c r="M39" i="41"/>
  <c r="M21" i="41" s="1"/>
  <c r="M57" i="41" s="1"/>
  <c r="M39" i="40"/>
  <c r="M21" i="40" s="1"/>
  <c r="M57" i="40" s="1"/>
  <c r="M39" i="42"/>
  <c r="M21" i="42" s="1"/>
  <c r="M57" i="42" s="1"/>
  <c r="M21" i="17"/>
  <c r="M57" i="17" s="1"/>
  <c r="K40" i="41"/>
  <c r="K22" i="41" s="1"/>
  <c r="K58" i="41" s="1"/>
  <c r="K40" i="42"/>
  <c r="K22" i="42" s="1"/>
  <c r="K58" i="42" s="1"/>
  <c r="K40" i="40"/>
  <c r="K22" i="40" s="1"/>
  <c r="K58" i="40" s="1"/>
  <c r="K22" i="17"/>
  <c r="K58" i="17" s="1"/>
  <c r="G38" i="42"/>
  <c r="G38" i="41"/>
  <c r="G38" i="40"/>
  <c r="H76" i="17"/>
  <c r="F18" i="36" s="1"/>
  <c r="G20" i="17"/>
  <c r="E39" i="40"/>
  <c r="E21" i="40" s="1"/>
  <c r="E57" i="40" s="1"/>
  <c r="E39" i="42"/>
  <c r="E21" i="42" s="1"/>
  <c r="E57" i="42" s="1"/>
  <c r="E39" i="41"/>
  <c r="E21" i="41" s="1"/>
  <c r="E57" i="41" s="1"/>
  <c r="E21" i="17"/>
  <c r="E57" i="17" s="1"/>
  <c r="L39" i="41"/>
  <c r="L21" i="41" s="1"/>
  <c r="L57" i="41" s="1"/>
  <c r="L39" i="42"/>
  <c r="L21" i="42" s="1"/>
  <c r="L57" i="42" s="1"/>
  <c r="L39" i="40"/>
  <c r="L21" i="40" s="1"/>
  <c r="L57" i="40" s="1"/>
  <c r="L21" i="17"/>
  <c r="L57" i="17" s="1"/>
  <c r="E38" i="40"/>
  <c r="E20" i="40" s="1"/>
  <c r="E56" i="40" s="1"/>
  <c r="E38" i="42"/>
  <c r="E20" i="42" s="1"/>
  <c r="E56" i="42" s="1"/>
  <c r="E38" i="41"/>
  <c r="E20" i="41" s="1"/>
  <c r="E56" i="41" s="1"/>
  <c r="E20" i="17"/>
  <c r="E56" i="17" s="1"/>
  <c r="J40" i="40"/>
  <c r="J22" i="40" s="1"/>
  <c r="J58" i="40" s="1"/>
  <c r="J40" i="41"/>
  <c r="J22" i="41" s="1"/>
  <c r="J58" i="41" s="1"/>
  <c r="J40" i="42"/>
  <c r="J22" i="42" s="1"/>
  <c r="J58" i="42" s="1"/>
  <c r="J22" i="17"/>
  <c r="J58" i="17" s="1"/>
  <c r="F40" i="42"/>
  <c r="F22" i="42" s="1"/>
  <c r="F58" i="42" s="1"/>
  <c r="F40" i="41"/>
  <c r="F22" i="41" s="1"/>
  <c r="F58" i="41" s="1"/>
  <c r="F40" i="40"/>
  <c r="F22" i="40" s="1"/>
  <c r="F58" i="40" s="1"/>
  <c r="F22" i="17"/>
  <c r="F58" i="17" s="1"/>
  <c r="F38" i="42"/>
  <c r="F20" i="42" s="1"/>
  <c r="F56" i="42" s="1"/>
  <c r="F38" i="41"/>
  <c r="F20" i="41" s="1"/>
  <c r="F56" i="41" s="1"/>
  <c r="F38" i="40"/>
  <c r="F20" i="40" s="1"/>
  <c r="F56" i="40" s="1"/>
  <c r="F20" i="17"/>
  <c r="F56" i="17" s="1"/>
  <c r="K38" i="42"/>
  <c r="K20" i="42" s="1"/>
  <c r="K56" i="42" s="1"/>
  <c r="K38" i="41"/>
  <c r="K20" i="41" s="1"/>
  <c r="K56" i="41" s="1"/>
  <c r="K38" i="40"/>
  <c r="K20" i="40" s="1"/>
  <c r="K56" i="40" s="1"/>
  <c r="K20" i="17"/>
  <c r="K56" i="17" s="1"/>
  <c r="H39" i="42"/>
  <c r="H21" i="42" s="1"/>
  <c r="H57" i="42" s="1"/>
  <c r="H39" i="41"/>
  <c r="H21" i="41" s="1"/>
  <c r="H57" i="41" s="1"/>
  <c r="H39" i="40"/>
  <c r="H21" i="40" s="1"/>
  <c r="H57" i="40" s="1"/>
  <c r="H21" i="17"/>
  <c r="H57" i="17" s="1"/>
  <c r="L38" i="41"/>
  <c r="L20" i="41" s="1"/>
  <c r="L56" i="41" s="1"/>
  <c r="L38" i="42"/>
  <c r="L20" i="42" s="1"/>
  <c r="L56" i="42" s="1"/>
  <c r="L38" i="40"/>
  <c r="L20" i="40" s="1"/>
  <c r="L56" i="40" s="1"/>
  <c r="L20" i="17"/>
  <c r="L56" i="17" s="1"/>
  <c r="J38" i="42"/>
  <c r="J20" i="42" s="1"/>
  <c r="J56" i="42" s="1"/>
  <c r="J38" i="41"/>
  <c r="J20" i="41" s="1"/>
  <c r="J56" i="41" s="1"/>
  <c r="J38" i="40"/>
  <c r="J20" i="40" s="1"/>
  <c r="J56" i="40" s="1"/>
  <c r="J20" i="17"/>
  <c r="J56" i="17" s="1"/>
  <c r="D39" i="41"/>
  <c r="D21" i="41" s="1"/>
  <c r="D57" i="41" s="1"/>
  <c r="D39" i="40"/>
  <c r="D21" i="40" s="1"/>
  <c r="D57" i="40" s="1"/>
  <c r="D39" i="42"/>
  <c r="D21" i="42" s="1"/>
  <c r="D57" i="42" s="1"/>
  <c r="D21" i="17"/>
  <c r="D57" i="17" s="1"/>
  <c r="L40" i="40"/>
  <c r="L22" i="40" s="1"/>
  <c r="L58" i="40" s="1"/>
  <c r="L40" i="42"/>
  <c r="L22" i="42" s="1"/>
  <c r="L58" i="42" s="1"/>
  <c r="L40" i="41"/>
  <c r="L22" i="41" s="1"/>
  <c r="L58" i="41" s="1"/>
  <c r="L22" i="17"/>
  <c r="L58" i="17" s="1"/>
  <c r="I39" i="42"/>
  <c r="I21" i="42" s="1"/>
  <c r="I57" i="42" s="1"/>
  <c r="I39" i="41"/>
  <c r="I21" i="41" s="1"/>
  <c r="I57" i="41" s="1"/>
  <c r="I39" i="40"/>
  <c r="I21" i="40" s="1"/>
  <c r="I57" i="40" s="1"/>
  <c r="I21" i="17"/>
  <c r="I57" i="17" s="1"/>
  <c r="C38" i="41"/>
  <c r="C20" i="41" s="1"/>
  <c r="C56" i="41" s="1"/>
  <c r="C38" i="42"/>
  <c r="C20" i="42" s="1"/>
  <c r="C56" i="42" s="1"/>
  <c r="C38" i="40"/>
  <c r="C20" i="40" s="1"/>
  <c r="C56" i="40" s="1"/>
  <c r="C20" i="17"/>
  <c r="C56" i="17" s="1"/>
  <c r="M38" i="40"/>
  <c r="M20" i="40" s="1"/>
  <c r="M56" i="40" s="1"/>
  <c r="M38" i="41"/>
  <c r="M20" i="41" s="1"/>
  <c r="M56" i="41" s="1"/>
  <c r="M38" i="42"/>
  <c r="M20" i="42" s="1"/>
  <c r="M56" i="42" s="1"/>
  <c r="M20" i="17"/>
  <c r="M56" i="17" s="1"/>
  <c r="I40" i="42"/>
  <c r="I22" i="42" s="1"/>
  <c r="I58" i="42" s="1"/>
  <c r="I40" i="41"/>
  <c r="I22" i="41" s="1"/>
  <c r="I58" i="41" s="1"/>
  <c r="I40" i="40"/>
  <c r="I22" i="40" s="1"/>
  <c r="I58" i="40" s="1"/>
  <c r="I22" i="17"/>
  <c r="I58" i="17" s="1"/>
  <c r="E40" i="42"/>
  <c r="E22" i="42" s="1"/>
  <c r="E58" i="42" s="1"/>
  <c r="E40" i="40"/>
  <c r="E22" i="40" s="1"/>
  <c r="E58" i="40" s="1"/>
  <c r="E40" i="41"/>
  <c r="E22" i="41" s="1"/>
  <c r="E58" i="41" s="1"/>
  <c r="E22" i="17"/>
  <c r="E58" i="17" s="1"/>
  <c r="I38" i="42"/>
  <c r="I20" i="42" s="1"/>
  <c r="I56" i="42" s="1"/>
  <c r="I38" i="40"/>
  <c r="I20" i="40" s="1"/>
  <c r="I56" i="40" s="1"/>
  <c r="I38" i="41"/>
  <c r="I20" i="41" s="1"/>
  <c r="I56" i="41" s="1"/>
  <c r="I20" i="17"/>
  <c r="I56" i="17" s="1"/>
  <c r="F39" i="42"/>
  <c r="F21" i="42" s="1"/>
  <c r="F57" i="42" s="1"/>
  <c r="F39" i="41"/>
  <c r="F21" i="41" s="1"/>
  <c r="F57" i="41" s="1"/>
  <c r="F39" i="40"/>
  <c r="F21" i="40" s="1"/>
  <c r="F57" i="40" s="1"/>
  <c r="F21" i="17"/>
  <c r="F57" i="17" s="1"/>
  <c r="J39" i="42"/>
  <c r="J21" i="42" s="1"/>
  <c r="J57" i="42" s="1"/>
  <c r="J39" i="41"/>
  <c r="J21" i="41" s="1"/>
  <c r="J57" i="41" s="1"/>
  <c r="J39" i="40"/>
  <c r="J21" i="40" s="1"/>
  <c r="J57" i="40" s="1"/>
  <c r="J21" i="17"/>
  <c r="J57" i="17" s="1"/>
  <c r="C39" i="41"/>
  <c r="C21" i="41" s="1"/>
  <c r="C57" i="41" s="1"/>
  <c r="C39" i="40"/>
  <c r="C21" i="40" s="1"/>
  <c r="C57" i="40" s="1"/>
  <c r="C39" i="42"/>
  <c r="C21" i="42" s="1"/>
  <c r="C57" i="42" s="1"/>
  <c r="C21" i="17"/>
  <c r="C57" i="17" s="1"/>
  <c r="H40" i="40"/>
  <c r="H22" i="40" s="1"/>
  <c r="H58" i="40" s="1"/>
  <c r="H40" i="42"/>
  <c r="H22" i="42" s="1"/>
  <c r="H58" i="42" s="1"/>
  <c r="H40" i="41"/>
  <c r="H22" i="41" s="1"/>
  <c r="H58" i="41" s="1"/>
  <c r="H22" i="17"/>
  <c r="H58" i="17" s="1"/>
  <c r="D40" i="41"/>
  <c r="D22" i="41" s="1"/>
  <c r="D58" i="41" s="1"/>
  <c r="D40" i="42"/>
  <c r="D22" i="42" s="1"/>
  <c r="D58" i="42" s="1"/>
  <c r="D40" i="40"/>
  <c r="D22" i="40" s="1"/>
  <c r="D58" i="40" s="1"/>
  <c r="D22" i="17"/>
  <c r="D58" i="17" s="1"/>
  <c r="C40" i="41"/>
  <c r="C22" i="41" s="1"/>
  <c r="C58" i="41" s="1"/>
  <c r="C40" i="40"/>
  <c r="C22" i="40" s="1"/>
  <c r="C58" i="40" s="1"/>
  <c r="C40" i="42"/>
  <c r="C22" i="42" s="1"/>
  <c r="C58" i="42" s="1"/>
  <c r="C22" i="17"/>
  <c r="C58" i="17" s="1"/>
  <c r="G39" i="40"/>
  <c r="G39" i="42"/>
  <c r="G39" i="41"/>
  <c r="H77" i="17"/>
  <c r="F19" i="36" s="1"/>
  <c r="G21" i="17"/>
  <c r="D38" i="41"/>
  <c r="D20" i="41" s="1"/>
  <c r="D56" i="41" s="1"/>
  <c r="D38" i="40"/>
  <c r="D20" i="40" s="1"/>
  <c r="D56" i="40" s="1"/>
  <c r="D38" i="42"/>
  <c r="D20" i="42" s="1"/>
  <c r="D56" i="42" s="1"/>
  <c r="D20" i="17"/>
  <c r="D56" i="17" s="1"/>
  <c r="H38" i="41"/>
  <c r="H20" i="41" s="1"/>
  <c r="H56" i="41" s="1"/>
  <c r="H38" i="40"/>
  <c r="H20" i="40" s="1"/>
  <c r="H56" i="40" s="1"/>
  <c r="H38" i="42"/>
  <c r="H20" i="42" s="1"/>
  <c r="H56" i="42" s="1"/>
  <c r="H20" i="17"/>
  <c r="H56" i="17" s="1"/>
  <c r="K39" i="42"/>
  <c r="K21" i="42" s="1"/>
  <c r="K57" i="42" s="1"/>
  <c r="K39" i="40"/>
  <c r="K21" i="40" s="1"/>
  <c r="K57" i="40" s="1"/>
  <c r="K39" i="41"/>
  <c r="K21" i="41" s="1"/>
  <c r="K57" i="41" s="1"/>
  <c r="K21" i="17"/>
  <c r="K57" i="17" s="1"/>
  <c r="G40" i="42"/>
  <c r="G40" i="41"/>
  <c r="G40" i="40"/>
  <c r="H78" i="17"/>
  <c r="F20" i="36" s="1"/>
  <c r="G22" i="17"/>
  <c r="H77" i="41" l="1"/>
  <c r="F19" i="44" s="1"/>
  <c r="X19" i="44" s="1"/>
  <c r="G21" i="41"/>
  <c r="H77" i="42"/>
  <c r="F19" i="45" s="1"/>
  <c r="X19" i="45" s="1"/>
  <c r="G21" i="42"/>
  <c r="H76" i="40"/>
  <c r="F18" i="39" s="1"/>
  <c r="G20" i="40"/>
  <c r="G57" i="17"/>
  <c r="I77" i="17" s="1"/>
  <c r="G77" i="17"/>
  <c r="D19" i="36" s="1"/>
  <c r="H76" i="41"/>
  <c r="F18" i="44" s="1"/>
  <c r="X18" i="44" s="1"/>
  <c r="G20" i="41"/>
  <c r="H78" i="41"/>
  <c r="F20" i="44" s="1"/>
  <c r="X20" i="44" s="1"/>
  <c r="G22" i="41"/>
  <c r="G58" i="17"/>
  <c r="I78" i="17" s="1"/>
  <c r="G78" i="17"/>
  <c r="D20" i="36" s="1"/>
  <c r="H78" i="42"/>
  <c r="F20" i="45" s="1"/>
  <c r="X20" i="45" s="1"/>
  <c r="G22" i="42"/>
  <c r="H77" i="40"/>
  <c r="F19" i="39" s="1"/>
  <c r="G21" i="40"/>
  <c r="H78" i="40"/>
  <c r="F20" i="39" s="1"/>
  <c r="G22" i="40"/>
  <c r="G56" i="17"/>
  <c r="I76" i="17" s="1"/>
  <c r="G76" i="17"/>
  <c r="D18" i="36" s="1"/>
  <c r="H76" i="42"/>
  <c r="F18" i="45" s="1"/>
  <c r="X18" i="45" s="1"/>
  <c r="G20" i="42"/>
  <c r="B38" i="17"/>
  <c r="B39" i="17"/>
  <c r="B40" i="17"/>
  <c r="G57" i="42" l="1"/>
  <c r="I77" i="42" s="1"/>
  <c r="G77" i="42"/>
  <c r="D19" i="45" s="1"/>
  <c r="G58" i="41"/>
  <c r="I78" i="41" s="1"/>
  <c r="G78" i="41"/>
  <c r="D20" i="44" s="1"/>
  <c r="G56" i="42"/>
  <c r="I76" i="42" s="1"/>
  <c r="G76" i="42"/>
  <c r="D18" i="45" s="1"/>
  <c r="G58" i="42"/>
  <c r="I78" i="42" s="1"/>
  <c r="G78" i="42"/>
  <c r="D20" i="45" s="1"/>
  <c r="B38" i="40"/>
  <c r="B38" i="41"/>
  <c r="B38" i="42"/>
  <c r="D76" i="17"/>
  <c r="E18" i="36" s="1"/>
  <c r="L76" i="17"/>
  <c r="B20" i="17"/>
  <c r="B40" i="42"/>
  <c r="B40" i="41"/>
  <c r="B40" i="40"/>
  <c r="L78" i="17"/>
  <c r="D78" i="17"/>
  <c r="E20" i="36" s="1"/>
  <c r="B22" i="17"/>
  <c r="B39" i="40"/>
  <c r="B39" i="42"/>
  <c r="B39" i="41"/>
  <c r="D77" i="17"/>
  <c r="E19" i="36" s="1"/>
  <c r="L77" i="17"/>
  <c r="B21" i="17"/>
  <c r="G57" i="40"/>
  <c r="I77" i="40" s="1"/>
  <c r="G77" i="40"/>
  <c r="D19" i="39" s="1"/>
  <c r="G56" i="41"/>
  <c r="I76" i="41" s="1"/>
  <c r="G76" i="41"/>
  <c r="D18" i="44" s="1"/>
  <c r="G56" i="40"/>
  <c r="I76" i="40" s="1"/>
  <c r="G76" i="40"/>
  <c r="D18" i="39" s="1"/>
  <c r="G57" i="41"/>
  <c r="I77" i="41" s="1"/>
  <c r="G77" i="41"/>
  <c r="D19" i="44" s="1"/>
  <c r="G58" i="40"/>
  <c r="I78" i="40" s="1"/>
  <c r="G78" i="40"/>
  <c r="D20" i="39" s="1"/>
  <c r="R19" i="44" l="1"/>
  <c r="R18" i="44"/>
  <c r="B57" i="17"/>
  <c r="C77" i="17"/>
  <c r="C19" i="36" s="1"/>
  <c r="C24" i="47" s="1"/>
  <c r="E24" i="47" s="1"/>
  <c r="K77" i="17"/>
  <c r="D77" i="42"/>
  <c r="E19" i="45" s="1"/>
  <c r="U19" i="45" s="1"/>
  <c r="L77" i="42"/>
  <c r="B21" i="42"/>
  <c r="L25" i="5"/>
  <c r="B56" i="17"/>
  <c r="C76" i="17"/>
  <c r="C18" i="36" s="1"/>
  <c r="C23" i="47" s="1"/>
  <c r="E23" i="47" s="1"/>
  <c r="K76" i="17"/>
  <c r="L76" i="41"/>
  <c r="D76" i="41"/>
  <c r="E18" i="44" s="1"/>
  <c r="U18" i="44" s="1"/>
  <c r="B20" i="41"/>
  <c r="R18" i="45"/>
  <c r="R19" i="45"/>
  <c r="L24" i="5"/>
  <c r="L77" i="40"/>
  <c r="D77" i="40"/>
  <c r="E19" i="39" s="1"/>
  <c r="B21" i="40"/>
  <c r="D78" i="40"/>
  <c r="E20" i="39" s="1"/>
  <c r="L78" i="40"/>
  <c r="B22" i="40"/>
  <c r="L23" i="5"/>
  <c r="L76" i="40"/>
  <c r="D76" i="40"/>
  <c r="E18" i="39" s="1"/>
  <c r="B20" i="40"/>
  <c r="K78" i="17"/>
  <c r="C78" i="17"/>
  <c r="C20" i="36" s="1"/>
  <c r="C25" i="47" s="1"/>
  <c r="E25" i="47" s="1"/>
  <c r="B58" i="17"/>
  <c r="L78" i="41"/>
  <c r="D78" i="41"/>
  <c r="E20" i="44" s="1"/>
  <c r="U20" i="44" s="1"/>
  <c r="B22" i="41"/>
  <c r="R20" i="45"/>
  <c r="R20" i="44"/>
  <c r="L77" i="41"/>
  <c r="D77" i="41"/>
  <c r="E19" i="44" s="1"/>
  <c r="U19" i="44" s="1"/>
  <c r="B21" i="41"/>
  <c r="D78" i="42"/>
  <c r="E20" i="45" s="1"/>
  <c r="U20" i="45" s="1"/>
  <c r="L78" i="42"/>
  <c r="B22" i="42"/>
  <c r="L76" i="42"/>
  <c r="D76" i="42"/>
  <c r="E18" i="45" s="1"/>
  <c r="U18" i="45" s="1"/>
  <c r="B20" i="42"/>
  <c r="B58" i="42" l="1"/>
  <c r="K78" i="42"/>
  <c r="C78" i="42"/>
  <c r="C20" i="45" s="1"/>
  <c r="L25" i="47" s="1"/>
  <c r="N25" i="47" s="1"/>
  <c r="B56" i="42"/>
  <c r="C76" i="42"/>
  <c r="C18" i="45" s="1"/>
  <c r="L23" i="47" s="1"/>
  <c r="N23" i="47" s="1"/>
  <c r="K76" i="42"/>
  <c r="B57" i="40"/>
  <c r="C77" i="40"/>
  <c r="C19" i="39" s="1"/>
  <c r="F24" i="47" s="1"/>
  <c r="H24" i="47" s="1"/>
  <c r="K77" i="40"/>
  <c r="M78" i="17"/>
  <c r="E78" i="17"/>
  <c r="B56" i="40"/>
  <c r="K76" i="40"/>
  <c r="C76" i="40"/>
  <c r="C18" i="39" s="1"/>
  <c r="F23" i="47" s="1"/>
  <c r="H23" i="47" s="1"/>
  <c r="P23" i="5"/>
  <c r="X23" i="5"/>
  <c r="P24" i="5"/>
  <c r="X24" i="5"/>
  <c r="X25" i="5"/>
  <c r="P25" i="5"/>
  <c r="B57" i="41"/>
  <c r="C77" i="41"/>
  <c r="C19" i="44" s="1"/>
  <c r="I24" i="47" s="1"/>
  <c r="K24" i="47" s="1"/>
  <c r="K77" i="41"/>
  <c r="B58" i="41"/>
  <c r="C78" i="41"/>
  <c r="C20" i="44" s="1"/>
  <c r="I25" i="47" s="1"/>
  <c r="K25" i="47" s="1"/>
  <c r="K78" i="41"/>
  <c r="B58" i="40"/>
  <c r="C78" i="40"/>
  <c r="C20" i="39" s="1"/>
  <c r="F25" i="47" s="1"/>
  <c r="H25" i="47" s="1"/>
  <c r="K78" i="40"/>
  <c r="B56" i="41"/>
  <c r="C76" i="41"/>
  <c r="C18" i="44" s="1"/>
  <c r="I23" i="47" s="1"/>
  <c r="K23" i="47" s="1"/>
  <c r="K76" i="41"/>
  <c r="B57" i="42"/>
  <c r="K77" i="42"/>
  <c r="C77" i="42"/>
  <c r="C19" i="45" s="1"/>
  <c r="L24" i="47" s="1"/>
  <c r="N24" i="47" s="1"/>
  <c r="E76" i="17"/>
  <c r="M76" i="17"/>
  <c r="M77" i="17"/>
  <c r="E77" i="17"/>
  <c r="E76" i="41" l="1"/>
  <c r="M76" i="41"/>
  <c r="M78" i="41"/>
  <c r="E78" i="41"/>
  <c r="R25" i="5"/>
  <c r="S25" i="5"/>
  <c r="Q25" i="5"/>
  <c r="AK23" i="5"/>
  <c r="AR23" i="5"/>
  <c r="Z23" i="5"/>
  <c r="AD23" i="5"/>
  <c r="Y23" i="5"/>
  <c r="E76" i="40"/>
  <c r="M76" i="40"/>
  <c r="M76" i="42"/>
  <c r="E76" i="42"/>
  <c r="O19" i="45"/>
  <c r="AD25" i="5"/>
  <c r="AR25" i="5"/>
  <c r="Z25" i="5"/>
  <c r="AK25" i="5"/>
  <c r="Y25" i="5"/>
  <c r="R23" i="5"/>
  <c r="Q23" i="5"/>
  <c r="S23" i="5"/>
  <c r="M77" i="40"/>
  <c r="E77" i="40"/>
  <c r="O20" i="45"/>
  <c r="O19" i="44"/>
  <c r="AD24" i="5"/>
  <c r="Z24" i="5"/>
  <c r="AK24" i="5"/>
  <c r="AR24" i="5"/>
  <c r="Y24" i="5"/>
  <c r="E77" i="42"/>
  <c r="M77" i="42"/>
  <c r="O18" i="44"/>
  <c r="M78" i="40"/>
  <c r="E78" i="40"/>
  <c r="O20" i="44"/>
  <c r="M77" i="41"/>
  <c r="E77" i="41"/>
  <c r="Q24" i="5"/>
  <c r="S24" i="5"/>
  <c r="R24" i="5"/>
  <c r="O18" i="45"/>
  <c r="M78" i="42"/>
  <c r="E78" i="42"/>
  <c r="AU23" i="5" l="1"/>
  <c r="AT23" i="5"/>
  <c r="AU24" i="5"/>
  <c r="AT24" i="5"/>
  <c r="AU25" i="5"/>
  <c r="AT25" i="5"/>
  <c r="AN23" i="5"/>
  <c r="AM23" i="5"/>
  <c r="AN24" i="5"/>
  <c r="AM24" i="5"/>
  <c r="AG25" i="5"/>
  <c r="AF25" i="5"/>
  <c r="AG23" i="5"/>
  <c r="AF23" i="5"/>
  <c r="AN25" i="5"/>
  <c r="AM25" i="5"/>
  <c r="AG24" i="5"/>
  <c r="AF24" i="5"/>
  <c r="H34" i="17" l="1"/>
  <c r="F34" i="17"/>
  <c r="C36" i="17"/>
  <c r="J36" i="17"/>
  <c r="M36" i="17"/>
  <c r="H36" i="17"/>
  <c r="I32" i="17"/>
  <c r="C31" i="17"/>
  <c r="I33" i="17"/>
  <c r="K37" i="17"/>
  <c r="C37" i="17"/>
  <c r="J37" i="17"/>
  <c r="K32" i="17"/>
  <c r="J32" i="17"/>
  <c r="F32" i="17"/>
  <c r="H33" i="17"/>
  <c r="I37" i="17"/>
  <c r="D32" i="17"/>
  <c r="F37" i="17"/>
  <c r="F33" i="17"/>
  <c r="I31" i="17"/>
  <c r="E31" i="17"/>
  <c r="J31" i="17"/>
  <c r="M37" i="17"/>
  <c r="M32" i="17"/>
  <c r="D31" i="17"/>
  <c r="C33" i="17"/>
  <c r="L34" i="17"/>
  <c r="K36" i="17"/>
  <c r="F36" i="17"/>
  <c r="M31" i="17"/>
  <c r="D36" i="17"/>
  <c r="E37" i="17"/>
  <c r="E32" i="17"/>
  <c r="L32" i="17"/>
  <c r="L31" i="17"/>
  <c r="K31" i="17"/>
  <c r="G31" i="17"/>
  <c r="H31" i="17"/>
  <c r="D33" i="17"/>
  <c r="I36" i="17"/>
  <c r="L37" i="17"/>
  <c r="H32" i="17"/>
  <c r="M33" i="17"/>
  <c r="E33" i="17"/>
  <c r="G32" i="17"/>
  <c r="K33" i="17"/>
  <c r="H37" i="17"/>
  <c r="G33" i="17"/>
  <c r="J33" i="17"/>
  <c r="G36" i="17"/>
  <c r="F31" i="17"/>
  <c r="E36" i="17"/>
  <c r="L36" i="17"/>
  <c r="D37" i="17"/>
  <c r="L33" i="17"/>
  <c r="C32" i="17"/>
  <c r="G37" i="17"/>
  <c r="L15" i="17" l="1"/>
  <c r="L51" i="17" s="1"/>
  <c r="L33" i="40"/>
  <c r="L15" i="40" s="1"/>
  <c r="L51" i="40" s="1"/>
  <c r="L33" i="42"/>
  <c r="L15" i="42" s="1"/>
  <c r="L51" i="42" s="1"/>
  <c r="L33" i="41"/>
  <c r="L15" i="41" s="1"/>
  <c r="L51" i="41" s="1"/>
  <c r="F31" i="41"/>
  <c r="F13" i="41" s="1"/>
  <c r="F49" i="41" s="1"/>
  <c r="F31" i="42"/>
  <c r="F13" i="42" s="1"/>
  <c r="F49" i="42" s="1"/>
  <c r="F31" i="40"/>
  <c r="F13" i="40" s="1"/>
  <c r="F49" i="40" s="1"/>
  <c r="F13" i="17"/>
  <c r="F49" i="17" s="1"/>
  <c r="H37" i="41"/>
  <c r="H19" i="41" s="1"/>
  <c r="H55" i="41" s="1"/>
  <c r="H37" i="40"/>
  <c r="H19" i="40" s="1"/>
  <c r="H55" i="40" s="1"/>
  <c r="H19" i="17"/>
  <c r="H55" i="17" s="1"/>
  <c r="H37" i="42"/>
  <c r="H19" i="42" s="1"/>
  <c r="H55" i="42" s="1"/>
  <c r="M15" i="17"/>
  <c r="M51" i="17" s="1"/>
  <c r="M33" i="40"/>
  <c r="M15" i="40" s="1"/>
  <c r="M51" i="40" s="1"/>
  <c r="M33" i="41"/>
  <c r="M15" i="41" s="1"/>
  <c r="M51" i="41" s="1"/>
  <c r="M33" i="42"/>
  <c r="M15" i="42" s="1"/>
  <c r="M51" i="42" s="1"/>
  <c r="D33" i="41"/>
  <c r="D15" i="41" s="1"/>
  <c r="D51" i="41" s="1"/>
  <c r="D33" i="42"/>
  <c r="D15" i="42" s="1"/>
  <c r="D51" i="42" s="1"/>
  <c r="D33" i="40"/>
  <c r="D15" i="40" s="1"/>
  <c r="D51" i="40" s="1"/>
  <c r="D15" i="17"/>
  <c r="D51" i="17" s="1"/>
  <c r="L31" i="41"/>
  <c r="L13" i="41" s="1"/>
  <c r="L49" i="41" s="1"/>
  <c r="L31" i="42"/>
  <c r="L13" i="42" s="1"/>
  <c r="L49" i="42" s="1"/>
  <c r="L13" i="17"/>
  <c r="L49" i="17" s="1"/>
  <c r="L31" i="40"/>
  <c r="L13" i="40" s="1"/>
  <c r="L49" i="40" s="1"/>
  <c r="D18" i="17"/>
  <c r="D54" i="17" s="1"/>
  <c r="D36" i="40"/>
  <c r="D18" i="40" s="1"/>
  <c r="D54" i="40" s="1"/>
  <c r="D36" i="42"/>
  <c r="D18" i="42" s="1"/>
  <c r="D54" i="42" s="1"/>
  <c r="D36" i="41"/>
  <c r="D18" i="41" s="1"/>
  <c r="D54" i="41" s="1"/>
  <c r="L34" i="42"/>
  <c r="L16" i="42" s="1"/>
  <c r="L52" i="42" s="1"/>
  <c r="L34" i="40"/>
  <c r="L16" i="40" s="1"/>
  <c r="L52" i="40" s="1"/>
  <c r="L16" i="17"/>
  <c r="L52" i="17" s="1"/>
  <c r="L34" i="41"/>
  <c r="L16" i="41" s="1"/>
  <c r="L52" i="41" s="1"/>
  <c r="M37" i="41"/>
  <c r="M19" i="41" s="1"/>
  <c r="M55" i="41" s="1"/>
  <c r="M37" i="42"/>
  <c r="M19" i="42" s="1"/>
  <c r="M55" i="42" s="1"/>
  <c r="M37" i="40"/>
  <c r="M19" i="40" s="1"/>
  <c r="M55" i="40" s="1"/>
  <c r="M19" i="17"/>
  <c r="M55" i="17" s="1"/>
  <c r="F33" i="40"/>
  <c r="F15" i="40" s="1"/>
  <c r="F51" i="40" s="1"/>
  <c r="F33" i="42"/>
  <c r="F15" i="42" s="1"/>
  <c r="F51" i="42" s="1"/>
  <c r="F15" i="17"/>
  <c r="F51" i="17" s="1"/>
  <c r="F33" i="41"/>
  <c r="F15" i="41" s="1"/>
  <c r="F51" i="41" s="1"/>
  <c r="H33" i="42"/>
  <c r="H15" i="42" s="1"/>
  <c r="H51" i="42" s="1"/>
  <c r="H33" i="40"/>
  <c r="H15" i="40" s="1"/>
  <c r="H51" i="40" s="1"/>
  <c r="H15" i="17"/>
  <c r="H51" i="17" s="1"/>
  <c r="H33" i="41"/>
  <c r="H15" i="41" s="1"/>
  <c r="H51" i="41" s="1"/>
  <c r="J37" i="41"/>
  <c r="J19" i="41" s="1"/>
  <c r="J55" i="41" s="1"/>
  <c r="J37" i="42"/>
  <c r="J19" i="42" s="1"/>
  <c r="J55" i="42" s="1"/>
  <c r="J19" i="17"/>
  <c r="J55" i="17" s="1"/>
  <c r="J37" i="40"/>
  <c r="J19" i="40" s="1"/>
  <c r="J55" i="40" s="1"/>
  <c r="C31" i="41"/>
  <c r="C13" i="41" s="1"/>
  <c r="C49" i="41" s="1"/>
  <c r="C31" i="40"/>
  <c r="C13" i="40" s="1"/>
  <c r="C49" i="40" s="1"/>
  <c r="C13" i="17"/>
  <c r="C49" i="17" s="1"/>
  <c r="C31" i="42"/>
  <c r="C13" i="42" s="1"/>
  <c r="C49" i="42" s="1"/>
  <c r="J36" i="41"/>
  <c r="J18" i="41" s="1"/>
  <c r="J54" i="41" s="1"/>
  <c r="J36" i="42"/>
  <c r="J18" i="42" s="1"/>
  <c r="J54" i="42" s="1"/>
  <c r="J18" i="17"/>
  <c r="J54" i="17" s="1"/>
  <c r="J36" i="40"/>
  <c r="J18" i="40" s="1"/>
  <c r="J54" i="40" s="1"/>
  <c r="F34" i="41"/>
  <c r="F16" i="41" s="1"/>
  <c r="F52" i="41" s="1"/>
  <c r="F34" i="40"/>
  <c r="F16" i="40" s="1"/>
  <c r="F52" i="40" s="1"/>
  <c r="F34" i="42"/>
  <c r="F16" i="42" s="1"/>
  <c r="F52" i="42" s="1"/>
  <c r="F16" i="17"/>
  <c r="F52" i="17" s="1"/>
  <c r="D37" i="42"/>
  <c r="D19" i="42" s="1"/>
  <c r="D55" i="42" s="1"/>
  <c r="D37" i="41"/>
  <c r="D19" i="41" s="1"/>
  <c r="D55" i="41" s="1"/>
  <c r="D37" i="40"/>
  <c r="D19" i="40" s="1"/>
  <c r="D55" i="40" s="1"/>
  <c r="D19" i="17"/>
  <c r="D55" i="17" s="1"/>
  <c r="G36" i="42"/>
  <c r="G18" i="17"/>
  <c r="G36" i="41"/>
  <c r="G36" i="40"/>
  <c r="H74" i="17"/>
  <c r="F16" i="36" s="1"/>
  <c r="K15" i="17"/>
  <c r="K51" i="17" s="1"/>
  <c r="K33" i="42"/>
  <c r="K15" i="42" s="1"/>
  <c r="K51" i="42" s="1"/>
  <c r="K33" i="41"/>
  <c r="K15" i="41" s="1"/>
  <c r="K51" i="41" s="1"/>
  <c r="K33" i="40"/>
  <c r="K15" i="40" s="1"/>
  <c r="K51" i="40" s="1"/>
  <c r="H32" i="42"/>
  <c r="H14" i="42" s="1"/>
  <c r="H50" i="42" s="1"/>
  <c r="H14" i="17"/>
  <c r="H50" i="17" s="1"/>
  <c r="H32" i="41"/>
  <c r="H14" i="41" s="1"/>
  <c r="H50" i="41" s="1"/>
  <c r="H32" i="40"/>
  <c r="H14" i="40" s="1"/>
  <c r="H50" i="40" s="1"/>
  <c r="H13" i="17"/>
  <c r="H49" i="17" s="1"/>
  <c r="H31" i="42"/>
  <c r="H13" i="42" s="1"/>
  <c r="H49" i="42" s="1"/>
  <c r="H31" i="41"/>
  <c r="H13" i="41" s="1"/>
  <c r="H49" i="41" s="1"/>
  <c r="H31" i="40"/>
  <c r="H13" i="40" s="1"/>
  <c r="H49" i="40" s="1"/>
  <c r="L32" i="40"/>
  <c r="L14" i="40" s="1"/>
  <c r="L50" i="40" s="1"/>
  <c r="L32" i="42"/>
  <c r="L14" i="42" s="1"/>
  <c r="L50" i="42" s="1"/>
  <c r="L32" i="41"/>
  <c r="L14" i="41" s="1"/>
  <c r="L50" i="41" s="1"/>
  <c r="L14" i="17"/>
  <c r="L50" i="17" s="1"/>
  <c r="M13" i="17"/>
  <c r="M49" i="17" s="1"/>
  <c r="M31" i="42"/>
  <c r="M13" i="42" s="1"/>
  <c r="M49" i="42" s="1"/>
  <c r="M31" i="41"/>
  <c r="M13" i="41" s="1"/>
  <c r="M49" i="41" s="1"/>
  <c r="M31" i="40"/>
  <c r="M13" i="40" s="1"/>
  <c r="M49" i="40" s="1"/>
  <c r="C33" i="42"/>
  <c r="C15" i="42" s="1"/>
  <c r="C51" i="42" s="1"/>
  <c r="C33" i="40"/>
  <c r="C15" i="40" s="1"/>
  <c r="C51" i="40" s="1"/>
  <c r="C33" i="41"/>
  <c r="C15" i="41" s="1"/>
  <c r="C51" i="41" s="1"/>
  <c r="C15" i="17"/>
  <c r="C51" i="17" s="1"/>
  <c r="J31" i="41"/>
  <c r="J13" i="41" s="1"/>
  <c r="J49" i="41" s="1"/>
  <c r="J31" i="40"/>
  <c r="J13" i="40" s="1"/>
  <c r="J49" i="40" s="1"/>
  <c r="J31" i="42"/>
  <c r="J13" i="42" s="1"/>
  <c r="J49" i="42" s="1"/>
  <c r="J13" i="17"/>
  <c r="J49" i="17" s="1"/>
  <c r="F37" i="41"/>
  <c r="F19" i="41" s="1"/>
  <c r="F55" i="41" s="1"/>
  <c r="F37" i="40"/>
  <c r="F19" i="40" s="1"/>
  <c r="F55" i="40" s="1"/>
  <c r="F37" i="42"/>
  <c r="F19" i="42" s="1"/>
  <c r="F55" i="42" s="1"/>
  <c r="F19" i="17"/>
  <c r="F55" i="17" s="1"/>
  <c r="F32" i="41"/>
  <c r="F14" i="41" s="1"/>
  <c r="F50" i="41" s="1"/>
  <c r="F32" i="42"/>
  <c r="F14" i="42" s="1"/>
  <c r="F50" i="42" s="1"/>
  <c r="F32" i="40"/>
  <c r="F14" i="40" s="1"/>
  <c r="F50" i="40" s="1"/>
  <c r="F14" i="17"/>
  <c r="F50" i="17" s="1"/>
  <c r="C37" i="40"/>
  <c r="C19" i="40" s="1"/>
  <c r="C55" i="40" s="1"/>
  <c r="C37" i="41"/>
  <c r="C19" i="41" s="1"/>
  <c r="C55" i="41" s="1"/>
  <c r="C37" i="42"/>
  <c r="C19" i="42" s="1"/>
  <c r="C55" i="42" s="1"/>
  <c r="C19" i="17"/>
  <c r="C55" i="17" s="1"/>
  <c r="I32" i="40"/>
  <c r="I14" i="40" s="1"/>
  <c r="I50" i="40" s="1"/>
  <c r="I32" i="42"/>
  <c r="I14" i="42" s="1"/>
  <c r="I50" i="42" s="1"/>
  <c r="I32" i="41"/>
  <c r="I14" i="41" s="1"/>
  <c r="I50" i="41" s="1"/>
  <c r="I14" i="17"/>
  <c r="I50" i="17" s="1"/>
  <c r="C36" i="40"/>
  <c r="C18" i="40" s="1"/>
  <c r="C54" i="40" s="1"/>
  <c r="C36" i="42"/>
  <c r="C18" i="42" s="1"/>
  <c r="C54" i="42" s="1"/>
  <c r="C18" i="17"/>
  <c r="C54" i="17" s="1"/>
  <c r="C36" i="41"/>
  <c r="C18" i="41" s="1"/>
  <c r="C54" i="41" s="1"/>
  <c r="H16" i="17"/>
  <c r="H52" i="17" s="1"/>
  <c r="H34" i="42"/>
  <c r="H16" i="42" s="1"/>
  <c r="H52" i="42" s="1"/>
  <c r="H34" i="40"/>
  <c r="H16" i="40" s="1"/>
  <c r="H52" i="40" s="1"/>
  <c r="H34" i="41"/>
  <c r="H16" i="41" s="1"/>
  <c r="H52" i="41" s="1"/>
  <c r="H75" i="17"/>
  <c r="F17" i="36" s="1"/>
  <c r="G37" i="42"/>
  <c r="G19" i="17"/>
  <c r="G37" i="41"/>
  <c r="G37" i="40"/>
  <c r="L36" i="41"/>
  <c r="L18" i="41" s="1"/>
  <c r="L54" i="41" s="1"/>
  <c r="L18" i="17"/>
  <c r="L54" i="17" s="1"/>
  <c r="L36" i="40"/>
  <c r="L18" i="40" s="1"/>
  <c r="L54" i="40" s="1"/>
  <c r="L36" i="42"/>
  <c r="L18" i="42" s="1"/>
  <c r="L54" i="42" s="1"/>
  <c r="J33" i="41"/>
  <c r="J15" i="41" s="1"/>
  <c r="J51" i="41" s="1"/>
  <c r="J15" i="17"/>
  <c r="J51" i="17" s="1"/>
  <c r="J33" i="42"/>
  <c r="J15" i="42" s="1"/>
  <c r="J51" i="42" s="1"/>
  <c r="J33" i="40"/>
  <c r="J15" i="40" s="1"/>
  <c r="J51" i="40" s="1"/>
  <c r="G32" i="41"/>
  <c r="G14" i="17"/>
  <c r="G32" i="42"/>
  <c r="G32" i="40"/>
  <c r="H70" i="17"/>
  <c r="F12" i="36" s="1"/>
  <c r="L37" i="40"/>
  <c r="L19" i="40" s="1"/>
  <c r="L55" i="40" s="1"/>
  <c r="L19" i="17"/>
  <c r="L55" i="17" s="1"/>
  <c r="L37" i="42"/>
  <c r="L19" i="42" s="1"/>
  <c r="L55" i="42" s="1"/>
  <c r="L37" i="41"/>
  <c r="L19" i="41" s="1"/>
  <c r="L55" i="41" s="1"/>
  <c r="G31" i="41"/>
  <c r="H69" i="17"/>
  <c r="F11" i="36" s="1"/>
  <c r="G31" i="40"/>
  <c r="G13" i="17"/>
  <c r="G31" i="42"/>
  <c r="E32" i="40"/>
  <c r="E14" i="40" s="1"/>
  <c r="E50" i="40" s="1"/>
  <c r="E32" i="42"/>
  <c r="E14" i="42" s="1"/>
  <c r="E50" i="42" s="1"/>
  <c r="E32" i="41"/>
  <c r="E14" i="41" s="1"/>
  <c r="E50" i="41" s="1"/>
  <c r="E14" i="17"/>
  <c r="E50" i="17" s="1"/>
  <c r="F36" i="40"/>
  <c r="F18" i="40" s="1"/>
  <c r="F54" i="40" s="1"/>
  <c r="F36" i="41"/>
  <c r="F18" i="41" s="1"/>
  <c r="F54" i="41" s="1"/>
  <c r="F18" i="17"/>
  <c r="F54" i="17" s="1"/>
  <c r="F36" i="42"/>
  <c r="F18" i="42" s="1"/>
  <c r="F54" i="42" s="1"/>
  <c r="D31" i="40"/>
  <c r="D13" i="40" s="1"/>
  <c r="D49" i="40" s="1"/>
  <c r="D31" i="42"/>
  <c r="D13" i="42" s="1"/>
  <c r="D49" i="42" s="1"/>
  <c r="D13" i="17"/>
  <c r="D49" i="17" s="1"/>
  <c r="D31" i="41"/>
  <c r="D13" i="41" s="1"/>
  <c r="D49" i="41" s="1"/>
  <c r="E13" i="17"/>
  <c r="E49" i="17" s="1"/>
  <c r="E31" i="41"/>
  <c r="E13" i="41" s="1"/>
  <c r="E49" i="41" s="1"/>
  <c r="E31" i="42"/>
  <c r="E13" i="42" s="1"/>
  <c r="E49" i="42" s="1"/>
  <c r="E31" i="40"/>
  <c r="E13" i="40" s="1"/>
  <c r="E49" i="40" s="1"/>
  <c r="D32" i="41"/>
  <c r="D14" i="41" s="1"/>
  <c r="D50" i="41" s="1"/>
  <c r="D14" i="17"/>
  <c r="D50" i="17" s="1"/>
  <c r="D32" i="40"/>
  <c r="D14" i="40" s="1"/>
  <c r="D50" i="40" s="1"/>
  <c r="D32" i="42"/>
  <c r="D14" i="42" s="1"/>
  <c r="D50" i="42" s="1"/>
  <c r="J32" i="41"/>
  <c r="J14" i="41" s="1"/>
  <c r="J50" i="41" s="1"/>
  <c r="J32" i="42"/>
  <c r="J14" i="42" s="1"/>
  <c r="J50" i="42" s="1"/>
  <c r="J32" i="40"/>
  <c r="J14" i="40" s="1"/>
  <c r="J50" i="40" s="1"/>
  <c r="J14" i="17"/>
  <c r="J50" i="17" s="1"/>
  <c r="K37" i="42"/>
  <c r="K19" i="42" s="1"/>
  <c r="K55" i="42" s="1"/>
  <c r="K37" i="41"/>
  <c r="K19" i="41" s="1"/>
  <c r="K55" i="41" s="1"/>
  <c r="K19" i="17"/>
  <c r="K55" i="17" s="1"/>
  <c r="K37" i="40"/>
  <c r="K19" i="40" s="1"/>
  <c r="K55" i="40" s="1"/>
  <c r="H36" i="41"/>
  <c r="H18" i="41" s="1"/>
  <c r="H54" i="41" s="1"/>
  <c r="H36" i="40"/>
  <c r="H18" i="40" s="1"/>
  <c r="H54" i="40" s="1"/>
  <c r="H36" i="42"/>
  <c r="H18" i="42" s="1"/>
  <c r="H54" i="42" s="1"/>
  <c r="H18" i="17"/>
  <c r="H54" i="17" s="1"/>
  <c r="C32" i="41"/>
  <c r="C14" i="41" s="1"/>
  <c r="C50" i="41" s="1"/>
  <c r="C32" i="42"/>
  <c r="C14" i="42" s="1"/>
  <c r="C50" i="42" s="1"/>
  <c r="C32" i="40"/>
  <c r="C14" i="40" s="1"/>
  <c r="C50" i="40" s="1"/>
  <c r="C14" i="17"/>
  <c r="C50" i="17" s="1"/>
  <c r="E36" i="41"/>
  <c r="E18" i="41" s="1"/>
  <c r="E54" i="41" s="1"/>
  <c r="E36" i="40"/>
  <c r="E18" i="40" s="1"/>
  <c r="E54" i="40" s="1"/>
  <c r="E18" i="17"/>
  <c r="E54" i="17" s="1"/>
  <c r="E36" i="42"/>
  <c r="E18" i="42" s="1"/>
  <c r="E54" i="42" s="1"/>
  <c r="G33" i="41"/>
  <c r="G33" i="40"/>
  <c r="H71" i="17"/>
  <c r="F13" i="36" s="1"/>
  <c r="G33" i="42"/>
  <c r="G15" i="17"/>
  <c r="E33" i="42"/>
  <c r="E15" i="42" s="1"/>
  <c r="E51" i="42" s="1"/>
  <c r="E33" i="41"/>
  <c r="E15" i="41" s="1"/>
  <c r="E51" i="41" s="1"/>
  <c r="E33" i="40"/>
  <c r="E15" i="40" s="1"/>
  <c r="E51" i="40" s="1"/>
  <c r="E15" i="17"/>
  <c r="E51" i="17" s="1"/>
  <c r="I36" i="41"/>
  <c r="I18" i="41" s="1"/>
  <c r="I54" i="41" s="1"/>
  <c r="I36" i="40"/>
  <c r="I18" i="40" s="1"/>
  <c r="I54" i="40" s="1"/>
  <c r="I36" i="42"/>
  <c r="I18" i="42" s="1"/>
  <c r="I54" i="42" s="1"/>
  <c r="I18" i="17"/>
  <c r="I54" i="17" s="1"/>
  <c r="K31" i="42"/>
  <c r="K13" i="42" s="1"/>
  <c r="K49" i="42" s="1"/>
  <c r="K31" i="40"/>
  <c r="K13" i="40" s="1"/>
  <c r="K49" i="40" s="1"/>
  <c r="K31" i="41"/>
  <c r="K13" i="41" s="1"/>
  <c r="K49" i="41" s="1"/>
  <c r="K13" i="17"/>
  <c r="K49" i="17" s="1"/>
  <c r="E37" i="41"/>
  <c r="E19" i="41" s="1"/>
  <c r="E55" i="41" s="1"/>
  <c r="E37" i="40"/>
  <c r="E19" i="40" s="1"/>
  <c r="E55" i="40" s="1"/>
  <c r="E37" i="42"/>
  <c r="E19" i="42" s="1"/>
  <c r="E55" i="42" s="1"/>
  <c r="E19" i="17"/>
  <c r="E55" i="17" s="1"/>
  <c r="K36" i="41"/>
  <c r="K18" i="41" s="1"/>
  <c r="K54" i="41" s="1"/>
  <c r="K36" i="40"/>
  <c r="K18" i="40" s="1"/>
  <c r="K54" i="40" s="1"/>
  <c r="K36" i="42"/>
  <c r="K18" i="42" s="1"/>
  <c r="K54" i="42" s="1"/>
  <c r="K18" i="17"/>
  <c r="K54" i="17" s="1"/>
  <c r="M32" i="42"/>
  <c r="M14" i="42" s="1"/>
  <c r="M50" i="42" s="1"/>
  <c r="M32" i="41"/>
  <c r="M14" i="41" s="1"/>
  <c r="M50" i="41" s="1"/>
  <c r="M32" i="40"/>
  <c r="M14" i="40" s="1"/>
  <c r="M50" i="40" s="1"/>
  <c r="M14" i="17"/>
  <c r="M50" i="17" s="1"/>
  <c r="I13" i="17"/>
  <c r="I49" i="17" s="1"/>
  <c r="I31" i="40"/>
  <c r="I13" i="40" s="1"/>
  <c r="I49" i="40" s="1"/>
  <c r="I31" i="42"/>
  <c r="I13" i="42" s="1"/>
  <c r="I49" i="42" s="1"/>
  <c r="I31" i="41"/>
  <c r="I13" i="41" s="1"/>
  <c r="I49" i="41" s="1"/>
  <c r="I19" i="17"/>
  <c r="I55" i="17" s="1"/>
  <c r="I37" i="42"/>
  <c r="I19" i="42" s="1"/>
  <c r="I55" i="42" s="1"/>
  <c r="I37" i="40"/>
  <c r="I19" i="40" s="1"/>
  <c r="I55" i="40" s="1"/>
  <c r="I37" i="41"/>
  <c r="I19" i="41" s="1"/>
  <c r="I55" i="41" s="1"/>
  <c r="K32" i="40"/>
  <c r="K14" i="40" s="1"/>
  <c r="K50" i="40" s="1"/>
  <c r="K14" i="17"/>
  <c r="K50" i="17" s="1"/>
  <c r="K32" i="41"/>
  <c r="K14" i="41" s="1"/>
  <c r="K50" i="41" s="1"/>
  <c r="K32" i="42"/>
  <c r="K14" i="42" s="1"/>
  <c r="K50" i="42" s="1"/>
  <c r="I15" i="17"/>
  <c r="I51" i="17" s="1"/>
  <c r="I33" i="41"/>
  <c r="I15" i="41" s="1"/>
  <c r="I51" i="41" s="1"/>
  <c r="I33" i="42"/>
  <c r="I15" i="42" s="1"/>
  <c r="I51" i="42" s="1"/>
  <c r="I33" i="40"/>
  <c r="I15" i="40" s="1"/>
  <c r="I51" i="40" s="1"/>
  <c r="M18" i="17"/>
  <c r="M54" i="17" s="1"/>
  <c r="M36" i="41"/>
  <c r="M18" i="41" s="1"/>
  <c r="M54" i="41" s="1"/>
  <c r="M36" i="40"/>
  <c r="M18" i="40" s="1"/>
  <c r="M54" i="40" s="1"/>
  <c r="M36" i="42"/>
  <c r="M18" i="42" s="1"/>
  <c r="M54" i="42" s="1"/>
  <c r="E34" i="17"/>
  <c r="C34" i="17"/>
  <c r="I34" i="17"/>
  <c r="K34" i="17"/>
  <c r="D34" i="17"/>
  <c r="J34" i="17"/>
  <c r="G34" i="17"/>
  <c r="M34" i="17"/>
  <c r="G34" i="41" l="1"/>
  <c r="G34" i="40"/>
  <c r="H72" i="17"/>
  <c r="F14" i="36" s="1"/>
  <c r="G34" i="42"/>
  <c r="G16" i="17"/>
  <c r="C34" i="41"/>
  <c r="C16" i="41" s="1"/>
  <c r="C52" i="41" s="1"/>
  <c r="C34" i="40"/>
  <c r="C16" i="40" s="1"/>
  <c r="C52" i="40" s="1"/>
  <c r="C34" i="42"/>
  <c r="C16" i="42" s="1"/>
  <c r="C52" i="42" s="1"/>
  <c r="C16" i="17"/>
  <c r="C52" i="17" s="1"/>
  <c r="H71" i="42"/>
  <c r="F13" i="45" s="1"/>
  <c r="X13" i="45" s="1"/>
  <c r="G15" i="42"/>
  <c r="H69" i="42"/>
  <c r="F11" i="45" s="1"/>
  <c r="X11" i="45" s="1"/>
  <c r="G13" i="42"/>
  <c r="H69" i="41"/>
  <c r="F11" i="44" s="1"/>
  <c r="X11" i="44" s="1"/>
  <c r="G13" i="41"/>
  <c r="G50" i="17"/>
  <c r="I70" i="17" s="1"/>
  <c r="G70" i="17"/>
  <c r="D12" i="36" s="1"/>
  <c r="G55" i="17"/>
  <c r="I75" i="17" s="1"/>
  <c r="G75" i="17"/>
  <c r="D17" i="36" s="1"/>
  <c r="H74" i="40"/>
  <c r="F16" i="39" s="1"/>
  <c r="G18" i="40"/>
  <c r="J34" i="41"/>
  <c r="J16" i="41" s="1"/>
  <c r="J52" i="41" s="1"/>
  <c r="J34" i="40"/>
  <c r="J16" i="40" s="1"/>
  <c r="J52" i="40" s="1"/>
  <c r="J16" i="17"/>
  <c r="J52" i="17" s="1"/>
  <c r="J34" i="42"/>
  <c r="J16" i="42" s="1"/>
  <c r="J52" i="42" s="1"/>
  <c r="E34" i="41"/>
  <c r="E16" i="41" s="1"/>
  <c r="E52" i="41" s="1"/>
  <c r="E34" i="42"/>
  <c r="E16" i="42" s="1"/>
  <c r="E52" i="42" s="1"/>
  <c r="E34" i="40"/>
  <c r="E16" i="40" s="1"/>
  <c r="E52" i="40" s="1"/>
  <c r="E16" i="17"/>
  <c r="E52" i="17" s="1"/>
  <c r="G69" i="17"/>
  <c r="D11" i="36" s="1"/>
  <c r="G49" i="17"/>
  <c r="I69" i="17" s="1"/>
  <c r="G14" i="41"/>
  <c r="H70" i="41"/>
  <c r="F12" i="44" s="1"/>
  <c r="X12" i="44" s="1"/>
  <c r="G19" i="42"/>
  <c r="H75" i="42"/>
  <c r="F17" i="45" s="1"/>
  <c r="X17" i="45" s="1"/>
  <c r="H74" i="41"/>
  <c r="F16" i="44" s="1"/>
  <c r="X16" i="44" s="1"/>
  <c r="G18" i="41"/>
  <c r="D34" i="41"/>
  <c r="D16" i="41" s="1"/>
  <c r="D52" i="41" s="1"/>
  <c r="D34" i="42"/>
  <c r="D16" i="42" s="1"/>
  <c r="D52" i="42" s="1"/>
  <c r="D34" i="40"/>
  <c r="D16" i="40" s="1"/>
  <c r="D52" i="40" s="1"/>
  <c r="D16" i="17"/>
  <c r="D52" i="17" s="1"/>
  <c r="H71" i="40"/>
  <c r="F13" i="39" s="1"/>
  <c r="G15" i="40"/>
  <c r="H69" i="40"/>
  <c r="F11" i="39" s="1"/>
  <c r="G13" i="40"/>
  <c r="G14" i="40"/>
  <c r="H70" i="40"/>
  <c r="F12" i="39" s="1"/>
  <c r="H75" i="40"/>
  <c r="F17" i="39" s="1"/>
  <c r="G19" i="40"/>
  <c r="G54" i="17"/>
  <c r="I74" i="17" s="1"/>
  <c r="G74" i="17"/>
  <c r="D16" i="36" s="1"/>
  <c r="M34" i="42"/>
  <c r="M16" i="42" s="1"/>
  <c r="M52" i="42" s="1"/>
  <c r="M16" i="17"/>
  <c r="M52" i="17" s="1"/>
  <c r="M34" i="40"/>
  <c r="M16" i="40" s="1"/>
  <c r="M52" i="40" s="1"/>
  <c r="M34" i="41"/>
  <c r="M16" i="41" s="1"/>
  <c r="M52" i="41" s="1"/>
  <c r="K34" i="40"/>
  <c r="K16" i="40" s="1"/>
  <c r="K52" i="40" s="1"/>
  <c r="K16" i="17"/>
  <c r="K52" i="17" s="1"/>
  <c r="K34" i="42"/>
  <c r="K16" i="42" s="1"/>
  <c r="K52" i="42" s="1"/>
  <c r="K34" i="41"/>
  <c r="K16" i="41" s="1"/>
  <c r="K52" i="41" s="1"/>
  <c r="I34" i="42"/>
  <c r="I16" i="42" s="1"/>
  <c r="I52" i="42" s="1"/>
  <c r="I16" i="17"/>
  <c r="I52" i="17" s="1"/>
  <c r="I34" i="40"/>
  <c r="I16" i="40" s="1"/>
  <c r="I52" i="40" s="1"/>
  <c r="I34" i="41"/>
  <c r="I16" i="41" s="1"/>
  <c r="I52" i="41" s="1"/>
  <c r="G51" i="17"/>
  <c r="I71" i="17" s="1"/>
  <c r="G71" i="17"/>
  <c r="D13" i="36" s="1"/>
  <c r="H71" i="41"/>
  <c r="F13" i="44" s="1"/>
  <c r="X13" i="44" s="1"/>
  <c r="G15" i="41"/>
  <c r="G14" i="42"/>
  <c r="H70" i="42"/>
  <c r="F12" i="45" s="1"/>
  <c r="X12" i="45" s="1"/>
  <c r="H75" i="41"/>
  <c r="F17" i="44" s="1"/>
  <c r="X17" i="44" s="1"/>
  <c r="G19" i="41"/>
  <c r="H74" i="42"/>
  <c r="F16" i="45" s="1"/>
  <c r="X16" i="45" s="1"/>
  <c r="G18" i="42"/>
  <c r="K29" i="17"/>
  <c r="H29" i="17"/>
  <c r="L28" i="17"/>
  <c r="L29" i="17"/>
  <c r="I28" i="17"/>
  <c r="H28" i="17"/>
  <c r="J28" i="17"/>
  <c r="M30" i="17"/>
  <c r="B33" i="17"/>
  <c r="B31" i="17"/>
  <c r="F29" i="17"/>
  <c r="I29" i="17"/>
  <c r="G29" i="17"/>
  <c r="D29" i="17"/>
  <c r="K28" i="17"/>
  <c r="E29" i="17"/>
  <c r="M29" i="17"/>
  <c r="B37" i="17"/>
  <c r="B36" i="17"/>
  <c r="B34" i="17"/>
  <c r="B32" i="17"/>
  <c r="J29" i="17"/>
  <c r="M28" i="17"/>
  <c r="C29" i="17"/>
  <c r="C11" i="17" l="1"/>
  <c r="C47" i="17" s="1"/>
  <c r="C29" i="40"/>
  <c r="C11" i="40" s="1"/>
  <c r="C47" i="40" s="1"/>
  <c r="C29" i="41"/>
  <c r="C11" i="41" s="1"/>
  <c r="C47" i="41" s="1"/>
  <c r="C29" i="42"/>
  <c r="C11" i="42" s="1"/>
  <c r="C47" i="42" s="1"/>
  <c r="M12" i="17"/>
  <c r="M48" i="17" s="1"/>
  <c r="M30" i="41"/>
  <c r="M12" i="41" s="1"/>
  <c r="M48" i="41" s="1"/>
  <c r="M30" i="40"/>
  <c r="M12" i="40" s="1"/>
  <c r="M48" i="40" s="1"/>
  <c r="M30" i="42"/>
  <c r="M12" i="42" s="1"/>
  <c r="M48" i="42" s="1"/>
  <c r="B32" i="40"/>
  <c r="B14" i="17"/>
  <c r="B32" i="41"/>
  <c r="B32" i="42"/>
  <c r="L70" i="17"/>
  <c r="D70" i="17"/>
  <c r="E12" i="36" s="1"/>
  <c r="M11" i="17"/>
  <c r="M47" i="17" s="1"/>
  <c r="M29" i="40"/>
  <c r="M11" i="40" s="1"/>
  <c r="M47" i="40" s="1"/>
  <c r="M29" i="42"/>
  <c r="M11" i="42" s="1"/>
  <c r="M47" i="42" s="1"/>
  <c r="M29" i="41"/>
  <c r="M11" i="41" s="1"/>
  <c r="M47" i="41" s="1"/>
  <c r="H67" i="17"/>
  <c r="F9" i="36" s="1"/>
  <c r="G29" i="41"/>
  <c r="G11" i="17"/>
  <c r="G29" i="40"/>
  <c r="G29" i="42"/>
  <c r="B33" i="41"/>
  <c r="B33" i="42"/>
  <c r="D71" i="17"/>
  <c r="E13" i="36" s="1"/>
  <c r="B15" i="17"/>
  <c r="B33" i="40"/>
  <c r="L71" i="17"/>
  <c r="J28" i="40"/>
  <c r="J10" i="40" s="1"/>
  <c r="J46" i="40" s="1"/>
  <c r="J28" i="42"/>
  <c r="J10" i="42" s="1"/>
  <c r="J46" i="42" s="1"/>
  <c r="J28" i="41"/>
  <c r="J10" i="41" s="1"/>
  <c r="J46" i="41" s="1"/>
  <c r="J10" i="17"/>
  <c r="J46" i="17" s="1"/>
  <c r="I28" i="42"/>
  <c r="I10" i="42" s="1"/>
  <c r="I46" i="42" s="1"/>
  <c r="I10" i="17"/>
  <c r="I46" i="17" s="1"/>
  <c r="I28" i="41"/>
  <c r="I10" i="41" s="1"/>
  <c r="I46" i="41" s="1"/>
  <c r="I28" i="40"/>
  <c r="I10" i="40" s="1"/>
  <c r="I46" i="40" s="1"/>
  <c r="H29" i="42"/>
  <c r="H11" i="42" s="1"/>
  <c r="H47" i="42" s="1"/>
  <c r="H29" i="41"/>
  <c r="H11" i="41" s="1"/>
  <c r="H47" i="41" s="1"/>
  <c r="H29" i="40"/>
  <c r="H11" i="40" s="1"/>
  <c r="H47" i="40" s="1"/>
  <c r="H11" i="17"/>
  <c r="H47" i="17" s="1"/>
  <c r="G50" i="42"/>
  <c r="I70" i="42" s="1"/>
  <c r="G70" i="42"/>
  <c r="D12" i="45" s="1"/>
  <c r="G70" i="41"/>
  <c r="D12" i="44" s="1"/>
  <c r="G50" i="41"/>
  <c r="I70" i="41" s="1"/>
  <c r="H72" i="42"/>
  <c r="F14" i="45" s="1"/>
  <c r="X14" i="45" s="1"/>
  <c r="G16" i="42"/>
  <c r="G75" i="41"/>
  <c r="D17" i="44" s="1"/>
  <c r="G55" i="41"/>
  <c r="I75" i="41" s="1"/>
  <c r="G51" i="41"/>
  <c r="I71" i="41" s="1"/>
  <c r="G71" i="41"/>
  <c r="D13" i="44" s="1"/>
  <c r="G51" i="40"/>
  <c r="I71" i="40" s="1"/>
  <c r="G71" i="40"/>
  <c r="D13" i="39" s="1"/>
  <c r="G69" i="41"/>
  <c r="D11" i="44" s="1"/>
  <c r="G49" i="41"/>
  <c r="I69" i="41" s="1"/>
  <c r="G71" i="42"/>
  <c r="D13" i="45" s="1"/>
  <c r="G51" i="42"/>
  <c r="I71" i="42" s="1"/>
  <c r="L72" i="17"/>
  <c r="B34" i="40"/>
  <c r="D72" i="17"/>
  <c r="E14" i="36" s="1"/>
  <c r="B34" i="42"/>
  <c r="B16" i="17"/>
  <c r="B34" i="41"/>
  <c r="E29" i="42"/>
  <c r="E11" i="42" s="1"/>
  <c r="E47" i="42" s="1"/>
  <c r="E29" i="41"/>
  <c r="E11" i="41" s="1"/>
  <c r="E47" i="41" s="1"/>
  <c r="E29" i="40"/>
  <c r="E11" i="40" s="1"/>
  <c r="E47" i="40" s="1"/>
  <c r="E11" i="17"/>
  <c r="E47" i="17" s="1"/>
  <c r="H28" i="42"/>
  <c r="H66" i="17"/>
  <c r="F8" i="36" s="1"/>
  <c r="H28" i="40"/>
  <c r="H10" i="17"/>
  <c r="H28" i="41"/>
  <c r="L66" i="17"/>
  <c r="M28" i="40"/>
  <c r="M10" i="40" s="1"/>
  <c r="M46" i="40" s="1"/>
  <c r="M10" i="17"/>
  <c r="M46" i="17" s="1"/>
  <c r="M28" i="42"/>
  <c r="M10" i="42" s="1"/>
  <c r="M46" i="42" s="1"/>
  <c r="M28" i="41"/>
  <c r="M10" i="41" s="1"/>
  <c r="M46" i="41" s="1"/>
  <c r="B36" i="40"/>
  <c r="L74" i="17"/>
  <c r="B36" i="42"/>
  <c r="D74" i="17"/>
  <c r="E16" i="36" s="1"/>
  <c r="B36" i="41"/>
  <c r="B18" i="17"/>
  <c r="K28" i="42"/>
  <c r="K10" i="17"/>
  <c r="K28" i="41"/>
  <c r="K28" i="40"/>
  <c r="D66" i="17"/>
  <c r="E8" i="36" s="1"/>
  <c r="F11" i="17"/>
  <c r="F47" i="17" s="1"/>
  <c r="F29" i="42"/>
  <c r="F11" i="42" s="1"/>
  <c r="F47" i="42" s="1"/>
  <c r="F29" i="40"/>
  <c r="F11" i="40" s="1"/>
  <c r="F47" i="40" s="1"/>
  <c r="F29" i="41"/>
  <c r="F11" i="41" s="1"/>
  <c r="F47" i="41" s="1"/>
  <c r="L11" i="17"/>
  <c r="L47" i="17" s="1"/>
  <c r="L29" i="42"/>
  <c r="L11" i="42" s="1"/>
  <c r="L47" i="42" s="1"/>
  <c r="L29" i="41"/>
  <c r="L11" i="41" s="1"/>
  <c r="L47" i="41" s="1"/>
  <c r="L29" i="40"/>
  <c r="L11" i="40" s="1"/>
  <c r="L47" i="40" s="1"/>
  <c r="K11" i="17"/>
  <c r="K47" i="17" s="1"/>
  <c r="K29" i="40"/>
  <c r="K11" i="40" s="1"/>
  <c r="K47" i="40" s="1"/>
  <c r="K29" i="42"/>
  <c r="K11" i="42" s="1"/>
  <c r="K47" i="42" s="1"/>
  <c r="K29" i="41"/>
  <c r="K11" i="41" s="1"/>
  <c r="K47" i="41" s="1"/>
  <c r="G70" i="40"/>
  <c r="D12" i="39" s="1"/>
  <c r="G50" i="40"/>
  <c r="I70" i="40" s="1"/>
  <c r="G55" i="42"/>
  <c r="I75" i="42" s="1"/>
  <c r="G75" i="42"/>
  <c r="D17" i="45" s="1"/>
  <c r="H72" i="40"/>
  <c r="F14" i="39" s="1"/>
  <c r="G16" i="40"/>
  <c r="I29" i="40"/>
  <c r="I11" i="40" s="1"/>
  <c r="I47" i="40" s="1"/>
  <c r="I29" i="41"/>
  <c r="I11" i="41" s="1"/>
  <c r="I47" i="41" s="1"/>
  <c r="I11" i="17"/>
  <c r="I47" i="17" s="1"/>
  <c r="I29" i="42"/>
  <c r="I11" i="42" s="1"/>
  <c r="I47" i="42" s="1"/>
  <c r="J11" i="17"/>
  <c r="J47" i="17" s="1"/>
  <c r="J29" i="41"/>
  <c r="J11" i="41" s="1"/>
  <c r="J47" i="41" s="1"/>
  <c r="J29" i="42"/>
  <c r="J11" i="42" s="1"/>
  <c r="J47" i="42" s="1"/>
  <c r="J29" i="40"/>
  <c r="J11" i="40" s="1"/>
  <c r="J47" i="40" s="1"/>
  <c r="L75" i="17"/>
  <c r="B37" i="42"/>
  <c r="D75" i="17"/>
  <c r="E17" i="36" s="1"/>
  <c r="B37" i="41"/>
  <c r="B19" i="17"/>
  <c r="B37" i="40"/>
  <c r="D29" i="41"/>
  <c r="D11" i="41" s="1"/>
  <c r="D47" i="41" s="1"/>
  <c r="D29" i="40"/>
  <c r="D11" i="40" s="1"/>
  <c r="D47" i="40" s="1"/>
  <c r="D11" i="17"/>
  <c r="D47" i="17" s="1"/>
  <c r="D29" i="42"/>
  <c r="D11" i="42" s="1"/>
  <c r="D47" i="42" s="1"/>
  <c r="B31" i="42"/>
  <c r="B13" i="17"/>
  <c r="B31" i="40"/>
  <c r="L69" i="17"/>
  <c r="B31" i="41"/>
  <c r="D69" i="17"/>
  <c r="E11" i="36" s="1"/>
  <c r="L10" i="17"/>
  <c r="L46" i="17" s="1"/>
  <c r="L28" i="42"/>
  <c r="L10" i="42" s="1"/>
  <c r="L46" i="42" s="1"/>
  <c r="L28" i="41"/>
  <c r="L10" i="41" s="1"/>
  <c r="L46" i="41" s="1"/>
  <c r="L28" i="40"/>
  <c r="L10" i="40" s="1"/>
  <c r="L46" i="40" s="1"/>
  <c r="G54" i="42"/>
  <c r="I74" i="42" s="1"/>
  <c r="G74" i="42"/>
  <c r="D16" i="45" s="1"/>
  <c r="G75" i="40"/>
  <c r="D17" i="39" s="1"/>
  <c r="G55" i="40"/>
  <c r="I75" i="40" s="1"/>
  <c r="G49" i="40"/>
  <c r="I69" i="40" s="1"/>
  <c r="G69" i="40"/>
  <c r="D11" i="39" s="1"/>
  <c r="G74" i="41"/>
  <c r="D16" i="44" s="1"/>
  <c r="G54" i="41"/>
  <c r="I74" i="41" s="1"/>
  <c r="G74" i="40"/>
  <c r="D16" i="39" s="1"/>
  <c r="G54" i="40"/>
  <c r="I74" i="40" s="1"/>
  <c r="G69" i="42"/>
  <c r="D11" i="45" s="1"/>
  <c r="G49" i="42"/>
  <c r="I69" i="42" s="1"/>
  <c r="G72" i="17"/>
  <c r="D14" i="36" s="1"/>
  <c r="G52" i="17"/>
  <c r="I72" i="17" s="1"/>
  <c r="H72" i="41"/>
  <c r="F14" i="44" s="1"/>
  <c r="X14" i="44" s="1"/>
  <c r="G16" i="41"/>
  <c r="E30" i="17"/>
  <c r="J30" i="17"/>
  <c r="H30" i="17"/>
  <c r="G30" i="17"/>
  <c r="B29" i="17"/>
  <c r="I30" i="17"/>
  <c r="F30" i="17"/>
  <c r="K30" i="17"/>
  <c r="L30" i="17"/>
  <c r="C30" i="17"/>
  <c r="D30" i="17"/>
  <c r="D12" i="17" l="1"/>
  <c r="D48" i="17" s="1"/>
  <c r="D30" i="40"/>
  <c r="D12" i="40" s="1"/>
  <c r="D48" i="40" s="1"/>
  <c r="D30" i="41"/>
  <c r="D12" i="41" s="1"/>
  <c r="D48" i="41" s="1"/>
  <c r="D30" i="42"/>
  <c r="D12" i="42" s="1"/>
  <c r="D48" i="42" s="1"/>
  <c r="F12" i="17"/>
  <c r="F48" i="17" s="1"/>
  <c r="F30" i="41"/>
  <c r="F12" i="41" s="1"/>
  <c r="F48" i="41" s="1"/>
  <c r="F30" i="40"/>
  <c r="F12" i="40" s="1"/>
  <c r="F48" i="40" s="1"/>
  <c r="F30" i="42"/>
  <c r="F12" i="42" s="1"/>
  <c r="F48" i="42" s="1"/>
  <c r="H68" i="17"/>
  <c r="F10" i="36" s="1"/>
  <c r="G30" i="42"/>
  <c r="G12" i="17"/>
  <c r="G30" i="41"/>
  <c r="G30" i="40"/>
  <c r="C69" i="17"/>
  <c r="C11" i="36" s="1"/>
  <c r="C16" i="47" s="1"/>
  <c r="E16" i="47" s="1"/>
  <c r="K69" i="17"/>
  <c r="B49" i="17"/>
  <c r="B19" i="41"/>
  <c r="L75" i="41"/>
  <c r="D75" i="41"/>
  <c r="E17" i="44" s="1"/>
  <c r="U17" i="44" s="1"/>
  <c r="G72" i="40"/>
  <c r="D14" i="39" s="1"/>
  <c r="G52" i="40"/>
  <c r="I72" i="40" s="1"/>
  <c r="R17" i="45"/>
  <c r="D66" i="42"/>
  <c r="E8" i="45" s="1"/>
  <c r="U8" i="45" s="1"/>
  <c r="K10" i="42"/>
  <c r="D74" i="42"/>
  <c r="E16" i="45" s="1"/>
  <c r="U16" i="45" s="1"/>
  <c r="L74" i="42"/>
  <c r="B18" i="42"/>
  <c r="H66" i="41"/>
  <c r="F8" i="44" s="1"/>
  <c r="X8" i="44" s="1"/>
  <c r="H10" i="41"/>
  <c r="L66" i="41"/>
  <c r="H10" i="42"/>
  <c r="H66" i="42"/>
  <c r="F8" i="45" s="1"/>
  <c r="X8" i="45" s="1"/>
  <c r="L66" i="42"/>
  <c r="R13" i="45"/>
  <c r="R17" i="44"/>
  <c r="R12" i="44"/>
  <c r="L71" i="40"/>
  <c r="D71" i="40"/>
  <c r="E13" i="39" s="1"/>
  <c r="B15" i="40"/>
  <c r="B15" i="41"/>
  <c r="D71" i="41"/>
  <c r="E13" i="44" s="1"/>
  <c r="U13" i="44" s="1"/>
  <c r="L71" i="41"/>
  <c r="H67" i="41"/>
  <c r="F9" i="44" s="1"/>
  <c r="X9" i="44" s="1"/>
  <c r="G11" i="41"/>
  <c r="B14" i="42"/>
  <c r="D70" i="42"/>
  <c r="E12" i="45" s="1"/>
  <c r="U12" i="45" s="1"/>
  <c r="L70" i="42"/>
  <c r="C12" i="17"/>
  <c r="C48" i="17" s="1"/>
  <c r="C30" i="42"/>
  <c r="C12" i="42" s="1"/>
  <c r="C48" i="42" s="1"/>
  <c r="C30" i="41"/>
  <c r="C12" i="41" s="1"/>
  <c r="C48" i="41" s="1"/>
  <c r="C30" i="40"/>
  <c r="C12" i="40" s="1"/>
  <c r="C48" i="40" s="1"/>
  <c r="I30" i="40"/>
  <c r="I12" i="40" s="1"/>
  <c r="I48" i="40" s="1"/>
  <c r="I12" i="17"/>
  <c r="I48" i="17" s="1"/>
  <c r="I30" i="42"/>
  <c r="I12" i="42" s="1"/>
  <c r="I48" i="42" s="1"/>
  <c r="I30" i="41"/>
  <c r="I12" i="41" s="1"/>
  <c r="I48" i="41" s="1"/>
  <c r="H30" i="41"/>
  <c r="H12" i="41" s="1"/>
  <c r="H48" i="41" s="1"/>
  <c r="H12" i="17"/>
  <c r="H48" i="17" s="1"/>
  <c r="H30" i="40"/>
  <c r="H12" i="40" s="1"/>
  <c r="H48" i="40" s="1"/>
  <c r="H30" i="42"/>
  <c r="H12" i="42" s="1"/>
  <c r="H48" i="42" s="1"/>
  <c r="G52" i="41"/>
  <c r="I72" i="41" s="1"/>
  <c r="G72" i="41"/>
  <c r="D14" i="44" s="1"/>
  <c r="L69" i="41"/>
  <c r="D69" i="41"/>
  <c r="E11" i="44" s="1"/>
  <c r="U11" i="44" s="1"/>
  <c r="B13" i="41"/>
  <c r="L69" i="42"/>
  <c r="D69" i="42"/>
  <c r="E11" i="45" s="1"/>
  <c r="U11" i="45" s="1"/>
  <c r="B13" i="42"/>
  <c r="D66" i="40"/>
  <c r="E8" i="39" s="1"/>
  <c r="K10" i="40"/>
  <c r="B54" i="17"/>
  <c r="C74" i="17"/>
  <c r="C16" i="36" s="1"/>
  <c r="C21" i="47" s="1"/>
  <c r="E21" i="47" s="1"/>
  <c r="K74" i="17"/>
  <c r="L21" i="5"/>
  <c r="G66" i="17"/>
  <c r="D8" i="36" s="1"/>
  <c r="K66" i="17"/>
  <c r="H46" i="17"/>
  <c r="B16" i="41"/>
  <c r="L72" i="41"/>
  <c r="D72" i="41"/>
  <c r="E14" i="44" s="1"/>
  <c r="U14" i="44" s="1"/>
  <c r="B16" i="40"/>
  <c r="L72" i="40"/>
  <c r="D72" i="40"/>
  <c r="E14" i="39" s="1"/>
  <c r="R13" i="44"/>
  <c r="G52" i="42"/>
  <c r="I72" i="42" s="1"/>
  <c r="G72" i="42"/>
  <c r="D14" i="45" s="1"/>
  <c r="R12" i="45"/>
  <c r="B51" i="17"/>
  <c r="K71" i="17"/>
  <c r="C71" i="17"/>
  <c r="C13" i="36" s="1"/>
  <c r="C18" i="47" s="1"/>
  <c r="E18" i="47" s="1"/>
  <c r="H67" i="42"/>
  <c r="F9" i="45" s="1"/>
  <c r="X9" i="45" s="1"/>
  <c r="G11" i="42"/>
  <c r="L70" i="41"/>
  <c r="B14" i="41"/>
  <c r="D70" i="41"/>
  <c r="E12" i="44" s="1"/>
  <c r="U12" i="44" s="1"/>
  <c r="B29" i="40"/>
  <c r="B11" i="17"/>
  <c r="B29" i="42"/>
  <c r="D67" i="17"/>
  <c r="E9" i="36" s="1"/>
  <c r="B29" i="41"/>
  <c r="L67" i="17"/>
  <c r="J12" i="17"/>
  <c r="J48" i="17" s="1"/>
  <c r="J30" i="41"/>
  <c r="J12" i="41" s="1"/>
  <c r="J48" i="41" s="1"/>
  <c r="J30" i="40"/>
  <c r="J12" i="40" s="1"/>
  <c r="J48" i="40" s="1"/>
  <c r="J30" i="42"/>
  <c r="J12" i="42" s="1"/>
  <c r="J48" i="42" s="1"/>
  <c r="R11" i="45"/>
  <c r="R16" i="45"/>
  <c r="L16" i="5"/>
  <c r="L75" i="40"/>
  <c r="B19" i="40"/>
  <c r="D75" i="40"/>
  <c r="E17" i="39" s="1"/>
  <c r="D75" i="42"/>
  <c r="E17" i="45" s="1"/>
  <c r="U17" i="45" s="1"/>
  <c r="L75" i="42"/>
  <c r="B19" i="42"/>
  <c r="K10" i="41"/>
  <c r="D66" i="41"/>
  <c r="E8" i="44" s="1"/>
  <c r="U8" i="44" s="1"/>
  <c r="L74" i="41"/>
  <c r="D74" i="41"/>
  <c r="E16" i="44" s="1"/>
  <c r="U16" i="44" s="1"/>
  <c r="B18" i="41"/>
  <c r="L74" i="40"/>
  <c r="B18" i="40"/>
  <c r="D74" i="40"/>
  <c r="E16" i="39" s="1"/>
  <c r="H10" i="40"/>
  <c r="L66" i="40"/>
  <c r="H66" i="40"/>
  <c r="F8" i="39" s="1"/>
  <c r="B52" i="17"/>
  <c r="C72" i="17"/>
  <c r="C14" i="36" s="1"/>
  <c r="C19" i="47" s="1"/>
  <c r="E19" i="47" s="1"/>
  <c r="K72" i="17"/>
  <c r="L19" i="5"/>
  <c r="R11" i="44"/>
  <c r="H67" i="40"/>
  <c r="F9" i="39" s="1"/>
  <c r="G11" i="40"/>
  <c r="K70" i="17"/>
  <c r="B50" i="17"/>
  <c r="C70" i="17"/>
  <c r="C12" i="36" s="1"/>
  <c r="C17" i="47" s="1"/>
  <c r="E17" i="47" s="1"/>
  <c r="L30" i="42"/>
  <c r="L12" i="42" s="1"/>
  <c r="L48" i="42" s="1"/>
  <c r="L30" i="40"/>
  <c r="L12" i="40" s="1"/>
  <c r="L48" i="40" s="1"/>
  <c r="L12" i="17"/>
  <c r="L48" i="17" s="1"/>
  <c r="L30" i="41"/>
  <c r="L12" i="41" s="1"/>
  <c r="L48" i="41" s="1"/>
  <c r="K12" i="17"/>
  <c r="K48" i="17" s="1"/>
  <c r="K30" i="42"/>
  <c r="K12" i="42" s="1"/>
  <c r="K48" i="42" s="1"/>
  <c r="K30" i="41"/>
  <c r="K12" i="41" s="1"/>
  <c r="K48" i="41" s="1"/>
  <c r="K30" i="40"/>
  <c r="K12" i="40" s="1"/>
  <c r="K48" i="40" s="1"/>
  <c r="E30" i="40"/>
  <c r="E12" i="40" s="1"/>
  <c r="E48" i="40" s="1"/>
  <c r="E12" i="17"/>
  <c r="E48" i="17" s="1"/>
  <c r="E30" i="41"/>
  <c r="E12" i="41" s="1"/>
  <c r="E48" i="41" s="1"/>
  <c r="E30" i="42"/>
  <c r="E12" i="42" s="1"/>
  <c r="E48" i="42" s="1"/>
  <c r="R16" i="44"/>
  <c r="L69" i="40"/>
  <c r="D69" i="40"/>
  <c r="E11" i="39" s="1"/>
  <c r="B13" i="40"/>
  <c r="K75" i="17"/>
  <c r="C75" i="17"/>
  <c r="C17" i="36" s="1"/>
  <c r="C22" i="47" s="1"/>
  <c r="E22" i="47" s="1"/>
  <c r="B55" i="17"/>
  <c r="L22" i="5"/>
  <c r="C66" i="17"/>
  <c r="C8" i="36" s="1"/>
  <c r="K46" i="17"/>
  <c r="E66" i="17" s="1"/>
  <c r="L13" i="5"/>
  <c r="L72" i="42"/>
  <c r="D72" i="42"/>
  <c r="E14" i="45" s="1"/>
  <c r="U14" i="45" s="1"/>
  <c r="B16" i="42"/>
  <c r="L18" i="5"/>
  <c r="B15" i="42"/>
  <c r="L71" i="42"/>
  <c r="D71" i="42"/>
  <c r="E13" i="45" s="1"/>
  <c r="U13" i="45" s="1"/>
  <c r="G67" i="17"/>
  <c r="D9" i="36" s="1"/>
  <c r="G47" i="17"/>
  <c r="I67" i="17" s="1"/>
  <c r="L17" i="5"/>
  <c r="L70" i="40"/>
  <c r="D70" i="40"/>
  <c r="E12" i="39" s="1"/>
  <c r="B14" i="40"/>
  <c r="E35" i="17"/>
  <c r="J35" i="17"/>
  <c r="H35" i="17"/>
  <c r="G35" i="17"/>
  <c r="L35" i="17"/>
  <c r="B30" i="17"/>
  <c r="K35" i="17"/>
  <c r="M35" i="17"/>
  <c r="C35" i="17"/>
  <c r="D35" i="17"/>
  <c r="F35" i="17"/>
  <c r="I35" i="17"/>
  <c r="C13" i="47" l="1"/>
  <c r="J35" i="40"/>
  <c r="J17" i="40" s="1"/>
  <c r="J53" i="40" s="1"/>
  <c r="J35" i="42"/>
  <c r="J17" i="42" s="1"/>
  <c r="J53" i="42" s="1"/>
  <c r="J35" i="41"/>
  <c r="J17" i="41" s="1"/>
  <c r="J53" i="41" s="1"/>
  <c r="J17" i="17"/>
  <c r="J53" i="17" s="1"/>
  <c r="F35" i="41"/>
  <c r="F17" i="41" s="1"/>
  <c r="F53" i="41" s="1"/>
  <c r="F35" i="40"/>
  <c r="F17" i="40" s="1"/>
  <c r="F53" i="40" s="1"/>
  <c r="F17" i="17"/>
  <c r="F53" i="17" s="1"/>
  <c r="F35" i="42"/>
  <c r="F17" i="42" s="1"/>
  <c r="F53" i="42" s="1"/>
  <c r="C35" i="42"/>
  <c r="C17" i="42" s="1"/>
  <c r="C53" i="42" s="1"/>
  <c r="C35" i="41"/>
  <c r="C17" i="41" s="1"/>
  <c r="C53" i="41" s="1"/>
  <c r="C35" i="40"/>
  <c r="C17" i="40" s="1"/>
  <c r="C53" i="40" s="1"/>
  <c r="C17" i="17"/>
  <c r="C53" i="17" s="1"/>
  <c r="H35" i="42"/>
  <c r="H17" i="42" s="1"/>
  <c r="H53" i="42" s="1"/>
  <c r="H17" i="17"/>
  <c r="H53" i="17" s="1"/>
  <c r="H35" i="40"/>
  <c r="H17" i="40" s="1"/>
  <c r="H53" i="40" s="1"/>
  <c r="H35" i="41"/>
  <c r="H17" i="41" s="1"/>
  <c r="H53" i="41" s="1"/>
  <c r="K70" i="40"/>
  <c r="C70" i="40"/>
  <c r="C12" i="39" s="1"/>
  <c r="F17" i="47" s="1"/>
  <c r="H17" i="47" s="1"/>
  <c r="B50" i="40"/>
  <c r="X17" i="5"/>
  <c r="P17" i="5"/>
  <c r="B52" i="42"/>
  <c r="K72" i="42"/>
  <c r="C72" i="42"/>
  <c r="C14" i="45" s="1"/>
  <c r="O14" i="45" s="1"/>
  <c r="X13" i="5"/>
  <c r="P13" i="5"/>
  <c r="P22" i="5"/>
  <c r="X22" i="5"/>
  <c r="B49" i="40"/>
  <c r="K69" i="40"/>
  <c r="C69" i="40"/>
  <c r="C11" i="39" s="1"/>
  <c r="F16" i="47" s="1"/>
  <c r="H16" i="47" s="1"/>
  <c r="G67" i="40"/>
  <c r="D9" i="39" s="1"/>
  <c r="G47" i="40"/>
  <c r="I67" i="40" s="1"/>
  <c r="M72" i="17"/>
  <c r="E72" i="17"/>
  <c r="B55" i="42"/>
  <c r="C75" i="42"/>
  <c r="C17" i="45" s="1"/>
  <c r="L22" i="47" s="1"/>
  <c r="N22" i="47" s="1"/>
  <c r="K75" i="42"/>
  <c r="C75" i="40"/>
  <c r="C17" i="39" s="1"/>
  <c r="F22" i="47" s="1"/>
  <c r="H22" i="47" s="1"/>
  <c r="K75" i="40"/>
  <c r="B55" i="40"/>
  <c r="L14" i="5"/>
  <c r="C67" i="17"/>
  <c r="C9" i="36" s="1"/>
  <c r="C14" i="47" s="1"/>
  <c r="B47" i="17"/>
  <c r="K67" i="17"/>
  <c r="R14" i="45"/>
  <c r="B49" i="42"/>
  <c r="K69" i="42"/>
  <c r="C69" i="42"/>
  <c r="C11" i="45" s="1"/>
  <c r="L16" i="47" s="1"/>
  <c r="N16" i="47" s="1"/>
  <c r="B51" i="40"/>
  <c r="C71" i="40"/>
  <c r="C13" i="39" s="1"/>
  <c r="F18" i="47" s="1"/>
  <c r="H18" i="47" s="1"/>
  <c r="K71" i="40"/>
  <c r="H68" i="41"/>
  <c r="F10" i="44" s="1"/>
  <c r="X10" i="44" s="1"/>
  <c r="G12" i="41"/>
  <c r="I35" i="40"/>
  <c r="I17" i="40" s="1"/>
  <c r="I53" i="40" s="1"/>
  <c r="I17" i="17"/>
  <c r="I53" i="17" s="1"/>
  <c r="I35" i="42"/>
  <c r="I17" i="42" s="1"/>
  <c r="I53" i="42" s="1"/>
  <c r="I35" i="41"/>
  <c r="I17" i="41" s="1"/>
  <c r="I53" i="41" s="1"/>
  <c r="M75" i="17"/>
  <c r="E75" i="17"/>
  <c r="X19" i="5"/>
  <c r="P19" i="5"/>
  <c r="B54" i="40"/>
  <c r="K74" i="40"/>
  <c r="C74" i="40"/>
  <c r="C16" i="39" s="1"/>
  <c r="F21" i="47" s="1"/>
  <c r="H21" i="47" s="1"/>
  <c r="B11" i="41"/>
  <c r="L67" i="41"/>
  <c r="D67" i="41"/>
  <c r="E9" i="44" s="1"/>
  <c r="U9" i="44" s="1"/>
  <c r="L67" i="40"/>
  <c r="D67" i="40"/>
  <c r="E9" i="39" s="1"/>
  <c r="B11" i="40"/>
  <c r="G67" i="42"/>
  <c r="D9" i="45" s="1"/>
  <c r="G47" i="42"/>
  <c r="I67" i="42" s="1"/>
  <c r="E71" i="17"/>
  <c r="M71" i="17"/>
  <c r="B52" i="41"/>
  <c r="K72" i="41"/>
  <c r="C72" i="41"/>
  <c r="C14" i="44" s="1"/>
  <c r="O14" i="44" s="1"/>
  <c r="M74" i="17"/>
  <c r="E74" i="17"/>
  <c r="K66" i="41"/>
  <c r="H46" i="41"/>
  <c r="G66" i="41"/>
  <c r="D8" i="44" s="1"/>
  <c r="G48" i="17"/>
  <c r="I68" i="17" s="1"/>
  <c r="G68" i="17"/>
  <c r="D10" i="36" s="1"/>
  <c r="K71" i="42"/>
  <c r="B51" i="42"/>
  <c r="C71" i="42"/>
  <c r="C13" i="45" s="1"/>
  <c r="L18" i="47" s="1"/>
  <c r="N18" i="47" s="1"/>
  <c r="L35" i="40"/>
  <c r="L17" i="40" s="1"/>
  <c r="L53" i="40" s="1"/>
  <c r="L17" i="17"/>
  <c r="L53" i="17" s="1"/>
  <c r="L35" i="41"/>
  <c r="L17" i="41" s="1"/>
  <c r="L53" i="41" s="1"/>
  <c r="L35" i="42"/>
  <c r="L17" i="42" s="1"/>
  <c r="L53" i="42" s="1"/>
  <c r="M70" i="17"/>
  <c r="E70" i="17"/>
  <c r="K72" i="40"/>
  <c r="B52" i="40"/>
  <c r="C72" i="40"/>
  <c r="C14" i="39" s="1"/>
  <c r="F19" i="47" s="1"/>
  <c r="H19" i="47" s="1"/>
  <c r="M66" i="17"/>
  <c r="I66" i="17"/>
  <c r="P21" i="5"/>
  <c r="X21" i="5"/>
  <c r="K46" i="40"/>
  <c r="E66" i="40" s="1"/>
  <c r="C66" i="40"/>
  <c r="C8" i="39" s="1"/>
  <c r="R14" i="44"/>
  <c r="B50" i="42"/>
  <c r="C70" i="42"/>
  <c r="C12" i="45" s="1"/>
  <c r="L17" i="47" s="1"/>
  <c r="N17" i="47" s="1"/>
  <c r="K70" i="42"/>
  <c r="K46" i="42"/>
  <c r="E66" i="42" s="1"/>
  <c r="C66" i="42"/>
  <c r="C8" i="45" s="1"/>
  <c r="O8" i="45" s="1"/>
  <c r="B55" i="41"/>
  <c r="K75" i="41"/>
  <c r="C75" i="41"/>
  <c r="C17" i="44" s="1"/>
  <c r="I22" i="47" s="1"/>
  <c r="K22" i="47" s="1"/>
  <c r="H68" i="42"/>
  <c r="F10" i="45" s="1"/>
  <c r="X10" i="45" s="1"/>
  <c r="G12" i="42"/>
  <c r="M35" i="40"/>
  <c r="M17" i="40" s="1"/>
  <c r="M53" i="40" s="1"/>
  <c r="M17" i="17"/>
  <c r="M53" i="17" s="1"/>
  <c r="M35" i="42"/>
  <c r="M17" i="42" s="1"/>
  <c r="M53" i="42" s="1"/>
  <c r="M35" i="41"/>
  <c r="M17" i="41" s="1"/>
  <c r="M53" i="41" s="1"/>
  <c r="K35" i="42"/>
  <c r="K17" i="42" s="1"/>
  <c r="K53" i="42" s="1"/>
  <c r="K35" i="40"/>
  <c r="K17" i="40" s="1"/>
  <c r="K53" i="40" s="1"/>
  <c r="K17" i="17"/>
  <c r="K53" i="17" s="1"/>
  <c r="K35" i="41"/>
  <c r="K17" i="41" s="1"/>
  <c r="K53" i="41" s="1"/>
  <c r="D35" i="41"/>
  <c r="D17" i="41" s="1"/>
  <c r="D53" i="41" s="1"/>
  <c r="D35" i="40"/>
  <c r="D17" i="40" s="1"/>
  <c r="D53" i="40" s="1"/>
  <c r="D17" i="17"/>
  <c r="D53" i="17" s="1"/>
  <c r="D35" i="42"/>
  <c r="D17" i="42" s="1"/>
  <c r="D53" i="42" s="1"/>
  <c r="L68" i="17"/>
  <c r="B30" i="42"/>
  <c r="D68" i="17"/>
  <c r="E10" i="36" s="1"/>
  <c r="B30" i="41"/>
  <c r="B12" i="17"/>
  <c r="B30" i="40"/>
  <c r="G35" i="40"/>
  <c r="G35" i="42"/>
  <c r="H73" i="17"/>
  <c r="F15" i="36" s="1"/>
  <c r="F36" i="36" s="1"/>
  <c r="G35" i="41"/>
  <c r="G17" i="17"/>
  <c r="E35" i="40"/>
  <c r="E17" i="40" s="1"/>
  <c r="E53" i="40" s="1"/>
  <c r="E35" i="42"/>
  <c r="E17" i="42" s="1"/>
  <c r="E53" i="42" s="1"/>
  <c r="E17" i="17"/>
  <c r="E53" i="17" s="1"/>
  <c r="E35" i="41"/>
  <c r="E17" i="41" s="1"/>
  <c r="E53" i="41" s="1"/>
  <c r="P18" i="5"/>
  <c r="X18" i="5"/>
  <c r="K66" i="40"/>
  <c r="H46" i="40"/>
  <c r="G66" i="40"/>
  <c r="D8" i="39" s="1"/>
  <c r="K74" i="41"/>
  <c r="B54" i="41"/>
  <c r="C74" i="41"/>
  <c r="C16" i="44" s="1"/>
  <c r="I21" i="47" s="1"/>
  <c r="K21" i="47" s="1"/>
  <c r="C66" i="41"/>
  <c r="C8" i="44" s="1"/>
  <c r="O8" i="44" s="1"/>
  <c r="K46" i="41"/>
  <c r="E66" i="41" s="1"/>
  <c r="X16" i="5"/>
  <c r="P16" i="5"/>
  <c r="L67" i="42"/>
  <c r="D67" i="42"/>
  <c r="E9" i="45" s="1"/>
  <c r="U9" i="45" s="1"/>
  <c r="B11" i="42"/>
  <c r="C70" i="41"/>
  <c r="C12" i="44" s="1"/>
  <c r="I17" i="47" s="1"/>
  <c r="K17" i="47" s="1"/>
  <c r="B50" i="41"/>
  <c r="K70" i="41"/>
  <c r="B49" i="41"/>
  <c r="K69" i="41"/>
  <c r="C69" i="41"/>
  <c r="C11" i="44" s="1"/>
  <c r="I16" i="47" s="1"/>
  <c r="K16" i="47" s="1"/>
  <c r="G47" i="41"/>
  <c r="I67" i="41" s="1"/>
  <c r="G67" i="41"/>
  <c r="D9" i="44" s="1"/>
  <c r="B51" i="41"/>
  <c r="C71" i="41"/>
  <c r="C13" i="44" s="1"/>
  <c r="I18" i="47" s="1"/>
  <c r="K18" i="47" s="1"/>
  <c r="K71" i="41"/>
  <c r="K66" i="42"/>
  <c r="H46" i="42"/>
  <c r="G66" i="42"/>
  <c r="D8" i="45" s="1"/>
  <c r="B54" i="42"/>
  <c r="K74" i="42"/>
  <c r="C74" i="42"/>
  <c r="C16" i="45" s="1"/>
  <c r="L21" i="47" s="1"/>
  <c r="N21" i="47" s="1"/>
  <c r="E69" i="17"/>
  <c r="M69" i="17"/>
  <c r="H68" i="40"/>
  <c r="F10" i="39" s="1"/>
  <c r="G12" i="40"/>
  <c r="B35" i="17"/>
  <c r="L13" i="47" l="1"/>
  <c r="F13" i="47"/>
  <c r="L19" i="47"/>
  <c r="N19" i="47" s="1"/>
  <c r="E14" i="47"/>
  <c r="I13" i="47"/>
  <c r="I19" i="47"/>
  <c r="K19" i="47" s="1"/>
  <c r="M66" i="42"/>
  <c r="I66" i="42"/>
  <c r="Z18" i="5"/>
  <c r="AD18" i="5"/>
  <c r="AR18" i="5"/>
  <c r="Y18" i="5"/>
  <c r="AK18" i="5"/>
  <c r="R8" i="45"/>
  <c r="O13" i="44"/>
  <c r="O11" i="44"/>
  <c r="C67" i="42"/>
  <c r="C9" i="45" s="1"/>
  <c r="L14" i="47" s="1"/>
  <c r="K67" i="42"/>
  <c r="B47" i="42"/>
  <c r="AR16" i="5"/>
  <c r="Y16" i="5"/>
  <c r="AK16" i="5"/>
  <c r="Z16" i="5"/>
  <c r="AD16" i="5"/>
  <c r="E74" i="41"/>
  <c r="M74" i="41"/>
  <c r="G17" i="41"/>
  <c r="H73" i="41"/>
  <c r="F15" i="44" s="1"/>
  <c r="B12" i="40"/>
  <c r="L68" i="40"/>
  <c r="D68" i="40"/>
  <c r="E10" i="39" s="1"/>
  <c r="L68" i="42"/>
  <c r="B12" i="42"/>
  <c r="D68" i="42"/>
  <c r="E10" i="45" s="1"/>
  <c r="U10" i="45" s="1"/>
  <c r="E70" i="42"/>
  <c r="M70" i="42"/>
  <c r="O13" i="45"/>
  <c r="M66" i="41"/>
  <c r="I66" i="41"/>
  <c r="C67" i="41"/>
  <c r="C9" i="44" s="1"/>
  <c r="I14" i="47" s="1"/>
  <c r="K67" i="41"/>
  <c r="B47" i="41"/>
  <c r="Q19" i="5"/>
  <c r="R19" i="5"/>
  <c r="S19" i="5"/>
  <c r="E75" i="42"/>
  <c r="M75" i="42"/>
  <c r="Z22" i="5"/>
  <c r="AR22" i="5"/>
  <c r="AK22" i="5"/>
  <c r="Y22" i="5"/>
  <c r="AD22" i="5"/>
  <c r="Z17" i="5"/>
  <c r="AK17" i="5"/>
  <c r="Y17" i="5"/>
  <c r="AD17" i="5"/>
  <c r="AR17" i="5"/>
  <c r="O16" i="45"/>
  <c r="C68" i="17"/>
  <c r="C10" i="36" s="1"/>
  <c r="C15" i="47" s="1"/>
  <c r="B48" i="17"/>
  <c r="K68" i="17"/>
  <c r="L15" i="5"/>
  <c r="O17" i="44"/>
  <c r="Z21" i="5"/>
  <c r="AK21" i="5"/>
  <c r="AD21" i="5"/>
  <c r="Y21" i="5"/>
  <c r="AR21" i="5"/>
  <c r="E71" i="42"/>
  <c r="M71" i="42"/>
  <c r="AD19" i="5"/>
  <c r="Y19" i="5"/>
  <c r="Z19" i="5"/>
  <c r="AR19" i="5"/>
  <c r="AK19" i="5"/>
  <c r="O11" i="45"/>
  <c r="Q22" i="5"/>
  <c r="S22" i="5"/>
  <c r="R22" i="5"/>
  <c r="E70" i="40"/>
  <c r="M70" i="40"/>
  <c r="G68" i="40"/>
  <c r="D10" i="39" s="1"/>
  <c r="G48" i="40"/>
  <c r="I68" i="40" s="1"/>
  <c r="M71" i="41"/>
  <c r="E71" i="41"/>
  <c r="R9" i="44"/>
  <c r="E69" i="41"/>
  <c r="M69" i="41"/>
  <c r="M70" i="41"/>
  <c r="E70" i="41"/>
  <c r="R18" i="5"/>
  <c r="S18" i="5"/>
  <c r="Q18" i="5"/>
  <c r="H73" i="42"/>
  <c r="F15" i="45" s="1"/>
  <c r="G17" i="42"/>
  <c r="L68" i="41"/>
  <c r="D68" i="41"/>
  <c r="E10" i="44" s="1"/>
  <c r="U10" i="44" s="1"/>
  <c r="B12" i="41"/>
  <c r="G68" i="42"/>
  <c r="D10" i="45" s="1"/>
  <c r="G48" i="42"/>
  <c r="I68" i="42" s="1"/>
  <c r="Q21" i="5"/>
  <c r="R21" i="5"/>
  <c r="S21" i="5"/>
  <c r="E72" i="40"/>
  <c r="M72" i="40"/>
  <c r="E72" i="41"/>
  <c r="M72" i="41"/>
  <c r="R9" i="45"/>
  <c r="G48" i="41"/>
  <c r="I68" i="41" s="1"/>
  <c r="G68" i="41"/>
  <c r="D10" i="44" s="1"/>
  <c r="E71" i="40"/>
  <c r="M71" i="40"/>
  <c r="P14" i="5"/>
  <c r="X14" i="5"/>
  <c r="Q13" i="5"/>
  <c r="S13" i="5"/>
  <c r="R13" i="5"/>
  <c r="M72" i="42"/>
  <c r="E72" i="42"/>
  <c r="L73" i="17"/>
  <c r="B35" i="42"/>
  <c r="D73" i="17"/>
  <c r="E15" i="36" s="1"/>
  <c r="E36" i="36" s="1"/>
  <c r="B17" i="17"/>
  <c r="B35" i="41"/>
  <c r="B35" i="40"/>
  <c r="M74" i="42"/>
  <c r="E74" i="42"/>
  <c r="O12" i="44"/>
  <c r="R16" i="5"/>
  <c r="S16" i="5"/>
  <c r="Q16" i="5"/>
  <c r="O16" i="44"/>
  <c r="I66" i="40"/>
  <c r="M66" i="40"/>
  <c r="G53" i="17"/>
  <c r="I73" i="17" s="1"/>
  <c r="G73" i="17"/>
  <c r="D15" i="36" s="1"/>
  <c r="H73" i="40"/>
  <c r="F15" i="39" s="1"/>
  <c r="F36" i="39" s="1"/>
  <c r="G17" i="40"/>
  <c r="E75" i="41"/>
  <c r="M75" i="41"/>
  <c r="O12" i="45"/>
  <c r="R8" i="44"/>
  <c r="C67" i="40"/>
  <c r="C9" i="39" s="1"/>
  <c r="F14" i="47" s="1"/>
  <c r="B47" i="40"/>
  <c r="K67" i="40"/>
  <c r="E74" i="40"/>
  <c r="M74" i="40"/>
  <c r="E69" i="42"/>
  <c r="M69" i="42"/>
  <c r="M67" i="17"/>
  <c r="E67" i="17"/>
  <c r="M75" i="40"/>
  <c r="E75" i="40"/>
  <c r="O17" i="45"/>
  <c r="M69" i="40"/>
  <c r="E69" i="40"/>
  <c r="AD13" i="5"/>
  <c r="Y13" i="5"/>
  <c r="AR13" i="5"/>
  <c r="Z13" i="5"/>
  <c r="AK13" i="5"/>
  <c r="Q17" i="5"/>
  <c r="R17" i="5"/>
  <c r="S17" i="5"/>
  <c r="N14" i="47" l="1"/>
  <c r="E15" i="47"/>
  <c r="H14" i="47"/>
  <c r="K14" i="47"/>
  <c r="D36" i="36"/>
  <c r="AR14" i="5"/>
  <c r="AK14" i="5"/>
  <c r="Y14" i="5"/>
  <c r="Z14" i="5"/>
  <c r="AD14" i="5"/>
  <c r="R10" i="44"/>
  <c r="B48" i="41"/>
  <c r="C68" i="41"/>
  <c r="C10" i="44" s="1"/>
  <c r="O10" i="44" s="1"/>
  <c r="K68" i="41"/>
  <c r="F36" i="45"/>
  <c r="X15" i="45"/>
  <c r="AT19" i="5"/>
  <c r="AU19" i="5"/>
  <c r="AU21" i="5"/>
  <c r="AT21" i="5"/>
  <c r="P15" i="5"/>
  <c r="X15" i="5"/>
  <c r="G53" i="41"/>
  <c r="I73" i="41" s="1"/>
  <c r="G73" i="41"/>
  <c r="D15" i="44" s="1"/>
  <c r="E67" i="42"/>
  <c r="M67" i="42"/>
  <c r="AG18" i="5"/>
  <c r="AF18" i="5"/>
  <c r="AU13" i="5"/>
  <c r="AT13" i="5"/>
  <c r="B17" i="40"/>
  <c r="L73" i="40"/>
  <c r="D73" i="40"/>
  <c r="E15" i="39" s="1"/>
  <c r="E36" i="39" s="1"/>
  <c r="L73" i="42"/>
  <c r="D73" i="42"/>
  <c r="E15" i="45" s="1"/>
  <c r="B17" i="42"/>
  <c r="Q14" i="5"/>
  <c r="S14" i="5"/>
  <c r="R14" i="5"/>
  <c r="AM17" i="5"/>
  <c r="AN17" i="5"/>
  <c r="AM22" i="5"/>
  <c r="AN22" i="5"/>
  <c r="O9" i="44"/>
  <c r="AN16" i="5"/>
  <c r="AM16" i="5"/>
  <c r="AM18" i="5"/>
  <c r="AN18" i="5"/>
  <c r="G73" i="40"/>
  <c r="D15" i="39" s="1"/>
  <c r="G53" i="40"/>
  <c r="I73" i="40" s="1"/>
  <c r="B17" i="41"/>
  <c r="L73" i="41"/>
  <c r="D73" i="41"/>
  <c r="E15" i="44" s="1"/>
  <c r="L20" i="5"/>
  <c r="AF21" i="5"/>
  <c r="AG21" i="5"/>
  <c r="M68" i="17"/>
  <c r="E68" i="17"/>
  <c r="AU17" i="5"/>
  <c r="AT17" i="5"/>
  <c r="AU22" i="5"/>
  <c r="AT22" i="5"/>
  <c r="B48" i="42"/>
  <c r="C68" i="42"/>
  <c r="C10" i="45" s="1"/>
  <c r="O10" i="45" s="1"/>
  <c r="K68" i="42"/>
  <c r="B48" i="40"/>
  <c r="K68" i="40"/>
  <c r="C68" i="40"/>
  <c r="C10" i="39" s="1"/>
  <c r="F15" i="47" s="1"/>
  <c r="O9" i="45"/>
  <c r="AN13" i="5"/>
  <c r="AM13" i="5"/>
  <c r="AG13" i="5"/>
  <c r="AF13" i="5"/>
  <c r="E67" i="40"/>
  <c r="M67" i="40"/>
  <c r="C73" i="17"/>
  <c r="C15" i="36" s="1"/>
  <c r="C36" i="36" s="1"/>
  <c r="K73" i="17"/>
  <c r="B53" i="17"/>
  <c r="R10" i="45"/>
  <c r="G73" i="42"/>
  <c r="D15" i="45" s="1"/>
  <c r="G53" i="42"/>
  <c r="I73" i="42" s="1"/>
  <c r="AN19" i="5"/>
  <c r="AM19" i="5"/>
  <c r="AG19" i="5"/>
  <c r="AF19" i="5"/>
  <c r="AM21" i="5"/>
  <c r="AN21" i="5"/>
  <c r="AG17" i="5"/>
  <c r="AF17" i="5"/>
  <c r="AG22" i="5"/>
  <c r="AF22" i="5"/>
  <c r="M67" i="41"/>
  <c r="E67" i="41"/>
  <c r="F36" i="44"/>
  <c r="X15" i="44"/>
  <c r="AG16" i="5"/>
  <c r="AF16" i="5"/>
  <c r="AU16" i="5"/>
  <c r="AT16" i="5"/>
  <c r="AT18" i="5"/>
  <c r="AU18" i="5"/>
  <c r="C20" i="47" l="1"/>
  <c r="E20" i="47" s="1"/>
  <c r="L15" i="47"/>
  <c r="N15" i="47" s="1"/>
  <c r="E40" i="47"/>
  <c r="H15" i="47"/>
  <c r="C40" i="47"/>
  <c r="D36" i="39"/>
  <c r="I15" i="47"/>
  <c r="E73" i="17"/>
  <c r="M73" i="17"/>
  <c r="P20" i="5"/>
  <c r="X20" i="5"/>
  <c r="B53" i="42"/>
  <c r="C73" i="42"/>
  <c r="C15" i="45" s="1"/>
  <c r="L20" i="47" s="1"/>
  <c r="K73" i="42"/>
  <c r="D36" i="44"/>
  <c r="R15" i="44"/>
  <c r="R15" i="5"/>
  <c r="S15" i="5"/>
  <c r="Q15" i="5"/>
  <c r="AN14" i="5"/>
  <c r="AM14" i="5"/>
  <c r="X36" i="44"/>
  <c r="Y36" i="44" s="1"/>
  <c r="X34" i="44"/>
  <c r="D36" i="45"/>
  <c r="R15" i="45"/>
  <c r="R36" i="45" s="1"/>
  <c r="S36" i="45" s="1"/>
  <c r="E68" i="42"/>
  <c r="M68" i="42"/>
  <c r="E36" i="44"/>
  <c r="U15" i="44"/>
  <c r="E36" i="45"/>
  <c r="U15" i="45"/>
  <c r="K73" i="40"/>
  <c r="B53" i="40"/>
  <c r="C73" i="40"/>
  <c r="C15" i="39" s="1"/>
  <c r="F20" i="47" s="1"/>
  <c r="X36" i="45"/>
  <c r="Y36" i="45" s="1"/>
  <c r="X34" i="45"/>
  <c r="M68" i="41"/>
  <c r="E68" i="41"/>
  <c r="AG14" i="5"/>
  <c r="AF14" i="5"/>
  <c r="AU14" i="5"/>
  <c r="AT14" i="5"/>
  <c r="M68" i="40"/>
  <c r="E68" i="40"/>
  <c r="B53" i="41"/>
  <c r="K73" i="41"/>
  <c r="C73" i="41"/>
  <c r="C15" i="44" s="1"/>
  <c r="I20" i="47" s="1"/>
  <c r="K20" i="47" s="1"/>
  <c r="AD15" i="5"/>
  <c r="Y15" i="5"/>
  <c r="Z15" i="5"/>
  <c r="AR15" i="5"/>
  <c r="AK15" i="5"/>
  <c r="N20" i="47" l="1"/>
  <c r="N40" i="47" s="1"/>
  <c r="L40" i="47"/>
  <c r="H20" i="47"/>
  <c r="H40" i="47" s="1"/>
  <c r="F40" i="47"/>
  <c r="K15" i="47"/>
  <c r="K40" i="47" s="1"/>
  <c r="I40" i="47"/>
  <c r="E73" i="41"/>
  <c r="M73" i="41"/>
  <c r="AT15" i="5"/>
  <c r="AU15" i="5"/>
  <c r="C36" i="39"/>
  <c r="M73" i="40"/>
  <c r="E73" i="40"/>
  <c r="R36" i="44"/>
  <c r="S36" i="44" s="1"/>
  <c r="R34" i="44"/>
  <c r="O15" i="44"/>
  <c r="C36" i="44"/>
  <c r="F41" i="44"/>
  <c r="Y8" i="44"/>
  <c r="Y13" i="44"/>
  <c r="Y17" i="44"/>
  <c r="Y21" i="44"/>
  <c r="Y25" i="44"/>
  <c r="Y29" i="44"/>
  <c r="Y10" i="44"/>
  <c r="Y14" i="44"/>
  <c r="Y18" i="44"/>
  <c r="Y22" i="44"/>
  <c r="Y26" i="44"/>
  <c r="Y30" i="44"/>
  <c r="Y11" i="44"/>
  <c r="Y15" i="44"/>
  <c r="Y19" i="44"/>
  <c r="Y23" i="44"/>
  <c r="Y27" i="44"/>
  <c r="Y31" i="44"/>
  <c r="Y9" i="44"/>
  <c r="Y12" i="44"/>
  <c r="Y16" i="44"/>
  <c r="Y20" i="44"/>
  <c r="Y24" i="44"/>
  <c r="Y28" i="44"/>
  <c r="Y32" i="44"/>
  <c r="O15" i="45"/>
  <c r="C36" i="45"/>
  <c r="AK20" i="5"/>
  <c r="AR20" i="5"/>
  <c r="AD20" i="5"/>
  <c r="Y20" i="5"/>
  <c r="Z20" i="5"/>
  <c r="R34" i="45"/>
  <c r="AM15" i="5"/>
  <c r="AN15" i="5"/>
  <c r="AG15" i="5"/>
  <c r="AF15" i="5"/>
  <c r="F41" i="45"/>
  <c r="Y8" i="45"/>
  <c r="Y12" i="45"/>
  <c r="Y16" i="45"/>
  <c r="Y20" i="45"/>
  <c r="Y24" i="45"/>
  <c r="Y28" i="45"/>
  <c r="Y31" i="45"/>
  <c r="Y10" i="45"/>
  <c r="Y13" i="45"/>
  <c r="Y17" i="45"/>
  <c r="Y21" i="45"/>
  <c r="Y25" i="45"/>
  <c r="Y29" i="45"/>
  <c r="Y9" i="45"/>
  <c r="Y14" i="45"/>
  <c r="Y18" i="45"/>
  <c r="Y22" i="45"/>
  <c r="Y26" i="45"/>
  <c r="Y30" i="45"/>
  <c r="Y11" i="45"/>
  <c r="Y15" i="45"/>
  <c r="Y19" i="45"/>
  <c r="Y23" i="45"/>
  <c r="Y27" i="45"/>
  <c r="Y32" i="45"/>
  <c r="U34" i="45"/>
  <c r="U36" i="45"/>
  <c r="V36" i="45" s="1"/>
  <c r="U34" i="44"/>
  <c r="U36" i="44"/>
  <c r="V36" i="44" s="1"/>
  <c r="D41" i="45"/>
  <c r="S11" i="45"/>
  <c r="S15" i="45"/>
  <c r="S19" i="45"/>
  <c r="S23" i="45"/>
  <c r="S27" i="45"/>
  <c r="S32" i="45"/>
  <c r="S8" i="45"/>
  <c r="S12" i="45"/>
  <c r="S16" i="45"/>
  <c r="S20" i="45"/>
  <c r="S24" i="45"/>
  <c r="S28" i="45"/>
  <c r="S31" i="45"/>
  <c r="S10" i="45"/>
  <c r="S13" i="45"/>
  <c r="S17" i="45"/>
  <c r="S21" i="45"/>
  <c r="S25" i="45"/>
  <c r="S29" i="45"/>
  <c r="S9" i="45"/>
  <c r="S14" i="45"/>
  <c r="S18" i="45"/>
  <c r="S22" i="45"/>
  <c r="S26" i="45"/>
  <c r="S30" i="45"/>
  <c r="M73" i="42"/>
  <c r="E73" i="42"/>
  <c r="Q20" i="5"/>
  <c r="S20" i="5"/>
  <c r="R20" i="5"/>
  <c r="S34" i="45" l="1"/>
  <c r="Y34" i="45"/>
  <c r="AN20" i="5"/>
  <c r="AM20" i="5"/>
  <c r="E41" i="44"/>
  <c r="V8" i="44"/>
  <c r="V12" i="44"/>
  <c r="V16" i="44"/>
  <c r="V20" i="44"/>
  <c r="V24" i="44"/>
  <c r="V28" i="44"/>
  <c r="V31" i="44"/>
  <c r="V9" i="44"/>
  <c r="V13" i="44"/>
  <c r="V17" i="44"/>
  <c r="V21" i="44"/>
  <c r="V25" i="44"/>
  <c r="V29" i="44"/>
  <c r="V10" i="44"/>
  <c r="V14" i="44"/>
  <c r="V18" i="44"/>
  <c r="V22" i="44"/>
  <c r="V26" i="44"/>
  <c r="V30" i="44"/>
  <c r="V11" i="44"/>
  <c r="V15" i="44"/>
  <c r="V19" i="44"/>
  <c r="V23" i="44"/>
  <c r="V27" i="44"/>
  <c r="V32" i="44"/>
  <c r="O36" i="44"/>
  <c r="P36" i="44" s="1"/>
  <c r="O34" i="44"/>
  <c r="D41" i="44"/>
  <c r="S11" i="44"/>
  <c r="S15" i="44"/>
  <c r="S19" i="44"/>
  <c r="S23" i="44"/>
  <c r="S27" i="44"/>
  <c r="S31" i="44"/>
  <c r="S8" i="44"/>
  <c r="S12" i="44"/>
  <c r="S16" i="44"/>
  <c r="S20" i="44"/>
  <c r="S24" i="44"/>
  <c r="S28" i="44"/>
  <c r="S32" i="44"/>
  <c r="S21" i="44"/>
  <c r="S9" i="44"/>
  <c r="S13" i="44"/>
  <c r="S17" i="44"/>
  <c r="S29" i="44"/>
  <c r="S10" i="44"/>
  <c r="S14" i="44"/>
  <c r="S18" i="44"/>
  <c r="S22" i="44"/>
  <c r="S26" i="44"/>
  <c r="S30" i="44"/>
  <c r="S25" i="44"/>
  <c r="AF20" i="5"/>
  <c r="AG20" i="5"/>
  <c r="O36" i="45"/>
  <c r="P36" i="45" s="1"/>
  <c r="O34" i="45"/>
  <c r="Y34" i="44"/>
  <c r="E41" i="45"/>
  <c r="V10" i="45"/>
  <c r="V12" i="45"/>
  <c r="V16" i="45"/>
  <c r="V20" i="45"/>
  <c r="V24" i="45"/>
  <c r="V28" i="45"/>
  <c r="V31" i="45"/>
  <c r="V8" i="45"/>
  <c r="V13" i="45"/>
  <c r="V17" i="45"/>
  <c r="V21" i="45"/>
  <c r="V25" i="45"/>
  <c r="V29" i="45"/>
  <c r="V9" i="45"/>
  <c r="V14" i="45"/>
  <c r="V18" i="45"/>
  <c r="V22" i="45"/>
  <c r="V26" i="45"/>
  <c r="V30" i="45"/>
  <c r="V11" i="45"/>
  <c r="V15" i="45"/>
  <c r="V19" i="45"/>
  <c r="V23" i="45"/>
  <c r="V27" i="45"/>
  <c r="V32" i="45"/>
  <c r="AU20" i="5"/>
  <c r="AT20" i="5"/>
  <c r="S34" i="44" l="1"/>
  <c r="V34" i="45"/>
  <c r="C41" i="44"/>
  <c r="P30" i="44"/>
  <c r="P14" i="44"/>
  <c r="P26" i="44"/>
  <c r="P24" i="44"/>
  <c r="P23" i="44"/>
  <c r="P25" i="44"/>
  <c r="P16" i="44"/>
  <c r="P10" i="44"/>
  <c r="P20" i="44"/>
  <c r="P18" i="44"/>
  <c r="P19" i="44"/>
  <c r="P17" i="44"/>
  <c r="P28" i="44"/>
  <c r="P22" i="44"/>
  <c r="P12" i="44"/>
  <c r="P13" i="44"/>
  <c r="P32" i="44"/>
  <c r="P15" i="44"/>
  <c r="P31" i="44"/>
  <c r="P21" i="44"/>
  <c r="P9" i="44"/>
  <c r="P29" i="44"/>
  <c r="P8" i="44"/>
  <c r="P27" i="44"/>
  <c r="P11" i="44"/>
  <c r="P8" i="45"/>
  <c r="P12" i="45"/>
  <c r="P16" i="45"/>
  <c r="P20" i="45"/>
  <c r="P24" i="45"/>
  <c r="P28" i="45"/>
  <c r="P32" i="45"/>
  <c r="P26" i="45"/>
  <c r="P9" i="45"/>
  <c r="P13" i="45"/>
  <c r="P17" i="45"/>
  <c r="P21" i="45"/>
  <c r="P25" i="45"/>
  <c r="P29" i="45"/>
  <c r="P10" i="45"/>
  <c r="P14" i="45"/>
  <c r="P18" i="45"/>
  <c r="P22" i="45"/>
  <c r="P30" i="45"/>
  <c r="C41" i="45"/>
  <c r="P11" i="45"/>
  <c r="P15" i="45"/>
  <c r="P19" i="45"/>
  <c r="P23" i="45"/>
  <c r="P27" i="45"/>
  <c r="P31" i="45"/>
  <c r="V34" i="44"/>
  <c r="P34" i="44" l="1"/>
  <c r="P34" i="45"/>
</calcChain>
</file>

<file path=xl/sharedStrings.xml><?xml version="1.0" encoding="utf-8"?>
<sst xmlns="http://schemas.openxmlformats.org/spreadsheetml/2006/main" count="796" uniqueCount="323">
  <si>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</si>
  <si>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</si>
  <si>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</si>
  <si>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</si>
  <si>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</si>
  <si>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</si>
  <si>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</si>
  <si>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</si>
  <si>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</si>
  <si>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</si>
  <si>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</si>
  <si>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</si>
  <si>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</si>
  <si>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</si>
  <si>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</si>
  <si>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</si>
  <si>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</si>
  <si>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</si>
  <si>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Total Avoided Costs</t>
  </si>
  <si>
    <t>At Stated Capacity Factor</t>
  </si>
  <si>
    <t>Total Avoided 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</si>
  <si>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</si>
  <si>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</si>
  <si>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</si>
  <si>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</si>
  <si>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</si>
  <si>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</si>
  <si>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</si>
  <si>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</si>
  <si>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</si>
  <si>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</si>
  <si>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</si>
  <si>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</si>
  <si>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</si>
  <si>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</si>
  <si>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</si>
  <si>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5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</si>
  <si>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</si>
  <si>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</si>
  <si>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</si>
  <si>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</si>
  <si>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</si>
  <si>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</si>
  <si>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</si>
  <si>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</si>
  <si>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</si>
  <si>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</si>
  <si>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</si>
  <si>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</si>
  <si>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</si>
  <si>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</si>
  <si>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</si>
  <si>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</si>
  <si>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</si>
  <si>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</si>
  <si>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</si>
  <si>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</si>
  <si>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</si>
  <si>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</si>
  <si>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</si>
  <si>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</si>
  <si>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</si>
  <si>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</si>
  <si>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</si>
  <si>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</si>
  <si>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</si>
  <si>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</si>
  <si>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</si>
  <si>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</si>
  <si>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</si>
  <si>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</si>
  <si>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</si>
  <si>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</si>
  <si>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</si>
  <si>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</si>
  <si>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</si>
  <si>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</si>
  <si>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</si>
  <si>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</si>
  <si>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</si>
  <si>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</si>
  <si>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</si>
  <si>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</si>
  <si>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</si>
  <si>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</si>
  <si>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</si>
  <si>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</si>
  <si>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</si>
  <si>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</si>
  <si>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</si>
  <si>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</si>
  <si>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</si>
  <si>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</si>
  <si>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</si>
  <si>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</si>
  <si>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</si>
  <si>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</si>
  <si>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CCCT</t>
  </si>
  <si>
    <t>Duct Firing</t>
  </si>
  <si>
    <t>Table 9</t>
  </si>
  <si>
    <t>Burnertip</t>
  </si>
  <si>
    <t>Source</t>
  </si>
  <si>
    <t>Gas Fuel Costs</t>
  </si>
  <si>
    <t>Delivered</t>
  </si>
  <si>
    <t xml:space="preserve">Combined </t>
  </si>
  <si>
    <t>East Side Gas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</si>
  <si>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</si>
  <si>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</si>
  <si>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</si>
  <si>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</si>
  <si>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</si>
  <si>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</si>
  <si>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</si>
  <si>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</si>
  <si>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</si>
  <si>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</si>
  <si>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</si>
  <si>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</si>
  <si>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</si>
  <si>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</si>
  <si>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</si>
  <si>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>Load and Resource (L&amp;R) Balance</t>
  </si>
  <si>
    <t>Peak (MW)</t>
  </si>
  <si>
    <t>Table 11</t>
  </si>
  <si>
    <t>Deficit</t>
  </si>
  <si>
    <t>Months / Year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</si>
  <si>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</si>
  <si>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</si>
  <si>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</si>
  <si>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</si>
  <si>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</si>
  <si>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</si>
  <si>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</si>
  <si>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</si>
  <si>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Peak Energy Prices (¢/kWh)</t>
  </si>
  <si>
    <t>Off-Peak Energy Prices (¢/kWh)</t>
  </si>
  <si>
    <t xml:space="preserve">Deliveries During </t>
  </si>
  <si>
    <t>IRP Preferred Portfolio</t>
  </si>
  <si>
    <t xml:space="preserve">   Peak</t>
  </si>
  <si>
    <t xml:space="preserve">   Off-Peak</t>
  </si>
  <si>
    <t xml:space="preserve">   Combined</t>
  </si>
  <si>
    <t>Plant Costs  - 2013 IRP - Table 6.1 &amp; 6.2</t>
  </si>
  <si>
    <t>CCCT Dry "J", Adv 1x1 - East Side Resource (5,050')</t>
  </si>
  <si>
    <t>CCCT Dry "J" - Duct Firing</t>
  </si>
  <si>
    <t>CCCT Dry "J" - Turbine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</si>
  <si>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</si>
  <si>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</si>
  <si>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</si>
  <si>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Capacity Deficit Months per Year</t>
  </si>
  <si>
    <t xml:space="preserve">Capacity deficit months per year is a count of the number of months each year </t>
  </si>
  <si>
    <t>IRP Proxy Resource On-Line Year; QF receives long-run avoided cost</t>
  </si>
  <si>
    <t>Included</t>
  </si>
  <si>
    <t>GRID production cost model study</t>
  </si>
  <si>
    <t xml:space="preserve">  Capitalized energy split 50% as ordered in Docket No. 03-035-14</t>
  </si>
  <si>
    <t>Excerpt from 2013 IRP Update Table 5.5</t>
  </si>
  <si>
    <t>Discount Rate - 2013 IRP Update Page 39</t>
  </si>
  <si>
    <t>Combined costs are 56% on-peak 44% off-peak</t>
  </si>
  <si>
    <t>Capacity Contribution</t>
  </si>
  <si>
    <t>Wind</t>
  </si>
  <si>
    <t xml:space="preserve">    For partial year 2014, capacity is allocated across 4,416 hours</t>
  </si>
  <si>
    <t>Avoided Costs for Base Load QF</t>
  </si>
  <si>
    <t>Avoided Costs for Wind QF</t>
  </si>
  <si>
    <t>Inter-hour Wind Integration Costs</t>
  </si>
  <si>
    <t>Integration Costs</t>
  </si>
  <si>
    <t>We therefore directed PacifiCorp to apply a solar integration charge of</t>
  </si>
  <si>
    <t>Tracking Solar ($2.18 /MWh)</t>
  </si>
  <si>
    <t>Fixed Solar ($2.83 /MWh)</t>
  </si>
  <si>
    <t>Total Wind Integration Costs</t>
  </si>
  <si>
    <t>(c) = (a) +(b)</t>
  </si>
  <si>
    <t>Table 12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</si>
  <si>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</si>
  <si>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</si>
  <si>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</si>
  <si>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</si>
  <si>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</si>
  <si>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</si>
  <si>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</si>
  <si>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</si>
  <si>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</si>
  <si>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</si>
  <si>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</si>
  <si>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</si>
  <si>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</si>
  <si>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</si>
  <si>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</si>
  <si>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</si>
  <si>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Combined ( 56% On-Peak 44% Off-Peak)</t>
  </si>
  <si>
    <t>Off-Peak (Average Energy Costs less Integration Costs)</t>
  </si>
  <si>
    <t>Table 6a</t>
  </si>
  <si>
    <t>Table 6b</t>
  </si>
  <si>
    <t>Base Load - On- &amp; Off- Peak Energy Prices</t>
  </si>
  <si>
    <t>Wind - On- &amp; Off- Peak Energy Prices</t>
  </si>
  <si>
    <t>Table 6c</t>
  </si>
  <si>
    <t>Solar Fixed - On- &amp; Off- Peak Energy Prices</t>
  </si>
  <si>
    <t>Table 6d</t>
  </si>
  <si>
    <t>Solar Tracking - On- &amp; Off- Peak Energy Prices</t>
  </si>
  <si>
    <t xml:space="preserve">$2.83 per megawatt hour for Fixed Solar resources and a $2.18 per megawatt </t>
  </si>
  <si>
    <t xml:space="preserve">hour solar integration cost for Tracking Solar resources based on the wind </t>
  </si>
  <si>
    <t>integration charge of $4.35 per megawatt hour levelized starting in 2013.</t>
  </si>
  <si>
    <t>Capacity (MW)</t>
  </si>
  <si>
    <t>Resource</t>
  </si>
  <si>
    <t>East</t>
  </si>
  <si>
    <t>Existing Plant Retirements/Conversions</t>
  </si>
  <si>
    <t>Hayden1</t>
  </si>
  <si>
    <t>Hayden2</t>
  </si>
  <si>
    <t>Carbon1  (Early Retirement/Conversion)</t>
  </si>
  <si>
    <t>Carbon2  (Early Retirement/Conversion)</t>
  </si>
  <si>
    <t>Cholla1  (Early Retirement/Conversion)</t>
  </si>
  <si>
    <t>Johnston1</t>
  </si>
  <si>
    <t>Johnston2</t>
  </si>
  <si>
    <t>Johnston3</t>
  </si>
  <si>
    <t>Johnston4</t>
  </si>
  <si>
    <t>Naughton1</t>
  </si>
  <si>
    <t>Naughton2</t>
  </si>
  <si>
    <t>Naughton3  (Early Retirement/Conversion)</t>
  </si>
  <si>
    <t>Coal Ret_UT - Gas RePower</t>
  </si>
  <si>
    <t>Coal Ret_WY - Gas RePower</t>
  </si>
  <si>
    <t>Expansion Resources</t>
  </si>
  <si>
    <t>CCCT FD 2x1</t>
  </si>
  <si>
    <t>CCCT GH 1x1</t>
  </si>
  <si>
    <t>CCCT J 1x1</t>
  </si>
  <si>
    <t>Lake Side II</t>
  </si>
  <si>
    <t>Coal Plant Turbine Upgrades</t>
  </si>
  <si>
    <t xml:space="preserve">    Wind, Wyoming, 40</t>
  </si>
  <si>
    <t>Total Wind</t>
  </si>
  <si>
    <t>CHP - Biomass</t>
  </si>
  <si>
    <t>CHP - Other</t>
  </si>
  <si>
    <t xml:space="preserve">    DSM, Class 1, ID-Irrigate</t>
  </si>
  <si>
    <t xml:space="preserve">    DSM, Class 1, UT-Curtail</t>
  </si>
  <si>
    <t xml:space="preserve">    DSM, Class 1, UT-Irrigate</t>
  </si>
  <si>
    <t xml:space="preserve">    DSM, Class 1, WY-Irrigate</t>
  </si>
  <si>
    <t>DSM, Class 1 Total</t>
  </si>
  <si>
    <t xml:space="preserve">    DSM, Class 2, ID</t>
  </si>
  <si>
    <t xml:space="preserve">    DSM, Class 2, UT</t>
  </si>
  <si>
    <t xml:space="preserve">    DSM, Class 2, WY</t>
  </si>
  <si>
    <t>DSM, Class 2 Total</t>
  </si>
  <si>
    <t>Micro Solar - PV</t>
  </si>
  <si>
    <t>Micro Solar - Water Heating</t>
  </si>
  <si>
    <t>FOT Mona Q3</t>
  </si>
  <si>
    <t>West</t>
  </si>
  <si>
    <t xml:space="preserve">    DSM, Class 1, OR-Curtail</t>
  </si>
  <si>
    <t xml:space="preserve">    DSM, Class 1, OR-DLC-IRR</t>
  </si>
  <si>
    <t xml:space="preserve">    DSM, Class 1, CA-DLC-IRR</t>
  </si>
  <si>
    <t xml:space="preserve">    DSM, Class 1, CA-Curtail</t>
  </si>
  <si>
    <t>DSM, Class 1  Total</t>
  </si>
  <si>
    <t xml:space="preserve">    DSM, Class 2, CA</t>
  </si>
  <si>
    <t xml:space="preserve">    DSM, Class 2, OR</t>
  </si>
  <si>
    <t xml:space="preserve">    DSM, Class 2, WA</t>
  </si>
  <si>
    <t>DSM, Class 2  Total</t>
  </si>
  <si>
    <t>OR Solar (Util Cap Standard &amp; Cust Incentive Prgm)</t>
  </si>
  <si>
    <t>Signed Contract - OR Solar</t>
  </si>
  <si>
    <t>FOT COB Q3</t>
  </si>
  <si>
    <t>FOT NOB Q3</t>
  </si>
  <si>
    <t>FOT MidColumbia Q3</t>
  </si>
  <si>
    <t>FOT MidColumbia Q3 - 2</t>
  </si>
  <si>
    <t>Annual Additions, Long Term Resources</t>
  </si>
  <si>
    <t>Annual Additions, Short Term Resources</t>
  </si>
  <si>
    <t>Total Annual Additions</t>
  </si>
  <si>
    <t>1/ Front office transaction amounts reflect one-year transaction periods, are not additive, and are reported as a 10/20-year annual average.</t>
  </si>
  <si>
    <t>Resource Totals 1/</t>
  </si>
  <si>
    <t>10-year</t>
  </si>
  <si>
    <t>20-year</t>
  </si>
  <si>
    <t>SCCT Frame "F" x 1 - East Side Resource (4,250')</t>
  </si>
  <si>
    <t>Avoided Costs for Fixed Solar QF</t>
  </si>
  <si>
    <t>Avoided Costs for Tracking Solar QF</t>
  </si>
  <si>
    <t xml:space="preserve">that the Company is capacity deficit as calculated by GRID using existing resources.  </t>
  </si>
  <si>
    <t xml:space="preserve">Positive values reflect months when the Company is capacity surplus.  Negative </t>
  </si>
  <si>
    <t xml:space="preserve">values reflect months when the Company is capacity deficit. </t>
  </si>
  <si>
    <t>Intra-hour Wind Integration Costs</t>
  </si>
  <si>
    <t>(2): On- and off- peak prices are reduced by integration charges.</t>
  </si>
  <si>
    <t>Avoided Cost Prices for Fixed Solar QF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</si>
  <si>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</si>
  <si>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</si>
  <si>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</si>
  <si>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</si>
  <si>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</si>
  <si>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</si>
  <si>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The 2013 IRP was prepared using a 13% planning reserve margin.  See 2013 IRP, page 162.</t>
  </si>
  <si>
    <t>(1): Peak Prices reflect 20.5% capacity contribution of wind QF.</t>
  </si>
  <si>
    <t>Integration costs filed July 19,2013 - Utah 2013.Q2 Compliance Filing</t>
  </si>
  <si>
    <t>Utah Commission Ordered Methodology - Docket 12-035-100</t>
  </si>
  <si>
    <t>Utah Commission Order dated October 4, 2013</t>
  </si>
  <si>
    <t>(1): Peak Price reflect 68.0% capacity contribution of Fixed Solar QF.</t>
  </si>
  <si>
    <t>Official Forward Price Curve dated March 2014</t>
  </si>
  <si>
    <t>Official Forward Price Curve dated March 2014, adjusted to remove the impact of carbon regulation from prices for electricity.</t>
  </si>
  <si>
    <t>$ With degradation</t>
  </si>
  <si>
    <t>MWh With degradation</t>
  </si>
  <si>
    <t>Chck $</t>
  </si>
  <si>
    <t>NPV</t>
  </si>
  <si>
    <t>20 year Levelized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</si>
  <si>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</si>
  <si>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</si>
  <si>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</si>
  <si>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</si>
  <si>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</si>
  <si>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</si>
  <si>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Fixed Cost x No. Months</t>
  </si>
  <si>
    <t>20-year (2015-2034) Nominal Levelized</t>
  </si>
  <si>
    <t>On Peak Energy Prices (¢/kWh)</t>
  </si>
  <si>
    <t>On Peak Energy Prices (¢/kWh) (1,2)</t>
  </si>
  <si>
    <t>(1): On Peak Prices reflect 84.0% capacity contribution of Tracking Solar QF.</t>
  </si>
  <si>
    <t>hours</t>
  </si>
  <si>
    <t>Generation Profile_Baseload</t>
  </si>
  <si>
    <t>Generation Profile_Wind*</t>
  </si>
  <si>
    <t>Generation Profile_Solar*</t>
  </si>
  <si>
    <t>BASE LOAD</t>
  </si>
  <si>
    <t>WIND</t>
  </si>
  <si>
    <t>SOLAR FIXED</t>
  </si>
  <si>
    <t>SOLAR TRACKING</t>
  </si>
  <si>
    <t>Total Avoided Costs with Capacity Costs included at 85.0% Capacity Factor</t>
  </si>
  <si>
    <t>Total Avoided Costs with Capacity Costs included at 40.0% Capacity Factor</t>
  </si>
  <si>
    <t>Total Avoided Costs with Capacity Costs included at 18.5% Capacity Factor</t>
  </si>
  <si>
    <t>Total Avoided Costs with Capacity Costs included at 29.0% Capacity Factor</t>
  </si>
  <si>
    <t>Proposed (1)</t>
  </si>
  <si>
    <t>Current (2)</t>
  </si>
  <si>
    <t>(2): Current rates that were approved by the October 21, 2014 Order.</t>
  </si>
  <si>
    <t>Volumetric</t>
  </si>
  <si>
    <t>On-Peak (1)</t>
  </si>
  <si>
    <t xml:space="preserve"> (2):  Off-Peak</t>
  </si>
  <si>
    <t xml:space="preserve"> (1): On-Peak</t>
  </si>
  <si>
    <t>Off-Peak (Average Energy Costs)(2)</t>
  </si>
  <si>
    <t>GRID production cost model study plus capacity payments based on Simple Cycle CT Fixed costs</t>
  </si>
  <si>
    <t>(1): Proposed rates are based on the January 16, 2015 dated Commission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</si>
</sst>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</numFmts>
  <fonts count="3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2">
    <xf numFmtId="175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41" fontId="4" fillId="0" borderId="0"/>
    <xf numFmtId="0" fontId="4" fillId="0" borderId="0"/>
    <xf numFmtId="175" fontId="4" fillId="0" borderId="0"/>
    <xf numFmtId="0" fontId="2" fillId="0" borderId="0"/>
    <xf numFmtId="175" fontId="2" fillId="0" borderId="0"/>
    <xf numFmtId="12" fontId="13" fillId="2" borderId="2">
      <alignment horizontal="left"/>
    </xf>
    <xf numFmtId="9" fontId="2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5" fontId="2" fillId="0" borderId="0"/>
    <xf numFmtId="175" fontId="4" fillId="0" borderId="0"/>
    <xf numFmtId="0" fontId="2" fillId="0" borderId="0"/>
    <xf numFmtId="0" fontId="1" fillId="0" borderId="0"/>
    <xf numFmtId="0" fontId="2" fillId="0" borderId="0"/>
  </cellStyleXfs>
  <cellXfs count="421">
    <xf numFmtId="175" fontId="0" fillId="0" borderId="0" xfId="0"/>
    <xf numFmtId="175" fontId="5" fillId="0" borderId="0" xfId="0" applyFont="1" applyFill="1" applyAlignment="1">
      <alignment horizontal="centerContinuous"/>
    </xf>
    <xf numFmtId="175" fontId="12" fillId="0" borderId="0" xfId="0" applyFont="1" applyFill="1" applyAlignment="1">
      <alignment horizontal="centerContinuous"/>
    </xf>
    <xf numFmtId="175" fontId="6" fillId="0" borderId="0" xfId="0" applyFont="1" applyFill="1" applyAlignment="1">
      <alignment horizontal="centerContinuous"/>
    </xf>
    <xf numFmtId="8" fontId="8" fillId="0" borderId="0" xfId="0" applyNumberFormat="1" applyFont="1" applyFill="1" applyAlignment="1">
      <alignment horizontal="center"/>
    </xf>
    <xf numFmtId="175" fontId="9" fillId="0" borderId="0" xfId="0" applyFont="1" applyFill="1"/>
    <xf numFmtId="175" fontId="9" fillId="0" borderId="0" xfId="0" applyFont="1" applyFill="1" applyAlignment="1">
      <alignment horizontal="centerContinuous"/>
    </xf>
    <xf numFmtId="175" fontId="10" fillId="0" borderId="0" xfId="0" applyFont="1" applyFill="1"/>
    <xf numFmtId="175" fontId="5" fillId="0" borderId="0" xfId="0" applyFont="1" applyFill="1" applyBorder="1" applyAlignment="1">
      <alignment horizontal="center"/>
    </xf>
    <xf numFmtId="175" fontId="6" fillId="0" borderId="0" xfId="0" applyFont="1" applyFill="1" applyBorder="1" applyAlignment="1">
      <alignment horizontal="center"/>
    </xf>
    <xf numFmtId="8" fontId="8" fillId="0" borderId="0" xfId="0" applyNumberFormat="1" applyFont="1" applyFill="1" applyAlignment="1">
      <alignment horizontal="centerContinuous"/>
    </xf>
    <xf numFmtId="175" fontId="8" fillId="0" borderId="0" xfId="0" quotePrefix="1" applyFont="1" applyFill="1" applyAlignment="1">
      <alignment horizontal="center"/>
    </xf>
    <xf numFmtId="8" fontId="8" fillId="0" borderId="0" xfId="0" applyNumberFormat="1" applyFont="1" applyFill="1" applyAlignment="1"/>
    <xf numFmtId="175" fontId="3" fillId="0" borderId="0" xfId="0" applyFont="1" applyFill="1" applyBorder="1" applyAlignment="1">
      <alignment horizontal="left"/>
    </xf>
    <xf numFmtId="175" fontId="10" fillId="0" borderId="0" xfId="0" applyFont="1" applyFill="1" applyAlignment="1">
      <alignment horizontal="centerContinuous"/>
    </xf>
    <xf numFmtId="175" fontId="5" fillId="0" borderId="0" xfId="0" applyFont="1" applyFill="1" applyBorder="1" applyAlignment="1">
      <alignment horizontal="centerContinuous"/>
    </xf>
    <xf numFmtId="175" fontId="6" fillId="0" borderId="0" xfId="0" applyFont="1" applyFill="1" applyBorder="1" applyAlignment="1">
      <alignment horizontal="centerContinuous"/>
    </xf>
    <xf numFmtId="8" fontId="8" fillId="0" borderId="0" xfId="0" applyNumberFormat="1" applyFont="1" applyFill="1" applyBorder="1" applyAlignment="1">
      <alignment horizontal="left"/>
    </xf>
    <xf numFmtId="169" fontId="11" fillId="0" borderId="0" xfId="13" applyNumberFormat="1" applyFont="1" applyFill="1"/>
    <xf numFmtId="41" fontId="11" fillId="0" borderId="0" xfId="7" applyFont="1" applyFill="1"/>
    <xf numFmtId="164" fontId="11" fillId="0" borderId="0" xfId="7" applyNumberFormat="1" applyFont="1" applyFill="1"/>
    <xf numFmtId="175" fontId="7" fillId="0" borderId="0" xfId="0" applyFont="1" applyFill="1" applyBorder="1" applyAlignment="1">
      <alignment horizontal="center"/>
    </xf>
    <xf numFmtId="175" fontId="7" fillId="0" borderId="0" xfId="0" quotePrefix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75" fontId="5" fillId="0" borderId="0" xfId="9" applyFont="1" applyFill="1" applyAlignment="1">
      <alignment horizontal="centerContinuous"/>
    </xf>
    <xf numFmtId="175" fontId="3" fillId="0" borderId="4" xfId="9" applyFont="1" applyFill="1" applyBorder="1" applyAlignment="1">
      <alignment horizontal="center"/>
    </xf>
    <xf numFmtId="175" fontId="3" fillId="0" borderId="4" xfId="9" applyFont="1" applyFill="1" applyBorder="1" applyAlignment="1">
      <alignment horizontal="center" wrapText="1"/>
    </xf>
    <xf numFmtId="175" fontId="12" fillId="0" borderId="10" xfId="9" applyFont="1" applyFill="1" applyBorder="1" applyAlignment="1">
      <alignment horizontal="centerContinuous"/>
    </xf>
    <xf numFmtId="175" fontId="20" fillId="0" borderId="10" xfId="9" quotePrefix="1" applyFont="1" applyFill="1" applyBorder="1" applyAlignment="1">
      <alignment horizontal="center" wrapText="1"/>
    </xf>
    <xf numFmtId="175" fontId="20" fillId="0" borderId="10" xfId="9" applyFont="1" applyFill="1" applyBorder="1" applyAlignment="1">
      <alignment horizontal="center" wrapText="1"/>
    </xf>
    <xf numFmtId="175" fontId="7" fillId="0" borderId="0" xfId="9" quotePrefix="1" applyFont="1" applyFill="1" applyBorder="1" applyAlignment="1">
      <alignment horizontal="center"/>
    </xf>
    <xf numFmtId="175" fontId="21" fillId="0" borderId="0" xfId="9" applyFont="1" applyFill="1" applyBorder="1"/>
    <xf numFmtId="175" fontId="3" fillId="0" borderId="19" xfId="9" applyFont="1" applyFill="1" applyBorder="1" applyAlignment="1">
      <alignment horizontal="centerContinuous"/>
    </xf>
    <xf numFmtId="175" fontId="6" fillId="0" borderId="0" xfId="9" applyFont="1" applyFill="1" applyAlignment="1">
      <alignment horizontal="centerContinuous"/>
    </xf>
    <xf numFmtId="175" fontId="3" fillId="0" borderId="0" xfId="9" applyFont="1" applyFill="1" applyAlignment="1">
      <alignment horizontal="centerContinuous"/>
    </xf>
    <xf numFmtId="175" fontId="3" fillId="0" borderId="11" xfId="9" applyFont="1" applyFill="1" applyBorder="1" applyAlignment="1">
      <alignment horizontal="centerContinuous"/>
    </xf>
    <xf numFmtId="175" fontId="3" fillId="0" borderId="5" xfId="9" applyFont="1" applyFill="1" applyBorder="1" applyAlignment="1">
      <alignment horizontal="centerContinuous"/>
    </xf>
    <xf numFmtId="175" fontId="3" fillId="0" borderId="11" xfId="9" applyFont="1" applyFill="1" applyBorder="1" applyAlignment="1">
      <alignment horizontal="center"/>
    </xf>
    <xf numFmtId="41" fontId="11" fillId="0" borderId="0" xfId="9" applyNumberFormat="1" applyFont="1" applyFill="1"/>
    <xf numFmtId="6" fontId="11" fillId="0" borderId="0" xfId="2" applyNumberFormat="1" applyFont="1" applyFill="1"/>
    <xf numFmtId="8" fontId="11" fillId="0" borderId="0" xfId="2" applyNumberFormat="1" applyFont="1" applyFill="1"/>
    <xf numFmtId="175" fontId="11" fillId="0" borderId="0" xfId="9" applyFont="1" applyFill="1"/>
    <xf numFmtId="43" fontId="11" fillId="0" borderId="0" xfId="2" applyNumberFormat="1" applyFont="1" applyFill="1"/>
    <xf numFmtId="164" fontId="7" fillId="0" borderId="0" xfId="9" applyNumberFormat="1" applyFont="1" applyFill="1" applyAlignment="1">
      <alignment horizontal="right"/>
    </xf>
    <xf numFmtId="175" fontId="3" fillId="0" borderId="8" xfId="9" applyFont="1" applyFill="1" applyBorder="1" applyAlignment="1">
      <alignment horizontal="centerContinuous"/>
    </xf>
    <xf numFmtId="175" fontId="3" fillId="0" borderId="6" xfId="9" applyFont="1" applyFill="1" applyBorder="1" applyAlignment="1">
      <alignment horizontal="center"/>
    </xf>
    <xf numFmtId="175" fontId="3" fillId="0" borderId="10" xfId="9" applyFont="1" applyFill="1" applyBorder="1" applyAlignment="1">
      <alignment horizontal="center"/>
    </xf>
    <xf numFmtId="175" fontId="22" fillId="0" borderId="0" xfId="9" applyFont="1" applyFill="1" applyAlignment="1">
      <alignment horizontal="left"/>
    </xf>
    <xf numFmtId="167" fontId="8" fillId="0" borderId="0" xfId="0" applyNumberFormat="1" applyFont="1" applyFill="1" applyBorder="1" applyAlignment="1">
      <alignment horizontal="center"/>
    </xf>
    <xf numFmtId="175" fontId="5" fillId="0" borderId="0" xfId="11" applyFont="1" applyAlignment="1">
      <alignment horizontal="centerContinuous"/>
    </xf>
    <xf numFmtId="175" fontId="4" fillId="0" borderId="0" xfId="11" applyFont="1"/>
    <xf numFmtId="175" fontId="7" fillId="0" borderId="10" xfId="0" quotePrefix="1" applyFont="1" applyFill="1" applyBorder="1" applyAlignment="1">
      <alignment horizontal="center"/>
    </xf>
    <xf numFmtId="164" fontId="4" fillId="0" borderId="0" xfId="0" applyNumberFormat="1" applyFont="1"/>
    <xf numFmtId="41" fontId="11" fillId="0" borderId="0" xfId="9" applyNumberFormat="1" applyFont="1" applyFill="1" applyAlignment="1">
      <alignment horizontal="center"/>
    </xf>
    <xf numFmtId="175" fontId="3" fillId="0" borderId="20" xfId="0" applyFont="1" applyFill="1" applyBorder="1" applyAlignment="1">
      <alignment horizontal="centerContinuous"/>
    </xf>
    <xf numFmtId="175" fontId="3" fillId="0" borderId="23" xfId="0" applyFont="1" applyFill="1" applyBorder="1" applyAlignment="1">
      <alignment horizontal="centerContinuous"/>
    </xf>
    <xf numFmtId="175" fontId="0" fillId="0" borderId="0" xfId="9" applyFont="1" applyFill="1"/>
    <xf numFmtId="175" fontId="3" fillId="0" borderId="11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72" fontId="0" fillId="0" borderId="0" xfId="2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64" fontId="0" fillId="0" borderId="0" xfId="0" applyNumberFormat="1" applyFont="1" applyFill="1"/>
    <xf numFmtId="9" fontId="0" fillId="0" borderId="0" xfId="0" applyNumberFormat="1" applyFont="1" applyFill="1"/>
    <xf numFmtId="169" fontId="0" fillId="0" borderId="0" xfId="13" applyNumberFormat="1" applyFont="1" applyFill="1"/>
    <xf numFmtId="43" fontId="0" fillId="0" borderId="0" xfId="1" applyFont="1" applyFill="1"/>
    <xf numFmtId="175" fontId="0" fillId="0" borderId="22" xfId="0" applyFont="1" applyFill="1" applyBorder="1" applyAlignment="1">
      <alignment horizontal="centerContinuous"/>
    </xf>
    <xf numFmtId="1" fontId="0" fillId="0" borderId="0" xfId="10" applyNumberFormat="1" applyFont="1" applyFill="1" applyAlignment="1" applyProtection="1">
      <alignment horizontal="center"/>
      <protection locked="0"/>
    </xf>
    <xf numFmtId="175" fontId="0" fillId="0" borderId="0" xfId="0" applyFont="1" applyFill="1" applyBorder="1"/>
    <xf numFmtId="41" fontId="0" fillId="0" borderId="0" xfId="7" applyFont="1" applyFill="1"/>
    <xf numFmtId="175" fontId="3" fillId="0" borderId="0" xfId="17" applyFont="1" applyFill="1" applyBorder="1" applyAlignment="1">
      <alignment horizontal="center"/>
    </xf>
    <xf numFmtId="175" fontId="3" fillId="0" borderId="4" xfId="0" applyFont="1" applyFill="1" applyBorder="1" applyAlignment="1">
      <alignment horizontal="centerContinuous" wrapText="1"/>
    </xf>
    <xf numFmtId="175" fontId="3" fillId="0" borderId="4" xfId="0" applyFont="1" applyFill="1" applyBorder="1" applyAlignment="1">
      <alignment horizontal="center" wrapText="1"/>
    </xf>
    <xf numFmtId="175" fontId="20" fillId="0" borderId="10" xfId="0" applyFont="1" applyFill="1" applyBorder="1" applyAlignment="1">
      <alignment horizontal="center" wrapText="1"/>
    </xf>
    <xf numFmtId="175" fontId="20" fillId="0" borderId="10" xfId="0" quotePrefix="1" applyFont="1" applyFill="1" applyBorder="1" applyAlignment="1">
      <alignment horizontal="center" wrapText="1"/>
    </xf>
    <xf numFmtId="8" fontId="0" fillId="0" borderId="0" xfId="0" applyNumberFormat="1" applyFont="1" applyFill="1" applyBorder="1"/>
    <xf numFmtId="8" fontId="0" fillId="0" borderId="2" xfId="0" applyNumberFormat="1" applyFont="1" applyFill="1" applyBorder="1"/>
    <xf numFmtId="175" fontId="5" fillId="0" borderId="0" xfId="17" applyFont="1" applyFill="1" applyAlignment="1">
      <alignment horizontal="centerContinuous"/>
    </xf>
    <xf numFmtId="0" fontId="3" fillId="0" borderId="0" xfId="17" applyNumberFormat="1" applyFont="1" applyFill="1" applyBorder="1" applyAlignment="1">
      <alignment horizontal="center"/>
    </xf>
    <xf numFmtId="175" fontId="3" fillId="0" borderId="0" xfId="17" applyFont="1" applyFill="1"/>
    <xf numFmtId="175" fontId="3" fillId="0" borderId="4" xfId="17" applyFont="1" applyFill="1" applyBorder="1" applyAlignment="1">
      <alignment horizontal="center"/>
    </xf>
    <xf numFmtId="0" fontId="3" fillId="0" borderId="13" xfId="17" applyNumberFormat="1" applyFont="1" applyFill="1" applyBorder="1" applyAlignment="1">
      <alignment horizontal="center"/>
    </xf>
    <xf numFmtId="0" fontId="3" fillId="0" borderId="12" xfId="17" applyNumberFormat="1" applyFont="1" applyFill="1" applyBorder="1" applyAlignment="1">
      <alignment horizontal="center"/>
    </xf>
    <xf numFmtId="0" fontId="3" fillId="0" borderId="4" xfId="17" applyNumberFormat="1" applyFont="1" applyFill="1" applyBorder="1" applyAlignment="1">
      <alignment horizontal="center"/>
    </xf>
    <xf numFmtId="0" fontId="3" fillId="0" borderId="6" xfId="17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17" applyFont="1" applyFill="1" applyAlignment="1">
      <alignment horizontal="centerContinuous"/>
    </xf>
    <xf numFmtId="175" fontId="0" fillId="0" borderId="0" xfId="17" applyFont="1" applyFill="1"/>
    <xf numFmtId="175" fontId="0" fillId="0" borderId="4" xfId="17" applyFont="1" applyFill="1" applyBorder="1"/>
    <xf numFmtId="164" fontId="0" fillId="0" borderId="4" xfId="17" applyNumberFormat="1" applyFont="1" applyFill="1" applyBorder="1"/>
    <xf numFmtId="175" fontId="0" fillId="0" borderId="18" xfId="17" applyFont="1" applyFill="1" applyBorder="1"/>
    <xf numFmtId="164" fontId="0" fillId="0" borderId="13" xfId="17" applyNumberFormat="1" applyFont="1" applyFill="1" applyBorder="1"/>
    <xf numFmtId="164" fontId="0" fillId="0" borderId="18" xfId="17" applyNumberFormat="1" applyFont="1" applyFill="1" applyBorder="1"/>
    <xf numFmtId="164" fontId="0" fillId="0" borderId="14" xfId="17" applyNumberFormat="1" applyFont="1" applyFill="1" applyBorder="1"/>
    <xf numFmtId="164" fontId="0" fillId="0" borderId="6" xfId="17" applyNumberFormat="1" applyFont="1" applyFill="1" applyBorder="1"/>
    <xf numFmtId="175" fontId="0" fillId="0" borderId="0" xfId="17" applyFont="1" applyFill="1" applyBorder="1"/>
    <xf numFmtId="164" fontId="0" fillId="0" borderId="12" xfId="17" applyNumberFormat="1" applyFont="1" applyFill="1" applyBorder="1"/>
    <xf numFmtId="164" fontId="0" fillId="0" borderId="0" xfId="17" applyNumberFormat="1" applyFont="1" applyFill="1" applyBorder="1"/>
    <xf numFmtId="164" fontId="0" fillId="0" borderId="7" xfId="17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0" xfId="9" applyFont="1" applyFill="1" applyBorder="1" applyAlignment="1">
      <alignment horizontal="centerContinuous"/>
    </xf>
    <xf numFmtId="175" fontId="0" fillId="0" borderId="0" xfId="9" applyFont="1" applyFill="1" applyBorder="1"/>
    <xf numFmtId="175" fontId="0" fillId="0" borderId="7" xfId="9" applyFont="1" applyFill="1" applyBorder="1"/>
    <xf numFmtId="0" fontId="0" fillId="0" borderId="0" xfId="9" applyNumberFormat="1" applyFont="1" applyFill="1"/>
    <xf numFmtId="6" fontId="0" fillId="0" borderId="0" xfId="9" applyNumberFormat="1" applyFont="1" applyFill="1" applyAlignment="1">
      <alignment horizontal="right"/>
    </xf>
    <xf numFmtId="8" fontId="0" fillId="0" borderId="0" xfId="9" applyNumberFormat="1" applyFont="1" applyFill="1" applyAlignment="1">
      <alignment horizontal="right"/>
    </xf>
    <xf numFmtId="8" fontId="0" fillId="0" borderId="0" xfId="9" applyNumberFormat="1" applyFont="1" applyFill="1" applyBorder="1" applyAlignment="1">
      <alignment horizontal="right"/>
    </xf>
    <xf numFmtId="166" fontId="0" fillId="0" borderId="0" xfId="9" applyNumberFormat="1" applyFont="1" applyFill="1" applyAlignment="1">
      <alignment horizontal="center"/>
    </xf>
    <xf numFmtId="168" fontId="0" fillId="0" borderId="0" xfId="9" applyNumberFormat="1" applyFont="1" applyFill="1" applyBorder="1"/>
    <xf numFmtId="43" fontId="0" fillId="0" borderId="0" xfId="9" applyNumberFormat="1" applyFont="1" applyFill="1"/>
    <xf numFmtId="8" fontId="0" fillId="0" borderId="0" xfId="9" applyNumberFormat="1" applyFont="1" applyFill="1" applyBorder="1"/>
    <xf numFmtId="0" fontId="0" fillId="0" borderId="0" xfId="9" applyNumberFormat="1" applyFont="1" applyFill="1" applyBorder="1"/>
    <xf numFmtId="166" fontId="0" fillId="0" borderId="0" xfId="9" applyNumberFormat="1" applyFont="1" applyFill="1" applyBorder="1" applyAlignment="1">
      <alignment horizontal="center"/>
    </xf>
    <xf numFmtId="8" fontId="0" fillId="0" borderId="0" xfId="9" applyNumberFormat="1" applyFont="1" applyFill="1" applyBorder="1" applyAlignment="1">
      <alignment horizontal="center"/>
    </xf>
    <xf numFmtId="43" fontId="0" fillId="0" borderId="0" xfId="9" applyNumberFormat="1" applyFont="1" applyFill="1" applyBorder="1"/>
    <xf numFmtId="41" fontId="0" fillId="0" borderId="0" xfId="7" applyFont="1" applyFill="1" applyAlignment="1">
      <alignment horizontal="center"/>
    </xf>
    <xf numFmtId="8" fontId="0" fillId="0" borderId="0" xfId="7" applyNumberFormat="1" applyFont="1" applyFill="1" applyBorder="1"/>
    <xf numFmtId="41" fontId="0" fillId="0" borderId="0" xfId="7" applyFont="1" applyFill="1" applyAlignment="1">
      <alignment horizontal="left"/>
    </xf>
    <xf numFmtId="9" fontId="0" fillId="0" borderId="0" xfId="9" applyNumberFormat="1" applyFont="1" applyFill="1"/>
    <xf numFmtId="170" fontId="0" fillId="0" borderId="0" xfId="7" applyNumberFormat="1" applyFont="1" applyFill="1"/>
    <xf numFmtId="43" fontId="0" fillId="0" borderId="0" xfId="7" applyNumberFormat="1" applyFont="1" applyFill="1"/>
    <xf numFmtId="164" fontId="0" fillId="0" borderId="0" xfId="7" applyNumberFormat="1" applyFont="1" applyFill="1"/>
    <xf numFmtId="8" fontId="0" fillId="0" borderId="0" xfId="9" applyNumberFormat="1" applyFont="1" applyFill="1"/>
    <xf numFmtId="0" fontId="0" fillId="0" borderId="2" xfId="9" applyNumberFormat="1" applyFont="1" applyFill="1" applyBorder="1"/>
    <xf numFmtId="166" fontId="0" fillId="0" borderId="2" xfId="9" applyNumberFormat="1" applyFont="1" applyFill="1" applyBorder="1" applyAlignment="1">
      <alignment horizontal="center"/>
    </xf>
    <xf numFmtId="8" fontId="0" fillId="0" borderId="2" xfId="9" applyNumberFormat="1" applyFont="1" applyFill="1" applyBorder="1"/>
    <xf numFmtId="173" fontId="0" fillId="0" borderId="0" xfId="9" applyNumberFormat="1" applyFont="1" applyFill="1"/>
    <xf numFmtId="175" fontId="0" fillId="0" borderId="0" xfId="9" applyFont="1" applyFill="1" applyAlignment="1">
      <alignment horizontal="center"/>
    </xf>
    <xf numFmtId="41" fontId="0" fillId="0" borderId="0" xfId="9" applyNumberFormat="1" applyFont="1" applyFill="1" applyBorder="1"/>
    <xf numFmtId="174" fontId="0" fillId="0" borderId="0" xfId="9" applyNumberFormat="1" applyFont="1" applyFill="1" applyBorder="1"/>
    <xf numFmtId="41" fontId="0" fillId="0" borderId="0" xfId="9" applyNumberFormat="1" applyFont="1" applyFill="1"/>
    <xf numFmtId="175" fontId="0" fillId="0" borderId="0" xfId="9" applyFont="1" applyFill="1" applyAlignment="1">
      <alignment horizontal="left"/>
    </xf>
    <xf numFmtId="41" fontId="0" fillId="0" borderId="0" xfId="9" applyNumberFormat="1" applyFont="1" applyFill="1" applyAlignment="1">
      <alignment horizontal="center"/>
    </xf>
    <xf numFmtId="169" fontId="0" fillId="0" borderId="0" xfId="9" applyNumberFormat="1" applyFont="1" applyFill="1"/>
    <xf numFmtId="1" fontId="0" fillId="0" borderId="0" xfId="9" applyNumberFormat="1" applyFont="1" applyFill="1"/>
    <xf numFmtId="10" fontId="0" fillId="0" borderId="0" xfId="9" applyNumberFormat="1" applyFont="1" applyFill="1"/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15" xfId="0" applyFont="1" applyFill="1" applyBorder="1" applyAlignment="1">
      <alignment horizontal="centerContinuous"/>
    </xf>
    <xf numFmtId="175" fontId="0" fillId="0" borderId="16" xfId="0" applyFont="1" applyFill="1" applyBorder="1" applyAlignment="1">
      <alignment horizontal="centerContinuous"/>
    </xf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9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9" fontId="0" fillId="0" borderId="6" xfId="13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left"/>
    </xf>
    <xf numFmtId="8" fontId="0" fillId="0" borderId="0" xfId="0" applyNumberFormat="1" applyFont="1" applyFill="1"/>
    <xf numFmtId="177" fontId="0" fillId="0" borderId="0" xfId="7" applyNumberFormat="1" applyFont="1" applyFill="1" applyBorder="1"/>
    <xf numFmtId="175" fontId="0" fillId="0" borderId="17" xfId="0" applyFont="1" applyFill="1" applyBorder="1" applyAlignment="1">
      <alignment horizontal="center"/>
    </xf>
    <xf numFmtId="164" fontId="0" fillId="0" borderId="0" xfId="17" applyNumberFormat="1" applyFont="1" applyFill="1" applyBorder="1" applyAlignment="1">
      <alignment horizontal="centerContinuous"/>
    </xf>
    <xf numFmtId="164" fontId="0" fillId="0" borderId="7" xfId="17" applyNumberFormat="1" applyFont="1" applyFill="1" applyBorder="1" applyAlignment="1">
      <alignment horizontal="centerContinuous"/>
    </xf>
    <xf numFmtId="164" fontId="0" fillId="0" borderId="12" xfId="17" applyNumberFormat="1" applyFont="1" applyFill="1" applyBorder="1" applyAlignment="1">
      <alignment horizontal="centerContinuous"/>
    </xf>
    <xf numFmtId="0" fontId="3" fillId="0" borderId="18" xfId="17" applyNumberFormat="1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5" fillId="0" borderId="0" xfId="11" applyFont="1" applyFill="1" applyAlignment="1">
      <alignment horizontal="centerContinuous"/>
    </xf>
    <xf numFmtId="17" fontId="5" fillId="0" borderId="0" xfId="0" quotePrefix="1" applyNumberFormat="1" applyFont="1" applyFill="1" applyAlignment="1">
      <alignment horizontal="centerContinuous"/>
    </xf>
    <xf numFmtId="0" fontId="0" fillId="0" borderId="4" xfId="17" applyNumberFormat="1" applyFont="1" applyFill="1" applyBorder="1" applyAlignment="1">
      <alignment horizontal="center"/>
    </xf>
    <xf numFmtId="0" fontId="0" fillId="0" borderId="6" xfId="17" applyNumberFormat="1" applyFont="1" applyFill="1" applyBorder="1" applyAlignment="1">
      <alignment horizontal="center"/>
    </xf>
    <xf numFmtId="177" fontId="0" fillId="0" borderId="0" xfId="0" applyNumberFormat="1" applyFont="1" applyFill="1" applyBorder="1"/>
    <xf numFmtId="0" fontId="0" fillId="0" borderId="10" xfId="17" applyNumberFormat="1" applyFont="1" applyFill="1" applyBorder="1" applyAlignment="1">
      <alignment horizontal="center"/>
    </xf>
    <xf numFmtId="175" fontId="4" fillId="0" borderId="0" xfId="0" applyFont="1" applyBorder="1"/>
    <xf numFmtId="175" fontId="8" fillId="0" borderId="0" xfId="0" applyNumberFormat="1" applyFont="1" applyFill="1" applyAlignment="1">
      <alignment horizontal="center"/>
    </xf>
    <xf numFmtId="175" fontId="24" fillId="0" borderId="0" xfId="0" applyFont="1" applyFill="1"/>
    <xf numFmtId="175" fontId="24" fillId="0" borderId="0" xfId="0" applyFont="1" applyFill="1" applyBorder="1" applyAlignment="1">
      <alignment horizontal="center"/>
    </xf>
    <xf numFmtId="175" fontId="24" fillId="0" borderId="0" xfId="0" applyFont="1" applyFill="1" applyAlignment="1">
      <alignment horizontal="center"/>
    </xf>
    <xf numFmtId="175" fontId="25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8" fontId="24" fillId="0" borderId="0" xfId="0" applyNumberFormat="1" applyFont="1" applyFill="1" applyAlignment="1">
      <alignment horizontal="left"/>
    </xf>
    <xf numFmtId="177" fontId="24" fillId="0" borderId="0" xfId="0" applyNumberFormat="1" applyFont="1" applyFill="1" applyAlignment="1">
      <alignment horizontal="center"/>
    </xf>
    <xf numFmtId="175" fontId="24" fillId="0" borderId="0" xfId="0" applyFont="1" applyFill="1" applyAlignment="1">
      <alignment horizontal="right"/>
    </xf>
    <xf numFmtId="175" fontId="24" fillId="0" borderId="0" xfId="0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39" fontId="24" fillId="0" borderId="0" xfId="0" applyNumberFormat="1" applyFont="1" applyFill="1" applyBorder="1" applyAlignment="1">
      <alignment horizontal="center"/>
    </xf>
    <xf numFmtId="39" fontId="24" fillId="0" borderId="0" xfId="0" applyNumberFormat="1" applyFont="1" applyFill="1" applyBorder="1" applyAlignment="1">
      <alignment horizontal="center" vertical="center"/>
    </xf>
    <xf numFmtId="175" fontId="4" fillId="0" borderId="0" xfId="11" applyFont="1" applyAlignment="1">
      <alignment horizontal="centerContinuous"/>
    </xf>
    <xf numFmtId="175" fontId="4" fillId="0" borderId="0" xfId="0" applyFont="1" applyFill="1" applyBorder="1"/>
    <xf numFmtId="9" fontId="0" fillId="0" borderId="0" xfId="13" applyFont="1" applyFill="1"/>
    <xf numFmtId="9" fontId="3" fillId="0" borderId="0" xfId="13" applyFont="1" applyFill="1"/>
    <xf numFmtId="169" fontId="0" fillId="0" borderId="0" xfId="0" applyNumberFormat="1" applyFont="1" applyFill="1"/>
    <xf numFmtId="175" fontId="3" fillId="0" borderId="4" xfId="18" applyFont="1" applyFill="1" applyBorder="1" applyAlignment="1">
      <alignment horizontal="center" wrapText="1"/>
    </xf>
    <xf numFmtId="175" fontId="20" fillId="0" borderId="10" xfId="18" quotePrefix="1" applyFont="1" applyFill="1" applyBorder="1" applyAlignment="1">
      <alignment horizontal="center" wrapText="1"/>
    </xf>
    <xf numFmtId="175" fontId="4" fillId="0" borderId="0" xfId="18" applyFont="1" applyFill="1"/>
    <xf numFmtId="0" fontId="2" fillId="0" borderId="0" xfId="19"/>
    <xf numFmtId="8" fontId="4" fillId="0" borderId="0" xfId="18" applyNumberFormat="1" applyFont="1" applyFill="1" applyAlignment="1">
      <alignment horizontal="right"/>
    </xf>
    <xf numFmtId="175" fontId="0" fillId="0" borderId="8" xfId="0" applyFont="1" applyFill="1" applyBorder="1"/>
    <xf numFmtId="175" fontId="0" fillId="0" borderId="5" xfId="0" applyFont="1" applyFill="1" applyBorder="1"/>
    <xf numFmtId="175" fontId="5" fillId="0" borderId="0" xfId="0" applyFont="1" applyFill="1" applyAlignment="1">
      <alignment horizontal="left" vertical="top"/>
    </xf>
    <xf numFmtId="175" fontId="6" fillId="0" borderId="0" xfId="0" applyFont="1" applyFill="1" applyAlignment="1">
      <alignment horizontal="left" vertical="top"/>
    </xf>
    <xf numFmtId="175" fontId="12" fillId="0" borderId="0" xfId="0" applyFont="1" applyFill="1"/>
    <xf numFmtId="0" fontId="24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5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6" fillId="0" borderId="0" xfId="0" applyFont="1" applyFill="1" applyAlignment="1">
      <alignment horizontal="centerContinuous" vertical="center"/>
    </xf>
    <xf numFmtId="175" fontId="5" fillId="0" borderId="0" xfId="0" applyFont="1" applyFill="1" applyAlignment="1">
      <alignment horizontal="centerContinuous" vertical="top"/>
    </xf>
    <xf numFmtId="175" fontId="6" fillId="0" borderId="0" xfId="0" applyFont="1" applyFill="1" applyAlignment="1">
      <alignment horizontal="centerContinuous" vertical="top"/>
    </xf>
    <xf numFmtId="175" fontId="3" fillId="0" borderId="19" xfId="0" applyFont="1" applyFill="1" applyBorder="1" applyAlignment="1">
      <alignment horizontal="centerContinuous" wrapText="1"/>
    </xf>
    <xf numFmtId="175" fontId="0" fillId="0" borderId="20" xfId="0" applyBorder="1" applyAlignment="1">
      <alignment horizontal="centerContinuous" wrapText="1"/>
    </xf>
    <xf numFmtId="175" fontId="0" fillId="0" borderId="22" xfId="0" applyBorder="1" applyAlignment="1">
      <alignment horizontal="centerContinuous" wrapText="1"/>
    </xf>
    <xf numFmtId="175" fontId="27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left" vertical="center"/>
    </xf>
    <xf numFmtId="175" fontId="9" fillId="5" borderId="11" xfId="0" applyFont="1" applyFill="1" applyBorder="1" applyAlignment="1">
      <alignment horizontal="centerContinuous" vertical="center"/>
    </xf>
    <xf numFmtId="175" fontId="9" fillId="5" borderId="11" xfId="0" applyFont="1" applyFill="1" applyBorder="1" applyAlignment="1">
      <alignment horizontal="centerContinuous"/>
    </xf>
    <xf numFmtId="175" fontId="9" fillId="0" borderId="16" xfId="0" applyFont="1" applyBorder="1" applyAlignment="1"/>
    <xf numFmtId="175" fontId="9" fillId="5" borderId="11" xfId="0" applyFont="1" applyFill="1" applyBorder="1" applyAlignment="1"/>
    <xf numFmtId="1" fontId="9" fillId="5" borderId="11" xfId="0" applyNumberFormat="1" applyFont="1" applyFill="1" applyBorder="1" applyAlignment="1">
      <alignment horizontal="center"/>
    </xf>
    <xf numFmtId="0" fontId="9" fillId="5" borderId="11" xfId="0" applyNumberFormat="1" applyFont="1" applyFill="1" applyBorder="1" applyAlignment="1">
      <alignment horizontal="center"/>
    </xf>
    <xf numFmtId="175" fontId="3" fillId="5" borderId="13" xfId="0" applyFont="1" applyFill="1" applyBorder="1" applyAlignment="1">
      <alignment horizontal="center" vertical="top"/>
    </xf>
    <xf numFmtId="175" fontId="3" fillId="6" borderId="8" xfId="0" applyFont="1" applyFill="1" applyBorder="1" applyAlignment="1"/>
    <xf numFmtId="175" fontId="4" fillId="6" borderId="8" xfId="0" applyFont="1" applyFill="1" applyBorder="1" applyAlignment="1"/>
    <xf numFmtId="175" fontId="4" fillId="6" borderId="5" xfId="0" applyFont="1" applyFill="1" applyBorder="1" applyAlignment="1"/>
    <xf numFmtId="175" fontId="4" fillId="6" borderId="17" xfId="0" applyFont="1" applyFill="1" applyBorder="1" applyAlignment="1"/>
    <xf numFmtId="175" fontId="3" fillId="5" borderId="6" xfId="0" applyFont="1" applyFill="1" applyBorder="1" applyAlignment="1">
      <alignment horizontal="center" vertical="top"/>
    </xf>
    <xf numFmtId="175" fontId="4" fillId="0" borderId="24" xfId="0" applyFont="1" applyBorder="1" applyAlignment="1"/>
    <xf numFmtId="164" fontId="9" fillId="0" borderId="11" xfId="1" applyNumberFormat="1" applyFont="1" applyBorder="1" applyAlignment="1">
      <alignment horizontal="center"/>
    </xf>
    <xf numFmtId="175" fontId="4" fillId="5" borderId="6" xfId="0" applyFont="1" applyFill="1" applyBorder="1" applyAlignment="1">
      <alignment horizontal="center" vertical="top"/>
    </xf>
    <xf numFmtId="175" fontId="4" fillId="0" borderId="25" xfId="0" applyFont="1" applyBorder="1" applyAlignment="1"/>
    <xf numFmtId="164" fontId="9" fillId="0" borderId="10" xfId="1" applyNumberFormat="1" applyFont="1" applyBorder="1" applyAlignment="1">
      <alignment horizontal="center"/>
    </xf>
    <xf numFmtId="164" fontId="9" fillId="7" borderId="10" xfId="1" applyNumberFormat="1" applyFont="1" applyFill="1" applyBorder="1" applyAlignment="1">
      <alignment horizontal="center"/>
    </xf>
    <xf numFmtId="170" fontId="9" fillId="0" borderId="11" xfId="1" applyNumberFormat="1" applyFont="1" applyBorder="1" applyAlignment="1">
      <alignment horizontal="center"/>
    </xf>
    <xf numFmtId="175" fontId="4" fillId="0" borderId="8" xfId="0" applyFont="1" applyBorder="1" applyAlignment="1"/>
    <xf numFmtId="175" fontId="4" fillId="0" borderId="13" xfId="0" applyFont="1" applyBorder="1" applyAlignment="1"/>
    <xf numFmtId="170" fontId="9" fillId="0" borderId="10" xfId="1" applyNumberFormat="1" applyFont="1" applyBorder="1" applyAlignment="1">
      <alignment horizontal="center"/>
    </xf>
    <xf numFmtId="43" fontId="9" fillId="0" borderId="10" xfId="1" applyNumberFormat="1" applyFont="1" applyBorder="1" applyAlignment="1">
      <alignment horizontal="center"/>
    </xf>
    <xf numFmtId="175" fontId="4" fillId="5" borderId="12" xfId="0" applyFont="1" applyFill="1" applyBorder="1" applyAlignment="1">
      <alignment horizontal="center" vertical="top"/>
    </xf>
    <xf numFmtId="175" fontId="4" fillId="0" borderId="11" xfId="0" applyFont="1" applyBorder="1" applyAlignment="1"/>
    <xf numFmtId="175" fontId="4" fillId="5" borderId="26" xfId="0" applyFont="1" applyFill="1" applyBorder="1" applyAlignment="1">
      <alignment horizontal="center" vertical="top"/>
    </xf>
    <xf numFmtId="175" fontId="4" fillId="5" borderId="27" xfId="0" applyFont="1" applyFill="1" applyBorder="1" applyAlignment="1">
      <alignment horizontal="center" vertical="top"/>
    </xf>
    <xf numFmtId="175" fontId="4" fillId="0" borderId="28" xfId="0" applyFont="1" applyBorder="1" applyAlignment="1"/>
    <xf numFmtId="175" fontId="4" fillId="0" borderId="7" xfId="0" applyFont="1" applyBorder="1" applyAlignment="1"/>
    <xf numFmtId="175" fontId="4" fillId="5" borderId="29" xfId="0" applyFont="1" applyFill="1" applyBorder="1" applyAlignment="1">
      <alignment horizontal="right"/>
    </xf>
    <xf numFmtId="164" fontId="9" fillId="5" borderId="30" xfId="1" applyNumberFormat="1" applyFont="1" applyFill="1" applyBorder="1" applyAlignment="1">
      <alignment horizontal="center"/>
    </xf>
    <xf numFmtId="175" fontId="4" fillId="5" borderId="31" xfId="0" applyFont="1" applyFill="1" applyBorder="1" applyAlignment="1">
      <alignment horizontal="right"/>
    </xf>
    <xf numFmtId="164" fontId="9" fillId="5" borderId="32" xfId="1" applyNumberFormat="1" applyFont="1" applyFill="1" applyBorder="1" applyAlignment="1">
      <alignment horizontal="center"/>
    </xf>
    <xf numFmtId="175" fontId="4" fillId="0" borderId="0" xfId="0" applyFont="1" applyAlignment="1"/>
    <xf numFmtId="175" fontId="4" fillId="5" borderId="8" xfId="0" applyFont="1" applyFill="1" applyBorder="1" applyAlignment="1">
      <alignment horizontal="right"/>
    </xf>
    <xf numFmtId="164" fontId="9" fillId="5" borderId="11" xfId="1" applyNumberFormat="1" applyFont="1" applyFill="1" applyBorder="1" applyAlignment="1">
      <alignment horizontal="center"/>
    </xf>
    <xf numFmtId="175" fontId="4" fillId="0" borderId="0" xfId="0" applyFont="1" applyFill="1" applyAlignment="1"/>
    <xf numFmtId="175" fontId="9" fillId="5" borderId="17" xfId="0" applyFont="1" applyFill="1" applyBorder="1" applyAlignment="1">
      <alignment horizontal="centerContinuous"/>
    </xf>
    <xf numFmtId="175" fontId="5" fillId="5" borderId="8" xfId="0" applyFont="1" applyFill="1" applyBorder="1" applyAlignment="1">
      <alignment horizontal="centerContinuous" wrapText="1"/>
    </xf>
    <xf numFmtId="175" fontId="5" fillId="5" borderId="17" xfId="0" applyFont="1" applyFill="1" applyBorder="1" applyAlignment="1">
      <alignment horizontal="centerContinuous" wrapText="1"/>
    </xf>
    <xf numFmtId="175" fontId="23" fillId="0" borderId="0" xfId="0" applyFont="1"/>
    <xf numFmtId="0" fontId="9" fillId="5" borderId="17" xfId="0" applyNumberFormat="1" applyFont="1" applyFill="1" applyBorder="1" applyAlignment="1">
      <alignment horizontal="center"/>
    </xf>
    <xf numFmtId="175" fontId="5" fillId="5" borderId="11" xfId="0" applyFont="1" applyFill="1" applyBorder="1" applyAlignment="1">
      <alignment horizontal="centerContinuous"/>
    </xf>
    <xf numFmtId="164" fontId="9" fillId="0" borderId="17" xfId="1" applyNumberFormat="1" applyFont="1" applyBorder="1" applyAlignment="1">
      <alignment horizontal="center"/>
    </xf>
    <xf numFmtId="164" fontId="9" fillId="0" borderId="16" xfId="1" applyNumberFormat="1" applyFont="1" applyBorder="1" applyAlignment="1">
      <alignment horizontal="center"/>
    </xf>
    <xf numFmtId="175" fontId="4" fillId="6" borderId="12" xfId="0" applyFont="1" applyFill="1" applyBorder="1" applyAlignment="1"/>
    <xf numFmtId="175" fontId="4" fillId="6" borderId="7" xfId="0" applyFont="1" applyFill="1" applyBorder="1" applyAlignment="1"/>
    <xf numFmtId="170" fontId="9" fillId="0" borderId="16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9" fillId="5" borderId="33" xfId="1" applyNumberFormat="1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75" fontId="3" fillId="0" borderId="20" xfId="9" applyFont="1" applyFill="1" applyBorder="1" applyAlignment="1">
      <alignment horizontal="centerContinuous"/>
    </xf>
    <xf numFmtId="175" fontId="3" fillId="0" borderId="21" xfId="9" applyFont="1" applyFill="1" applyBorder="1" applyAlignment="1">
      <alignment horizontal="centerContinuous"/>
    </xf>
    <xf numFmtId="41" fontId="3" fillId="0" borderId="20" xfId="7" applyFont="1" applyFill="1" applyBorder="1" applyAlignment="1">
      <alignment horizontal="centerContinuous"/>
    </xf>
    <xf numFmtId="41" fontId="3" fillId="0" borderId="22" xfId="7" applyFont="1" applyFill="1" applyBorder="1" applyAlignment="1">
      <alignment horizontal="centerContinuous"/>
    </xf>
    <xf numFmtId="175" fontId="0" fillId="0" borderId="0" xfId="0" applyFill="1"/>
    <xf numFmtId="175" fontId="29" fillId="0" borderId="0" xfId="0" applyFont="1" applyFill="1" applyAlignment="1">
      <alignment horizontal="left" vertical="top"/>
    </xf>
    <xf numFmtId="179" fontId="24" fillId="0" borderId="0" xfId="0" applyNumberFormat="1" applyFont="1" applyFill="1"/>
    <xf numFmtId="9" fontId="24" fillId="0" borderId="0" xfId="13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75" fontId="25" fillId="0" borderId="0" xfId="0" applyFont="1" applyFill="1" applyBorder="1" applyAlignment="1">
      <alignment horizontal="left"/>
    </xf>
    <xf numFmtId="175" fontId="26" fillId="0" borderId="0" xfId="0" applyFont="1" applyFill="1" applyBorder="1" applyAlignment="1">
      <alignment horizontal="left" vertical="top"/>
    </xf>
    <xf numFmtId="175" fontId="24" fillId="0" borderId="0" xfId="0" applyFont="1" applyFill="1" applyBorder="1"/>
    <xf numFmtId="175" fontId="24" fillId="0" borderId="0" xfId="0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left" vertical="top"/>
    </xf>
    <xf numFmtId="172" fontId="24" fillId="0" borderId="0" xfId="2" applyNumberFormat="1" applyFont="1" applyFill="1" applyBorder="1" applyAlignment="1">
      <alignment horizontal="left" vertical="top"/>
    </xf>
    <xf numFmtId="181" fontId="24" fillId="0" borderId="0" xfId="1" applyNumberFormat="1" applyFont="1" applyFill="1" applyBorder="1" applyAlignment="1">
      <alignment horizontal="left" vertical="top"/>
    </xf>
    <xf numFmtId="178" fontId="24" fillId="0" borderId="0" xfId="0" applyNumberFormat="1" applyFont="1" applyFill="1" applyBorder="1" applyAlignment="1">
      <alignment horizontal="left" vertical="top"/>
    </xf>
    <xf numFmtId="175" fontId="12" fillId="0" borderId="0" xfId="0" applyFont="1" applyFill="1" applyBorder="1" applyAlignment="1">
      <alignment horizontal="centerContinuous"/>
    </xf>
    <xf numFmtId="178" fontId="24" fillId="0" borderId="0" xfId="0" applyNumberFormat="1" applyFont="1" applyFill="1" applyBorder="1" applyAlignment="1">
      <alignment horizontal="right" vertical="top"/>
    </xf>
    <xf numFmtId="10" fontId="24" fillId="0" borderId="0" xfId="13" applyNumberFormat="1" applyFont="1" applyFill="1" applyBorder="1" applyAlignment="1">
      <alignment horizontal="center"/>
    </xf>
    <xf numFmtId="180" fontId="24" fillId="0" borderId="0" xfId="0" applyNumberFormat="1" applyFont="1" applyFill="1" applyBorder="1"/>
    <xf numFmtId="179" fontId="24" fillId="0" borderId="0" xfId="0" applyNumberFormat="1" applyFont="1" applyFill="1" applyBorder="1"/>
    <xf numFmtId="172" fontId="24" fillId="0" borderId="0" xfId="2" applyNumberFormat="1" applyFont="1" applyFill="1" applyBorder="1"/>
    <xf numFmtId="164" fontId="24" fillId="0" borderId="0" xfId="1" applyNumberFormat="1" applyFont="1" applyFill="1" applyBorder="1"/>
    <xf numFmtId="175" fontId="24" fillId="0" borderId="0" xfId="0" applyFont="1" applyFill="1" applyBorder="1" applyAlignment="1">
      <alignment horizontal="left" vertical="top"/>
    </xf>
    <xf numFmtId="10" fontId="24" fillId="0" borderId="0" xfId="13" applyNumberFormat="1" applyFont="1" applyFill="1" applyBorder="1" applyAlignment="1">
      <alignment horizontal="left" vertical="top"/>
    </xf>
    <xf numFmtId="175" fontId="24" fillId="8" borderId="0" xfId="0" applyFont="1" applyFill="1" applyAlignment="1">
      <alignment horizontal="center"/>
    </xf>
    <xf numFmtId="175" fontId="24" fillId="8" borderId="0" xfId="0" applyFont="1" applyFill="1"/>
    <xf numFmtId="10" fontId="24" fillId="8" borderId="0" xfId="13" applyNumberFormat="1" applyFont="1" applyFill="1" applyAlignment="1">
      <alignment horizontal="center"/>
    </xf>
    <xf numFmtId="9" fontId="24" fillId="8" borderId="0" xfId="13" applyFont="1" applyFill="1"/>
    <xf numFmtId="175" fontId="25" fillId="8" borderId="0" xfId="0" applyFont="1" applyFill="1" applyBorder="1" applyAlignment="1">
      <alignment horizontal="centerContinuous"/>
    </xf>
    <xf numFmtId="175" fontId="24" fillId="8" borderId="9" xfId="0" applyFont="1" applyFill="1" applyBorder="1"/>
    <xf numFmtId="175" fontId="26" fillId="8" borderId="0" xfId="0" applyFont="1" applyFill="1" applyBorder="1" applyAlignment="1">
      <alignment horizontal="center"/>
    </xf>
    <xf numFmtId="175" fontId="26" fillId="8" borderId="0" xfId="0" applyFont="1" applyFill="1" applyBorder="1" applyAlignment="1">
      <alignment horizontal="left" vertical="top"/>
    </xf>
    <xf numFmtId="180" fontId="24" fillId="8" borderId="0" xfId="0" applyNumberFormat="1" applyFont="1" applyFill="1"/>
    <xf numFmtId="179" fontId="24" fillId="8" borderId="0" xfId="0" applyNumberFormat="1" applyFont="1" applyFill="1"/>
    <xf numFmtId="172" fontId="24" fillId="8" borderId="0" xfId="2" applyNumberFormat="1" applyFont="1" applyFill="1"/>
    <xf numFmtId="8" fontId="24" fillId="8" borderId="0" xfId="0" applyNumberFormat="1" applyFont="1" applyFill="1" applyAlignment="1">
      <alignment horizontal="left"/>
    </xf>
    <xf numFmtId="177" fontId="24" fillId="8" borderId="0" xfId="0" applyNumberFormat="1" applyFont="1" applyFill="1" applyAlignment="1">
      <alignment horizontal="center"/>
    </xf>
    <xf numFmtId="43" fontId="24" fillId="8" borderId="0" xfId="1" applyFont="1" applyFill="1" applyAlignment="1">
      <alignment horizontal="right"/>
    </xf>
    <xf numFmtId="175" fontId="24" fillId="8" borderId="0" xfId="0" applyFont="1" applyFill="1" applyAlignment="1">
      <alignment horizontal="right"/>
    </xf>
    <xf numFmtId="164" fontId="24" fillId="8" borderId="0" xfId="1" applyNumberFormat="1" applyFont="1" applyFill="1" applyAlignment="1">
      <alignment horizontal="right"/>
    </xf>
    <xf numFmtId="175" fontId="24" fillId="8" borderId="0" xfId="0" applyFont="1" applyFill="1" applyBorder="1" applyAlignment="1">
      <alignment horizontal="right"/>
    </xf>
    <xf numFmtId="178" fontId="24" fillId="8" borderId="0" xfId="0" applyNumberFormat="1" applyFont="1" applyFill="1" applyBorder="1" applyAlignment="1">
      <alignment horizontal="right"/>
    </xf>
    <xf numFmtId="164" fontId="24" fillId="8" borderId="0" xfId="1" applyNumberFormat="1" applyFont="1" applyFill="1" applyBorder="1" applyAlignment="1">
      <alignment horizontal="right"/>
    </xf>
    <xf numFmtId="172" fontId="24" fillId="8" borderId="0" xfId="2" applyNumberFormat="1" applyFont="1" applyFill="1" applyBorder="1" applyAlignment="1">
      <alignment horizontal="left" vertical="top"/>
    </xf>
    <xf numFmtId="181" fontId="24" fillId="8" borderId="0" xfId="1" applyNumberFormat="1" applyFont="1" applyFill="1" applyBorder="1" applyAlignment="1">
      <alignment horizontal="left" vertical="top"/>
    </xf>
    <xf numFmtId="175" fontId="24" fillId="8" borderId="0" xfId="0" applyFont="1" applyFill="1" applyAlignment="1">
      <alignment horizontal="left" vertical="top"/>
    </xf>
    <xf numFmtId="178" fontId="24" fillId="8" borderId="0" xfId="0" applyNumberFormat="1" applyFont="1" applyFill="1" applyBorder="1" applyAlignment="1">
      <alignment horizontal="left" vertical="top"/>
    </xf>
    <xf numFmtId="182" fontId="24" fillId="8" borderId="0" xfId="1" applyNumberFormat="1" applyFont="1" applyFill="1" applyAlignment="1">
      <alignment horizontal="left" vertical="top"/>
    </xf>
    <xf numFmtId="10" fontId="24" fillId="8" borderId="0" xfId="13" applyNumberFormat="1" applyFont="1" applyFill="1" applyAlignment="1">
      <alignment horizontal="right"/>
    </xf>
    <xf numFmtId="175" fontId="24" fillId="8" borderId="0" xfId="0" applyFont="1" applyFill="1" applyBorder="1"/>
    <xf numFmtId="175" fontId="6" fillId="0" borderId="0" xfId="0" applyFont="1" applyFill="1" applyAlignment="1">
      <alignment horizontal="left"/>
    </xf>
    <xf numFmtId="175" fontId="0" fillId="0" borderId="0" xfId="0" applyFill="1" applyBorder="1"/>
    <xf numFmtId="9" fontId="0" fillId="0" borderId="0" xfId="13" applyNumberFormat="1" applyFont="1" applyFill="1"/>
    <xf numFmtId="175" fontId="4" fillId="0" borderId="0" xfId="0" applyFont="1" applyFill="1"/>
    <xf numFmtId="175" fontId="3" fillId="9" borderId="8" xfId="0" applyFont="1" applyFill="1" applyBorder="1" applyAlignment="1">
      <alignment horizontal="centerContinuous"/>
    </xf>
    <xf numFmtId="175" fontId="4" fillId="9" borderId="5" xfId="0" applyFont="1" applyFill="1" applyBorder="1" applyAlignment="1">
      <alignment horizontal="centerContinuous"/>
    </xf>
    <xf numFmtId="175" fontId="4" fillId="0" borderId="0" xfId="0" applyFont="1" applyFill="1" applyAlignment="1">
      <alignment horizontal="centerContinuous"/>
    </xf>
    <xf numFmtId="175" fontId="4" fillId="0" borderId="4" xfId="0" applyFont="1" applyFill="1" applyBorder="1"/>
    <xf numFmtId="175" fontId="3" fillId="0" borderId="11" xfId="0" applyFont="1" applyFill="1" applyBorder="1" applyAlignment="1">
      <alignment horizontal="centerContinuous" wrapText="1"/>
    </xf>
    <xf numFmtId="175" fontId="4" fillId="0" borderId="12" xfId="0" applyFont="1" applyFill="1" applyBorder="1" applyAlignment="1">
      <alignment horizontal="center"/>
    </xf>
    <xf numFmtId="175" fontId="4" fillId="0" borderId="13" xfId="0" applyFont="1" applyFill="1" applyBorder="1" applyAlignment="1">
      <alignment horizontal="centerContinuous"/>
    </xf>
    <xf numFmtId="175" fontId="4" fillId="0" borderId="6" xfId="0" applyFont="1" applyFill="1" applyBorder="1" applyAlignment="1">
      <alignment horizontal="center"/>
    </xf>
    <xf numFmtId="175" fontId="4" fillId="0" borderId="12" xfId="0" applyFont="1" applyFill="1" applyBorder="1"/>
    <xf numFmtId="17" fontId="4" fillId="0" borderId="12" xfId="0" applyNumberFormat="1" applyFont="1" applyFill="1" applyBorder="1" applyAlignment="1">
      <alignment horizontal="centerContinuous"/>
    </xf>
    <xf numFmtId="17" fontId="4" fillId="0" borderId="7" xfId="0" applyNumberFormat="1" applyFont="1" applyFill="1" applyBorder="1" applyAlignment="1">
      <alignment horizontal="center"/>
    </xf>
    <xf numFmtId="175" fontId="4" fillId="0" borderId="15" xfId="0" applyFont="1" applyFill="1" applyBorder="1"/>
    <xf numFmtId="175" fontId="4" fillId="0" borderId="15" xfId="0" applyFont="1" applyFill="1" applyBorder="1" applyAlignment="1">
      <alignment horizontal="centerContinuous"/>
    </xf>
    <xf numFmtId="175" fontId="4" fillId="0" borderId="16" xfId="0" applyFont="1" applyFill="1" applyBorder="1" applyAlignment="1">
      <alignment horizontal="center"/>
    </xf>
    <xf numFmtId="175" fontId="4" fillId="0" borderId="10" xfId="0" applyFont="1" applyFill="1" applyBorder="1" applyAlignment="1">
      <alignment horizontal="center"/>
    </xf>
    <xf numFmtId="175" fontId="4" fillId="0" borderId="0" xfId="0" quotePrefix="1" applyFont="1" applyFill="1" applyBorder="1" applyAlignment="1">
      <alignment horizontal="center"/>
    </xf>
    <xf numFmtId="175" fontId="4" fillId="0" borderId="12" xfId="0" quotePrefix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80" fontId="4" fillId="0" borderId="0" xfId="0" applyNumberFormat="1" applyFont="1" applyFill="1"/>
    <xf numFmtId="180" fontId="4" fillId="0" borderId="0" xfId="0" applyNumberFormat="1" applyFont="1" applyFill="1" applyBorder="1"/>
    <xf numFmtId="175" fontId="4" fillId="0" borderId="0" xfId="0" applyFont="1" applyFill="1" applyAlignment="1">
      <alignment horizontal="center"/>
    </xf>
    <xf numFmtId="175" fontId="4" fillId="0" borderId="0" xfId="0" applyFont="1" applyFill="1" applyAlignment="1">
      <alignment horizontal="left"/>
    </xf>
    <xf numFmtId="10" fontId="4" fillId="0" borderId="0" xfId="0" applyNumberFormat="1" applyFont="1" applyFill="1" applyAlignment="1">
      <alignment horizontal="center"/>
    </xf>
    <xf numFmtId="175" fontId="4" fillId="0" borderId="0" xfId="0" applyFont="1" applyFill="1" applyAlignment="1">
      <alignment horizontal="right"/>
    </xf>
    <xf numFmtId="3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0" borderId="0" xfId="0" quotePrefix="1" applyFont="1" applyFill="1" applyAlignment="1">
      <alignment horizontal="right"/>
    </xf>
    <xf numFmtId="43" fontId="4" fillId="0" borderId="0" xfId="1" applyFont="1" applyFill="1"/>
    <xf numFmtId="0" fontId="4" fillId="0" borderId="0" xfId="8" applyFont="1"/>
    <xf numFmtId="179" fontId="4" fillId="0" borderId="0" xfId="0" applyNumberFormat="1" applyFont="1" applyFill="1"/>
    <xf numFmtId="175" fontId="4" fillId="0" borderId="0" xfId="0" quotePrefix="1" applyFont="1" applyFill="1"/>
    <xf numFmtId="175" fontId="4" fillId="0" borderId="7" xfId="0" applyFont="1" applyFill="1" applyBorder="1" applyAlignment="1">
      <alignment horizontal="center" wrapText="1"/>
    </xf>
    <xf numFmtId="175" fontId="4" fillId="0" borderId="4" xfId="0" applyFont="1" applyFill="1" applyBorder="1" applyAlignment="1">
      <alignment horizontal="center" wrapText="1"/>
    </xf>
    <xf numFmtId="17" fontId="4" fillId="0" borderId="6" xfId="0" applyNumberFormat="1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</cellXfs>
  <cellStyles count="22">
    <cellStyle name="_x0013_" xfId="21"/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2" xfId="17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Unprot" xfId="14"/>
    <cellStyle name="Unprot$" xfId="15"/>
    <cellStyle name="Unprotect" xfId="16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Jan%2016%20order.zip\Jan%2016%20order\UT%20Sch%2037%202014%20-%20Appendix%203%20-1%20CONF%20-%20L&amp;R%20%20Study%20CONF%20_2014%2005%20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3%20May%20-%20Sch%2037%20Update\Scenario\Preliminary%20and%20Draft%20Versions\UT%20Sch%2037%202013%20-%202a%20-%20L&amp;R%20%20Study%20_2013%2005%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\Ut%20AC%202014%20May%20-%20Sch%2037%20Update\Petition_2015%2001%2005\UT%20Sch%2037%202014%20-%202a%20-%20L&amp;R%20%20Study%20_2014%2005%2004%201403%20OFPC%20Low%20CO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Jan%2016%20order.zip\Jan%2016%20order\UT%20Sch%2037%202014%20-%20Appendix%204a%20-%20GRID%20AC%20Study%20CONF%20_2014%2005%200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Jan%2016%20order.zip\Jan%2016%20order\UT%20Sch%2037%202014%20-%20Appendix%204b%20-%20GRID%20AC%20Study%20CONF%20_2014%2005%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file"/>
      <sheetName val="L&amp;R"/>
      <sheetName val="Check LTC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on off peak hours"/>
    </sheetNames>
    <sheetDataSet>
      <sheetData sheetId="0" refreshError="1"/>
      <sheetData sheetId="1">
        <row r="22">
          <cell r="B22" t="str">
            <v>Year</v>
          </cell>
          <cell r="C22" t="str">
            <v>Peak</v>
          </cell>
          <cell r="E22" t="str">
            <v>Jan</v>
          </cell>
          <cell r="F22" t="str">
            <v>Feb</v>
          </cell>
          <cell r="G22" t="str">
            <v>Mar</v>
          </cell>
          <cell r="H22" t="str">
            <v>Apr</v>
          </cell>
          <cell r="I22" t="str">
            <v>May</v>
          </cell>
          <cell r="J22" t="str">
            <v>Jun</v>
          </cell>
          <cell r="K22" t="str">
            <v>Jul</v>
          </cell>
          <cell r="L22" t="str">
            <v>Aug</v>
          </cell>
          <cell r="M22" t="str">
            <v>Sep</v>
          </cell>
          <cell r="N22" t="str">
            <v>Oct</v>
          </cell>
          <cell r="O22" t="str">
            <v>Nov</v>
          </cell>
          <cell r="P22" t="str">
            <v>Dec</v>
          </cell>
        </row>
        <row r="23">
          <cell r="B23">
            <v>2014</v>
          </cell>
          <cell r="C23">
            <v>-12.974508724786801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-12.974508724786801</v>
          </cell>
          <cell r="L23">
            <v>-51.558689938914767</v>
          </cell>
          <cell r="M23">
            <v>205.06445301535518</v>
          </cell>
          <cell r="N23">
            <v>577.41620081536871</v>
          </cell>
          <cell r="O23">
            <v>1222.6162347043978</v>
          </cell>
          <cell r="P23">
            <v>1652.9633678895416</v>
          </cell>
        </row>
        <row r="24">
          <cell r="B24">
            <v>2015</v>
          </cell>
          <cell r="C24">
            <v>-346.80136187951746</v>
          </cell>
          <cell r="E24">
            <v>1870.820149252077</v>
          </cell>
          <cell r="F24">
            <v>1635.1626254853632</v>
          </cell>
          <cell r="G24">
            <v>-753.49854632231859</v>
          </cell>
          <cell r="H24">
            <v>-212.66498353527356</v>
          </cell>
          <cell r="I24">
            <v>-733.69376774099078</v>
          </cell>
          <cell r="J24">
            <v>-881.60455658101819</v>
          </cell>
          <cell r="K24">
            <v>-346.80136187951746</v>
          </cell>
          <cell r="L24">
            <v>-272.09879281138484</v>
          </cell>
          <cell r="M24">
            <v>255.38614712752747</v>
          </cell>
          <cell r="N24">
            <v>618.51206959294609</v>
          </cell>
          <cell r="O24">
            <v>1655.3471698745384</v>
          </cell>
          <cell r="P24">
            <v>1974.5595618652205</v>
          </cell>
        </row>
        <row r="25">
          <cell r="B25">
            <v>2016</v>
          </cell>
          <cell r="C25">
            <v>-426.07310671642477</v>
          </cell>
          <cell r="E25">
            <v>2065.2417583965398</v>
          </cell>
          <cell r="F25">
            <v>1853.1470638046837</v>
          </cell>
          <cell r="G25">
            <v>-925.289180224093</v>
          </cell>
          <cell r="H25">
            <v>-149.2697895436055</v>
          </cell>
          <cell r="I25">
            <v>-123.29907358614099</v>
          </cell>
          <cell r="J25">
            <v>-848.45789751727273</v>
          </cell>
          <cell r="K25">
            <v>-426.07310671642477</v>
          </cell>
          <cell r="L25">
            <v>-326.7896802605855</v>
          </cell>
          <cell r="M25">
            <v>136.23310558965289</v>
          </cell>
          <cell r="N25">
            <v>372.52012620568235</v>
          </cell>
          <cell r="O25">
            <v>1440.8054917350937</v>
          </cell>
          <cell r="P25">
            <v>1816.3934904691873</v>
          </cell>
        </row>
        <row r="26">
          <cell r="B26">
            <v>2017</v>
          </cell>
          <cell r="C26">
            <v>-488.96348407154727</v>
          </cell>
          <cell r="E26">
            <v>1987.5467879289845</v>
          </cell>
          <cell r="F26">
            <v>2193.9353072038366</v>
          </cell>
          <cell r="G26">
            <v>-1008.0256133040452</v>
          </cell>
          <cell r="H26">
            <v>213.27374518868191</v>
          </cell>
          <cell r="I26">
            <v>-166.67899845001813</v>
          </cell>
          <cell r="J26">
            <v>-810.94279772446373</v>
          </cell>
          <cell r="K26">
            <v>-488.96348407154727</v>
          </cell>
          <cell r="L26">
            <v>-406.14715680080451</v>
          </cell>
          <cell r="M26">
            <v>-527.72646024406845</v>
          </cell>
          <cell r="N26">
            <v>369.4845970143611</v>
          </cell>
          <cell r="O26">
            <v>1385.9724031277292</v>
          </cell>
          <cell r="P26">
            <v>1754.4323864283945</v>
          </cell>
        </row>
        <row r="27">
          <cell r="B27">
            <v>2018</v>
          </cell>
          <cell r="C27">
            <v>-576.63063225949668</v>
          </cell>
          <cell r="E27">
            <v>1928.4803618129986</v>
          </cell>
          <cell r="F27">
            <v>2078.6824925305218</v>
          </cell>
          <cell r="G27">
            <v>-787.42778992033504</v>
          </cell>
          <cell r="H27">
            <v>-402.35172194156712</v>
          </cell>
          <cell r="I27">
            <v>-875.00280189791579</v>
          </cell>
          <cell r="J27">
            <v>-954.75580603593539</v>
          </cell>
          <cell r="K27">
            <v>-576.63063225949668</v>
          </cell>
          <cell r="L27">
            <v>-452.94441624204109</v>
          </cell>
          <cell r="M27">
            <v>-112.14274173848321</v>
          </cell>
          <cell r="N27">
            <v>732.22952161979197</v>
          </cell>
          <cell r="O27">
            <v>1190.2156947044921</v>
          </cell>
          <cell r="P27">
            <v>1614.9790141619667</v>
          </cell>
        </row>
        <row r="28">
          <cell r="B28">
            <v>2019</v>
          </cell>
          <cell r="C28">
            <v>-687.31638770250561</v>
          </cell>
          <cell r="E28">
            <v>1838.5977319730791</v>
          </cell>
          <cell r="F28">
            <v>2033.494224965576</v>
          </cell>
          <cell r="G28">
            <v>-893.3919168487671</v>
          </cell>
          <cell r="H28">
            <v>-513.73906919291267</v>
          </cell>
          <cell r="I28">
            <v>-989.24703227524003</v>
          </cell>
          <cell r="J28">
            <v>-1049.5156586482385</v>
          </cell>
          <cell r="K28">
            <v>-687.31638770250561</v>
          </cell>
          <cell r="L28">
            <v>-615.82356881537191</v>
          </cell>
          <cell r="M28">
            <v>-217.42791584179179</v>
          </cell>
          <cell r="N28">
            <v>617.31217924279849</v>
          </cell>
          <cell r="O28">
            <v>1182.5842217971672</v>
          </cell>
          <cell r="P28">
            <v>1595.5054299429248</v>
          </cell>
        </row>
        <row r="29">
          <cell r="B29">
            <v>2020</v>
          </cell>
          <cell r="C29">
            <v>-895.05505800885226</v>
          </cell>
          <cell r="E29">
            <v>1680.4083911103005</v>
          </cell>
          <cell r="F29">
            <v>1943.7873580472128</v>
          </cell>
          <cell r="G29">
            <v>-1166.0930331315051</v>
          </cell>
          <cell r="H29">
            <v>-383.07336879938532</v>
          </cell>
          <cell r="I29">
            <v>-758.12362530887299</v>
          </cell>
          <cell r="J29">
            <v>-1263.9801109151558</v>
          </cell>
          <cell r="K29">
            <v>-895.05505800885226</v>
          </cell>
          <cell r="L29">
            <v>-842.95053063206319</v>
          </cell>
          <cell r="M29">
            <v>-299.00950878719311</v>
          </cell>
          <cell r="N29">
            <v>186.98748758732671</v>
          </cell>
          <cell r="O29">
            <v>1205.045643649257</v>
          </cell>
          <cell r="P29">
            <v>1509.752439013514</v>
          </cell>
        </row>
        <row r="30">
          <cell r="B30">
            <v>2021</v>
          </cell>
          <cell r="C30">
            <v>-694.56808507671212</v>
          </cell>
          <cell r="E30">
            <v>1441.2567689298282</v>
          </cell>
          <cell r="F30">
            <v>1665.6086817392991</v>
          </cell>
          <cell r="G30">
            <v>-1387.9365133263573</v>
          </cell>
          <cell r="H30">
            <v>-649.91972747254135</v>
          </cell>
          <cell r="I30">
            <v>-218.33034116511067</v>
          </cell>
          <cell r="J30">
            <v>-1112.0027752878489</v>
          </cell>
          <cell r="K30">
            <v>-694.56808507671212</v>
          </cell>
          <cell r="L30">
            <v>-664.95481492836257</v>
          </cell>
          <cell r="M30">
            <v>-109.14013644646786</v>
          </cell>
          <cell r="N30">
            <v>-572.61671188244532</v>
          </cell>
          <cell r="O30">
            <v>396.58906508409871</v>
          </cell>
          <cell r="P30">
            <v>738.46150147560127</v>
          </cell>
        </row>
        <row r="31">
          <cell r="B31">
            <v>2022</v>
          </cell>
          <cell r="C31">
            <v>-810.57498433074215</v>
          </cell>
          <cell r="E31">
            <v>817.84663314212207</v>
          </cell>
          <cell r="F31">
            <v>1092.7298915431215</v>
          </cell>
          <cell r="G31">
            <v>-1569.1989656828498</v>
          </cell>
          <cell r="H31">
            <v>-742.42457277057304</v>
          </cell>
          <cell r="I31">
            <v>-235.29737274475661</v>
          </cell>
          <cell r="J31">
            <v>-1185.7842575623695</v>
          </cell>
          <cell r="K31">
            <v>-810.57498433074215</v>
          </cell>
          <cell r="L31">
            <v>-716.94622855237571</v>
          </cell>
          <cell r="M31">
            <v>-260.70312796338715</v>
          </cell>
          <cell r="N31">
            <v>-813.61467141445905</v>
          </cell>
          <cell r="O31">
            <v>318.09964086294588</v>
          </cell>
          <cell r="P31">
            <v>633.82385326104111</v>
          </cell>
        </row>
        <row r="32">
          <cell r="B32">
            <v>2023</v>
          </cell>
          <cell r="C32">
            <v>-810.57498433074215</v>
          </cell>
          <cell r="E32">
            <v>756.291171191991</v>
          </cell>
          <cell r="F32">
            <v>1060.8482586227512</v>
          </cell>
          <cell r="G32">
            <v>-1445.5939968165089</v>
          </cell>
          <cell r="H32">
            <v>-1003.4320869273333</v>
          </cell>
          <cell r="I32">
            <v>-951.82195091371852</v>
          </cell>
          <cell r="J32">
            <v>-1293.6101847624109</v>
          </cell>
          <cell r="K32">
            <v>-906.62905298991438</v>
          </cell>
          <cell r="L32">
            <v>-815.72309372340158</v>
          </cell>
          <cell r="M32">
            <v>-387.84475195130807</v>
          </cell>
          <cell r="N32">
            <v>-408.75074988240141</v>
          </cell>
          <cell r="O32">
            <v>141.08453694690786</v>
          </cell>
          <cell r="P32">
            <v>522.90323704032892</v>
          </cell>
        </row>
        <row r="33">
          <cell r="B33">
            <v>2024</v>
          </cell>
          <cell r="C33">
            <v>-948.11775018015362</v>
          </cell>
          <cell r="E33">
            <v>707.52441546826105</v>
          </cell>
          <cell r="F33">
            <v>970.15838290869488</v>
          </cell>
          <cell r="G33">
            <v>-1453.4924648103083</v>
          </cell>
          <cell r="H33">
            <v>-1052.4051617328498</v>
          </cell>
          <cell r="I33">
            <v>-1043.3621107869167</v>
          </cell>
          <cell r="J33">
            <v>-1335.7960024929755</v>
          </cell>
          <cell r="K33">
            <v>-948.11775018015362</v>
          </cell>
          <cell r="L33">
            <v>-866.1757451762237</v>
          </cell>
          <cell r="M33">
            <v>-446.06993742156158</v>
          </cell>
          <cell r="N33">
            <v>-610.33004054132232</v>
          </cell>
          <cell r="O33">
            <v>38.271796454522928</v>
          </cell>
          <cell r="P33">
            <v>441.27540379205709</v>
          </cell>
        </row>
        <row r="34">
          <cell r="B34">
            <v>2025</v>
          </cell>
          <cell r="C34">
            <v>-1152.1304580518627</v>
          </cell>
          <cell r="E34">
            <v>496.44455740088239</v>
          </cell>
          <cell r="F34">
            <v>800.5366163637367</v>
          </cell>
          <cell r="G34">
            <v>-1621.7569756014063</v>
          </cell>
          <cell r="H34">
            <v>-1052.4367744377432</v>
          </cell>
          <cell r="I34">
            <v>-1262.6180846573618</v>
          </cell>
          <cell r="J34">
            <v>-1565.9632528961008</v>
          </cell>
          <cell r="K34">
            <v>-1152.1304580518627</v>
          </cell>
          <cell r="L34">
            <v>-1075.7166126163252</v>
          </cell>
          <cell r="M34">
            <v>-485.77327855473703</v>
          </cell>
          <cell r="N34">
            <v>-597.48596216487306</v>
          </cell>
          <cell r="O34">
            <v>-86.413007756222271</v>
          </cell>
          <cell r="P34">
            <v>338.51801421067177</v>
          </cell>
        </row>
        <row r="35">
          <cell r="B35">
            <v>2026</v>
          </cell>
          <cell r="C35">
            <v>-1250.8316576038931</v>
          </cell>
          <cell r="E35">
            <v>430.45011420708556</v>
          </cell>
          <cell r="F35">
            <v>709.99243007247514</v>
          </cell>
          <cell r="G35">
            <v>-1948.9202462503074</v>
          </cell>
          <cell r="H35">
            <v>-1132.1348503299255</v>
          </cell>
          <cell r="I35">
            <v>-1039.2676678716218</v>
          </cell>
          <cell r="J35">
            <v>-1647.6348080865</v>
          </cell>
          <cell r="K35">
            <v>-1250.8316576038931</v>
          </cell>
          <cell r="L35">
            <v>-1180.4436307731403</v>
          </cell>
          <cell r="M35">
            <v>-610.48324941010992</v>
          </cell>
          <cell r="N35">
            <v>-1060.0914942664665</v>
          </cell>
          <cell r="O35">
            <v>-62.610203517953323</v>
          </cell>
          <cell r="P35">
            <v>232.13139166008466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">
          <cell r="C15">
            <v>41275</v>
          </cell>
          <cell r="D15">
            <v>41306</v>
          </cell>
          <cell r="E15">
            <v>41334</v>
          </cell>
          <cell r="F15">
            <v>41365</v>
          </cell>
          <cell r="G15">
            <v>41395</v>
          </cell>
          <cell r="H15">
            <v>41426</v>
          </cell>
          <cell r="I15">
            <v>41456</v>
          </cell>
          <cell r="J15">
            <v>41487</v>
          </cell>
          <cell r="K15">
            <v>41518</v>
          </cell>
          <cell r="L15">
            <v>41548</v>
          </cell>
          <cell r="M15">
            <v>41579</v>
          </cell>
          <cell r="N15">
            <v>41609</v>
          </cell>
          <cell r="O15">
            <v>41640</v>
          </cell>
          <cell r="P15">
            <v>41671</v>
          </cell>
          <cell r="Q15">
            <v>41699</v>
          </cell>
          <cell r="R15">
            <v>41730</v>
          </cell>
          <cell r="S15">
            <v>41760</v>
          </cell>
          <cell r="T15">
            <v>41791</v>
          </cell>
          <cell r="U15">
            <v>41821</v>
          </cell>
          <cell r="V15">
            <v>41852</v>
          </cell>
          <cell r="W15">
            <v>41883</v>
          </cell>
          <cell r="X15">
            <v>41913</v>
          </cell>
          <cell r="Y15">
            <v>41944</v>
          </cell>
          <cell r="Z15">
            <v>41974</v>
          </cell>
          <cell r="AA15">
            <v>42005</v>
          </cell>
          <cell r="AB15">
            <v>42036</v>
          </cell>
          <cell r="AC15">
            <v>42064</v>
          </cell>
          <cell r="AD15">
            <v>42095</v>
          </cell>
          <cell r="AE15">
            <v>42125</v>
          </cell>
          <cell r="AF15">
            <v>42156</v>
          </cell>
          <cell r="AG15">
            <v>42186</v>
          </cell>
          <cell r="AH15">
            <v>42217</v>
          </cell>
          <cell r="AI15">
            <v>42248</v>
          </cell>
          <cell r="AJ15">
            <v>42278</v>
          </cell>
          <cell r="AK15">
            <v>42309</v>
          </cell>
          <cell r="AL15">
            <v>42339</v>
          </cell>
          <cell r="AM15">
            <v>42370</v>
          </cell>
          <cell r="AN15">
            <v>42401</v>
          </cell>
          <cell r="AO15">
            <v>42430</v>
          </cell>
          <cell r="AP15">
            <v>42461</v>
          </cell>
          <cell r="AQ15">
            <v>42491</v>
          </cell>
          <cell r="AR15">
            <v>42522</v>
          </cell>
          <cell r="AS15">
            <v>42552</v>
          </cell>
          <cell r="AT15">
            <v>42583</v>
          </cell>
          <cell r="AU15">
            <v>42614</v>
          </cell>
          <cell r="AV15">
            <v>42644</v>
          </cell>
          <cell r="AW15">
            <v>42675</v>
          </cell>
          <cell r="AX15">
            <v>42705</v>
          </cell>
          <cell r="AY15">
            <v>42736</v>
          </cell>
          <cell r="AZ15">
            <v>42767</v>
          </cell>
          <cell r="BA15">
            <v>42795</v>
          </cell>
          <cell r="BB15">
            <v>42826</v>
          </cell>
          <cell r="BC15">
            <v>42856</v>
          </cell>
          <cell r="BD15">
            <v>42887</v>
          </cell>
          <cell r="BE15">
            <v>42917</v>
          </cell>
          <cell r="BF15">
            <v>42948</v>
          </cell>
          <cell r="BG15">
            <v>42979</v>
          </cell>
          <cell r="BH15">
            <v>43009</v>
          </cell>
          <cell r="BI15">
            <v>43040</v>
          </cell>
          <cell r="BJ15">
            <v>43070</v>
          </cell>
          <cell r="BK15">
            <v>43101</v>
          </cell>
          <cell r="BL15">
            <v>43132</v>
          </cell>
          <cell r="BM15">
            <v>43160</v>
          </cell>
          <cell r="BN15">
            <v>43191</v>
          </cell>
          <cell r="BO15">
            <v>43221</v>
          </cell>
          <cell r="BP15">
            <v>43252</v>
          </cell>
          <cell r="BQ15">
            <v>43282</v>
          </cell>
          <cell r="BR15">
            <v>43313</v>
          </cell>
          <cell r="BS15">
            <v>43344</v>
          </cell>
          <cell r="BT15">
            <v>43374</v>
          </cell>
          <cell r="BU15">
            <v>43405</v>
          </cell>
          <cell r="BV15">
            <v>43435</v>
          </cell>
          <cell r="BW15">
            <v>43466</v>
          </cell>
          <cell r="BX15">
            <v>43497</v>
          </cell>
          <cell r="BY15">
            <v>43525</v>
          </cell>
          <cell r="BZ15">
            <v>43556</v>
          </cell>
          <cell r="CA15">
            <v>43586</v>
          </cell>
          <cell r="CB15">
            <v>43617</v>
          </cell>
          <cell r="CC15">
            <v>43647</v>
          </cell>
          <cell r="CD15">
            <v>43678</v>
          </cell>
          <cell r="CE15">
            <v>43709</v>
          </cell>
          <cell r="CF15">
            <v>43739</v>
          </cell>
          <cell r="CG15">
            <v>43770</v>
          </cell>
          <cell r="CH15">
            <v>43800</v>
          </cell>
          <cell r="CI15">
            <v>43831</v>
          </cell>
          <cell r="CJ15">
            <v>43862</v>
          </cell>
          <cell r="CK15">
            <v>43891</v>
          </cell>
          <cell r="CL15">
            <v>43922</v>
          </cell>
          <cell r="CM15">
            <v>43952</v>
          </cell>
          <cell r="CN15">
            <v>43983</v>
          </cell>
          <cell r="CO15">
            <v>44013</v>
          </cell>
          <cell r="CP15">
            <v>44044</v>
          </cell>
          <cell r="CQ15">
            <v>44075</v>
          </cell>
          <cell r="CR15">
            <v>44105</v>
          </cell>
          <cell r="CS15">
            <v>44136</v>
          </cell>
          <cell r="CT15">
            <v>44166</v>
          </cell>
          <cell r="CU15">
            <v>44197</v>
          </cell>
          <cell r="CV15">
            <v>44228</v>
          </cell>
          <cell r="CW15">
            <v>44256</v>
          </cell>
          <cell r="CX15">
            <v>44287</v>
          </cell>
          <cell r="CY15">
            <v>44317</v>
          </cell>
          <cell r="CZ15">
            <v>44348</v>
          </cell>
          <cell r="DA15">
            <v>44378</v>
          </cell>
          <cell r="DB15">
            <v>44409</v>
          </cell>
          <cell r="DC15">
            <v>44440</v>
          </cell>
          <cell r="DD15">
            <v>44470</v>
          </cell>
          <cell r="DE15">
            <v>44501</v>
          </cell>
          <cell r="DF15">
            <v>44531</v>
          </cell>
          <cell r="DG15">
            <v>44562</v>
          </cell>
          <cell r="DH15">
            <v>44593</v>
          </cell>
          <cell r="DI15">
            <v>44621</v>
          </cell>
          <cell r="DJ15">
            <v>44652</v>
          </cell>
          <cell r="DK15">
            <v>44682</v>
          </cell>
          <cell r="DL15">
            <v>44713</v>
          </cell>
          <cell r="DM15">
            <v>44743</v>
          </cell>
          <cell r="DN15">
            <v>44774</v>
          </cell>
          <cell r="DO15">
            <v>44805</v>
          </cell>
          <cell r="DP15">
            <v>44835</v>
          </cell>
          <cell r="DQ15">
            <v>44866</v>
          </cell>
          <cell r="DR15">
            <v>44896</v>
          </cell>
          <cell r="DS15">
            <v>44927</v>
          </cell>
          <cell r="DT15">
            <v>44958</v>
          </cell>
          <cell r="DU15">
            <v>44986</v>
          </cell>
          <cell r="DV15">
            <v>45017</v>
          </cell>
          <cell r="DW15">
            <v>45047</v>
          </cell>
          <cell r="DX15">
            <v>45078</v>
          </cell>
          <cell r="DY15">
            <v>45108</v>
          </cell>
          <cell r="DZ15">
            <v>45139</v>
          </cell>
          <cell r="EA15">
            <v>45170</v>
          </cell>
          <cell r="EB15">
            <v>45200</v>
          </cell>
          <cell r="EC15">
            <v>45231</v>
          </cell>
          <cell r="ED15">
            <v>45261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400</v>
          </cell>
          <cell r="AF16">
            <v>416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400</v>
          </cell>
          <cell r="AN16">
            <v>400</v>
          </cell>
          <cell r="AO16">
            <v>432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416</v>
          </cell>
          <cell r="AY16">
            <v>400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416</v>
          </cell>
          <cell r="BZ16">
            <v>416</v>
          </cell>
          <cell r="CA16">
            <v>416</v>
          </cell>
          <cell r="CB16">
            <v>400</v>
          </cell>
          <cell r="CC16">
            <v>416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400</v>
          </cell>
          <cell r="CK16">
            <v>416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432</v>
          </cell>
          <cell r="CS16">
            <v>384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400</v>
          </cell>
          <cell r="DW16">
            <v>416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344</v>
          </cell>
          <cell r="AF17">
            <v>304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344</v>
          </cell>
          <cell r="AN17">
            <v>296</v>
          </cell>
          <cell r="AO17">
            <v>312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328</v>
          </cell>
          <cell r="AY17">
            <v>344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328</v>
          </cell>
          <cell r="BZ17">
            <v>304</v>
          </cell>
          <cell r="CA17">
            <v>328</v>
          </cell>
          <cell r="CB17">
            <v>320</v>
          </cell>
          <cell r="CC17">
            <v>328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296</v>
          </cell>
          <cell r="CK17">
            <v>328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312</v>
          </cell>
          <cell r="CS17">
            <v>336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320</v>
          </cell>
          <cell r="DW17">
            <v>328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696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696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344</v>
          </cell>
          <cell r="AF19">
            <v>304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344</v>
          </cell>
          <cell r="AN19">
            <v>296</v>
          </cell>
          <cell r="AO19">
            <v>311</v>
          </cell>
          <cell r="AP19">
            <v>304</v>
          </cell>
          <cell r="AQ19">
            <v>344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328</v>
          </cell>
          <cell r="AY19">
            <v>344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327</v>
          </cell>
          <cell r="BZ19">
            <v>304</v>
          </cell>
          <cell r="CA19">
            <v>328</v>
          </cell>
          <cell r="CB19">
            <v>320</v>
          </cell>
          <cell r="CC19">
            <v>328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296</v>
          </cell>
          <cell r="CK19">
            <v>327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312</v>
          </cell>
          <cell r="CS19">
            <v>337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320</v>
          </cell>
          <cell r="DW19">
            <v>328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696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696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Avoided Costs"/>
      <sheetName val="Delta"/>
      <sheetName val="NPC"/>
      <sheetName val="BASE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MacroBuilder"/>
      <sheetName val="NPC Version Log"/>
      <sheetName val="E-W Assignments"/>
      <sheetName val="L&amp;R (Monthly) (2)"/>
    </sheetNames>
    <sheetDataSet>
      <sheetData sheetId="0"/>
      <sheetData sheetId="1">
        <row r="4"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2014</v>
          </cell>
          <cell r="D7">
            <v>34.711438118053543</v>
          </cell>
          <cell r="E7">
            <v>59.373887232227602</v>
          </cell>
          <cell r="F7">
            <v>37.134353340056634</v>
          </cell>
          <cell r="G7">
            <v>30.658070687217016</v>
          </cell>
          <cell r="H7">
            <v>24.952776795173044</v>
          </cell>
          <cell r="I7">
            <v>21.989065433873069</v>
          </cell>
          <cell r="J7">
            <v>30.301705963456982</v>
          </cell>
          <cell r="K7">
            <v>38.495848631025645</v>
          </cell>
          <cell r="L7">
            <v>29.110631666121382</v>
          </cell>
          <cell r="M7">
            <v>26.93687427577072</v>
          </cell>
          <cell r="N7">
            <v>30.253941082687426</v>
          </cell>
          <cell r="O7">
            <v>27.04105920774802</v>
          </cell>
        </row>
        <row r="8">
          <cell r="B8">
            <v>2015</v>
          </cell>
          <cell r="D8">
            <v>35.937883668721362</v>
          </cell>
          <cell r="E8">
            <v>36.376491595192682</v>
          </cell>
          <cell r="F8">
            <v>42.071071804637313</v>
          </cell>
          <cell r="G8">
            <v>27.060638593234536</v>
          </cell>
          <cell r="H8">
            <v>24.520552599942814</v>
          </cell>
          <cell r="I8">
            <v>26.379491736762638</v>
          </cell>
          <cell r="J8">
            <v>34.359630708380415</v>
          </cell>
          <cell r="K8">
            <v>36.647635305632825</v>
          </cell>
          <cell r="L8">
            <v>31.928413685376032</v>
          </cell>
          <cell r="M8">
            <v>29.167882065529064</v>
          </cell>
          <cell r="N8">
            <v>31.108322738682229</v>
          </cell>
          <cell r="O8">
            <v>36.055655722027666</v>
          </cell>
        </row>
        <row r="9">
          <cell r="B9">
            <v>2016</v>
          </cell>
          <cell r="D9">
            <v>30.525194710116551</v>
          </cell>
          <cell r="E9">
            <v>33.30530407224493</v>
          </cell>
          <cell r="F9">
            <v>34.788745430300153</v>
          </cell>
          <cell r="G9">
            <v>28.246918305655321</v>
          </cell>
          <cell r="H9">
            <v>24.766123282628996</v>
          </cell>
          <cell r="I9">
            <v>24.802551685631688</v>
          </cell>
          <cell r="J9">
            <v>33.189617036567419</v>
          </cell>
          <cell r="K9">
            <v>36.407001183410323</v>
          </cell>
          <cell r="L9">
            <v>30.165837325275771</v>
          </cell>
          <cell r="M9">
            <v>28.88849411786644</v>
          </cell>
          <cell r="N9">
            <v>25.084762839213429</v>
          </cell>
          <cell r="O9">
            <v>32.439755180794542</v>
          </cell>
        </row>
        <row r="10">
          <cell r="B10">
            <v>2017</v>
          </cell>
          <cell r="D10">
            <v>29.882569777392732</v>
          </cell>
          <cell r="E10">
            <v>33.258596479001319</v>
          </cell>
          <cell r="F10">
            <v>34.308454645677436</v>
          </cell>
          <cell r="G10">
            <v>28.052636340771699</v>
          </cell>
          <cell r="H10">
            <v>26.594503860353864</v>
          </cell>
          <cell r="I10">
            <v>26.0829038706277</v>
          </cell>
          <cell r="J10">
            <v>35.113903721842554</v>
          </cell>
          <cell r="K10">
            <v>38.524465829230124</v>
          </cell>
          <cell r="L10">
            <v>33.559973114257055</v>
          </cell>
          <cell r="M10">
            <v>29.730057413968186</v>
          </cell>
          <cell r="N10">
            <v>30.353280094212128</v>
          </cell>
          <cell r="O10">
            <v>31.169594998020798</v>
          </cell>
        </row>
        <row r="11">
          <cell r="B11">
            <v>2018</v>
          </cell>
          <cell r="D11">
            <v>31.075108367773474</v>
          </cell>
          <cell r="E11">
            <v>31.957723527503688</v>
          </cell>
          <cell r="F11">
            <v>35.684698636337153</v>
          </cell>
          <cell r="G11">
            <v>30.918929822413872</v>
          </cell>
          <cell r="H11">
            <v>28.602939104416997</v>
          </cell>
          <cell r="I11">
            <v>28.618490489824779</v>
          </cell>
          <cell r="J11">
            <v>37.91831314160779</v>
          </cell>
          <cell r="K11">
            <v>41.258499352461712</v>
          </cell>
          <cell r="L11">
            <v>33.93204981572098</v>
          </cell>
          <cell r="M11">
            <v>33.515487850287187</v>
          </cell>
          <cell r="N11">
            <v>39.403977721966804</v>
          </cell>
          <cell r="O11">
            <v>32.983157214550403</v>
          </cell>
        </row>
        <row r="12">
          <cell r="B12">
            <v>2019</v>
          </cell>
          <cell r="D12">
            <v>33.113796920313312</v>
          </cell>
          <cell r="E12">
            <v>34.082442851754884</v>
          </cell>
          <cell r="F12">
            <v>36.465733661502597</v>
          </cell>
          <cell r="G12">
            <v>34.515712459418509</v>
          </cell>
          <cell r="H12">
            <v>30.407429856843045</v>
          </cell>
          <cell r="I12">
            <v>30.267854665906892</v>
          </cell>
          <cell r="J12">
            <v>39.906447466562994</v>
          </cell>
          <cell r="K12">
            <v>43.349064695218239</v>
          </cell>
          <cell r="L12">
            <v>36.378748990535321</v>
          </cell>
          <cell r="M12">
            <v>36.576477788865404</v>
          </cell>
          <cell r="N12">
            <v>35.053980247183809</v>
          </cell>
          <cell r="O12">
            <v>35.598310627672141</v>
          </cell>
        </row>
        <row r="13">
          <cell r="B13">
            <v>2020</v>
          </cell>
          <cell r="D13">
            <v>38.524641630005455</v>
          </cell>
          <cell r="E13">
            <v>36.681307086134439</v>
          </cell>
          <cell r="F13">
            <v>38.33954683781792</v>
          </cell>
          <cell r="G13">
            <v>37.693768727373744</v>
          </cell>
          <cell r="H13">
            <v>34.283690399267982</v>
          </cell>
          <cell r="I13">
            <v>36.528284479263753</v>
          </cell>
          <cell r="J13">
            <v>46.118239694104723</v>
          </cell>
          <cell r="K13">
            <v>46.031051282460488</v>
          </cell>
          <cell r="L13">
            <v>40.763812433899275</v>
          </cell>
          <cell r="M13">
            <v>37.622226672379242</v>
          </cell>
          <cell r="N13">
            <v>37.928383280444478</v>
          </cell>
          <cell r="O13">
            <v>36.945107823506156</v>
          </cell>
        </row>
        <row r="14">
          <cell r="B14">
            <v>2021</v>
          </cell>
          <cell r="D14">
            <v>39.807654860375386</v>
          </cell>
          <cell r="E14">
            <v>41.685868149481358</v>
          </cell>
          <cell r="F14">
            <v>40.621667487799158</v>
          </cell>
          <cell r="G14">
            <v>39.455154014937577</v>
          </cell>
          <cell r="H14">
            <v>37.82145221591076</v>
          </cell>
          <cell r="I14">
            <v>39.641154329871966</v>
          </cell>
          <cell r="J14">
            <v>46.653762015616223</v>
          </cell>
          <cell r="K14">
            <v>46.964928623601317</v>
          </cell>
          <cell r="L14">
            <v>43.104193730250827</v>
          </cell>
          <cell r="M14">
            <v>41.569675271128936</v>
          </cell>
          <cell r="N14">
            <v>44.724908349137337</v>
          </cell>
          <cell r="O14">
            <v>44.856009342994099</v>
          </cell>
        </row>
        <row r="15">
          <cell r="B15">
            <v>2022</v>
          </cell>
          <cell r="D15">
            <v>42.750653922637945</v>
          </cell>
          <cell r="E15">
            <v>41.97415858643307</v>
          </cell>
          <cell r="F15">
            <v>42.526046430143296</v>
          </cell>
          <cell r="G15">
            <v>39.140701079716287</v>
          </cell>
          <cell r="H15">
            <v>38.645816120693603</v>
          </cell>
          <cell r="I15">
            <v>41.800467893920008</v>
          </cell>
          <cell r="J15">
            <v>48.277988398339481</v>
          </cell>
          <cell r="K15">
            <v>47.695197923088905</v>
          </cell>
          <cell r="L15">
            <v>43.402221532149447</v>
          </cell>
          <cell r="M15">
            <v>42.209440841686018</v>
          </cell>
          <cell r="N15">
            <v>42.745416880684594</v>
          </cell>
          <cell r="O15">
            <v>44.971186395341988</v>
          </cell>
        </row>
        <row r="16">
          <cell r="B16">
            <v>2023</v>
          </cell>
          <cell r="D16">
            <v>43.887187522477518</v>
          </cell>
          <cell r="E16">
            <v>43.409913552924991</v>
          </cell>
          <cell r="F16">
            <v>43.174649045632414</v>
          </cell>
          <cell r="G16">
            <v>41.310596519286435</v>
          </cell>
          <cell r="H16">
            <v>40.255377018772144</v>
          </cell>
          <cell r="I16">
            <v>42.600930524054498</v>
          </cell>
          <cell r="J16">
            <v>49.688676815023342</v>
          </cell>
          <cell r="K16">
            <v>49.151929403961667</v>
          </cell>
          <cell r="L16">
            <v>43.26958293750468</v>
          </cell>
          <cell r="M16">
            <v>43.775253756720851</v>
          </cell>
          <cell r="N16">
            <v>45.519154481941626</v>
          </cell>
          <cell r="O16">
            <v>47.876191666666216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Avoided Costs"/>
      <sheetName val="Delta"/>
      <sheetName val="NPC"/>
      <sheetName val="BASE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MacroBuilder"/>
      <sheetName val="E-W Assignments"/>
      <sheetName val="L&amp;R (Monthly) (2)"/>
    </sheetNames>
    <sheetDataSet>
      <sheetData sheetId="0"/>
      <sheetData sheetId="1">
        <row r="4"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2024</v>
          </cell>
          <cell r="D7">
            <v>46.349905698926698</v>
          </cell>
          <cell r="E7">
            <v>45.871396860630178</v>
          </cell>
          <cell r="F7">
            <v>45.302427853499687</v>
          </cell>
          <cell r="G7">
            <v>42.866007086113093</v>
          </cell>
          <cell r="H7">
            <v>41.189462236559358</v>
          </cell>
          <cell r="I7">
            <v>44.054159319450456</v>
          </cell>
          <cell r="J7">
            <v>52.07935329301543</v>
          </cell>
          <cell r="K7">
            <v>53.031657612904588</v>
          </cell>
          <cell r="L7">
            <v>45.765764245837929</v>
          </cell>
          <cell r="M7">
            <v>46.330410318553291</v>
          </cell>
          <cell r="N7">
            <v>47.02964870694197</v>
          </cell>
          <cell r="O7">
            <v>48.331040403226851</v>
          </cell>
        </row>
        <row r="8">
          <cell r="B8">
            <v>2025</v>
          </cell>
          <cell r="D8">
            <v>49.676321900535818</v>
          </cell>
          <cell r="E8">
            <v>48.592422946431633</v>
          </cell>
          <cell r="F8">
            <v>46.982895752687448</v>
          </cell>
          <cell r="G8">
            <v>44.072134013892047</v>
          </cell>
          <cell r="H8">
            <v>43.478546629032941</v>
          </cell>
          <cell r="I8">
            <v>46.756004944447845</v>
          </cell>
          <cell r="J8">
            <v>54.972026448917163</v>
          </cell>
          <cell r="K8">
            <v>56.294723002684691</v>
          </cell>
          <cell r="L8">
            <v>49.403988412498599</v>
          </cell>
          <cell r="M8">
            <v>47.84721409409277</v>
          </cell>
          <cell r="N8">
            <v>49.177842659718458</v>
          </cell>
          <cell r="O8">
            <v>50.615206354840467</v>
          </cell>
        </row>
        <row r="9">
          <cell r="B9">
            <v>2026</v>
          </cell>
          <cell r="D9">
            <v>51.370240154573992</v>
          </cell>
          <cell r="E9">
            <v>50.365011380954336</v>
          </cell>
          <cell r="F9">
            <v>48.476385309138607</v>
          </cell>
          <cell r="G9">
            <v>46.802835443048842</v>
          </cell>
          <cell r="H9">
            <v>45.153886819891234</v>
          </cell>
          <cell r="I9">
            <v>49.368580022222467</v>
          </cell>
          <cell r="J9">
            <v>57.530869302421969</v>
          </cell>
          <cell r="K9">
            <v>59.108752966391783</v>
          </cell>
          <cell r="L9">
            <v>52.080368083334633</v>
          </cell>
          <cell r="M9">
            <v>49.618458229836115</v>
          </cell>
          <cell r="N9">
            <v>51.119395020827653</v>
          </cell>
          <cell r="O9">
            <v>53.347759806452899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9"/>
  <sheetViews>
    <sheetView view="pageBreakPreview" zoomScale="60" zoomScaleNormal="100" workbookViewId="0">
      <selection activeCell="O1" sqref="O1"/>
    </sheetView>
  </sheetViews>
  <sheetFormatPr defaultColWidth="10.6640625" defaultRowHeight="12.75" x14ac:dyDescent="0.2"/>
  <cols>
    <col min="1" max="1" width="1.83203125" style="50" customWidth="1"/>
    <col min="2" max="2" width="8.6640625" style="50" customWidth="1"/>
    <col min="3" max="3" width="30.6640625" style="50" customWidth="1"/>
    <col min="4" max="4" width="8.33203125" style="50" hidden="1" customWidth="1"/>
    <col min="5" max="18" width="8.33203125" style="50" customWidth="1"/>
    <col min="19" max="25" width="0" style="50" hidden="1" customWidth="1"/>
    <col min="26" max="26" width="1.83203125" style="50" customWidth="1"/>
    <col min="27" max="16384" width="10.6640625" style="50"/>
  </cols>
  <sheetData>
    <row r="1" spans="2:29" ht="15.75" x14ac:dyDescent="0.25">
      <c r="B1" s="49" t="s">
        <v>75</v>
      </c>
      <c r="C1" s="49"/>
      <c r="D1" s="49"/>
      <c r="E1" s="49"/>
      <c r="F1" s="49"/>
      <c r="G1" s="49"/>
      <c r="H1" s="49"/>
      <c r="I1" s="49"/>
      <c r="J1" s="49"/>
      <c r="K1" s="49"/>
      <c r="L1" s="244"/>
      <c r="M1" s="244"/>
      <c r="N1" s="244"/>
      <c r="O1" s="244"/>
      <c r="P1" s="244"/>
      <c r="Q1" s="244"/>
      <c r="R1" s="244"/>
    </row>
    <row r="2" spans="2:29" ht="15.75" x14ac:dyDescent="0.25">
      <c r="B2" s="219" t="s">
        <v>137</v>
      </c>
      <c r="C2" s="49"/>
      <c r="D2" s="49"/>
      <c r="E2" s="49"/>
      <c r="F2" s="49"/>
      <c r="G2" s="49"/>
      <c r="H2" s="49"/>
      <c r="I2" s="49"/>
      <c r="J2" s="49"/>
      <c r="K2" s="49"/>
      <c r="L2" s="244"/>
      <c r="M2" s="244"/>
      <c r="N2" s="244"/>
      <c r="O2" s="244"/>
      <c r="P2" s="244"/>
      <c r="Q2" s="244"/>
      <c r="R2" s="244"/>
    </row>
    <row r="3" spans="2:29" ht="15.75" x14ac:dyDescent="0.25">
      <c r="B3" s="220" t="s">
        <v>154</v>
      </c>
      <c r="C3" s="49"/>
      <c r="D3" s="49"/>
      <c r="E3" s="49"/>
      <c r="F3" s="49"/>
      <c r="G3" s="49"/>
      <c r="H3" s="49"/>
      <c r="I3" s="49"/>
      <c r="J3" s="49"/>
      <c r="K3" s="49"/>
      <c r="L3" s="244"/>
      <c r="M3" s="244"/>
      <c r="N3" s="244"/>
      <c r="O3" s="244"/>
      <c r="P3" s="244"/>
      <c r="Q3" s="244"/>
      <c r="R3" s="244"/>
    </row>
    <row r="5" spans="2:29" customFormat="1" ht="15.75" customHeight="1" x14ac:dyDescent="0.25">
      <c r="B5" s="269"/>
      <c r="C5" s="270"/>
      <c r="D5" s="271" t="s">
        <v>199</v>
      </c>
      <c r="E5" s="271" t="s">
        <v>199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308"/>
      <c r="T5" s="272"/>
      <c r="U5" s="272"/>
      <c r="V5" s="272"/>
      <c r="W5" s="272"/>
      <c r="X5" s="309" t="s">
        <v>259</v>
      </c>
      <c r="Y5" s="310"/>
      <c r="AC5" s="311"/>
    </row>
    <row r="6" spans="2:29" customFormat="1" ht="15.75" x14ac:dyDescent="0.25">
      <c r="B6" s="273"/>
      <c r="C6" s="274" t="s">
        <v>200</v>
      </c>
      <c r="D6" s="275">
        <v>2013</v>
      </c>
      <c r="E6" s="276">
        <v>2014</v>
      </c>
      <c r="F6" s="276">
        <v>2015</v>
      </c>
      <c r="G6" s="276">
        <v>2016</v>
      </c>
      <c r="H6" s="276">
        <v>2017</v>
      </c>
      <c r="I6" s="276">
        <v>2018</v>
      </c>
      <c r="J6" s="276">
        <v>2019</v>
      </c>
      <c r="K6" s="276">
        <v>2020</v>
      </c>
      <c r="L6" s="276">
        <v>2021</v>
      </c>
      <c r="M6" s="276">
        <v>2022</v>
      </c>
      <c r="N6" s="276">
        <v>2023</v>
      </c>
      <c r="O6" s="276">
        <v>2024</v>
      </c>
      <c r="P6" s="276">
        <v>2025</v>
      </c>
      <c r="Q6" s="276">
        <v>2026</v>
      </c>
      <c r="R6" s="276">
        <v>2027</v>
      </c>
      <c r="S6" s="312">
        <v>2028</v>
      </c>
      <c r="T6" s="276">
        <v>2029</v>
      </c>
      <c r="U6" s="276">
        <v>2030</v>
      </c>
      <c r="V6" s="276">
        <v>2031</v>
      </c>
      <c r="W6" s="276">
        <v>2032</v>
      </c>
      <c r="X6" s="313" t="s">
        <v>260</v>
      </c>
      <c r="Y6" s="313" t="s">
        <v>261</v>
      </c>
    </row>
    <row r="7" spans="2:29" customFormat="1" hidden="1" x14ac:dyDescent="0.2">
      <c r="B7" s="277" t="s">
        <v>201</v>
      </c>
      <c r="C7" s="278" t="s">
        <v>202</v>
      </c>
      <c r="D7" s="279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80"/>
      <c r="T7" s="280"/>
      <c r="U7" s="280"/>
      <c r="V7" s="280"/>
      <c r="W7" s="281"/>
      <c r="X7" s="279"/>
      <c r="Y7" s="281"/>
    </row>
    <row r="8" spans="2:29" customFormat="1" ht="15.75" hidden="1" x14ac:dyDescent="0.25">
      <c r="B8" s="282"/>
      <c r="C8" s="283" t="s">
        <v>203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84">
        <v>0</v>
      </c>
      <c r="S8" s="314">
        <v>0</v>
      </c>
      <c r="T8" s="284">
        <v>0</v>
      </c>
      <c r="U8" s="284">
        <v>0</v>
      </c>
      <c r="V8" s="284">
        <v>-43.36</v>
      </c>
      <c r="W8" s="284">
        <v>0</v>
      </c>
      <c r="X8" s="284">
        <v>0</v>
      </c>
      <c r="Y8" s="284">
        <v>-43.36</v>
      </c>
    </row>
    <row r="9" spans="2:29" customFormat="1" ht="15.75" hidden="1" x14ac:dyDescent="0.25">
      <c r="B9" s="282"/>
      <c r="C9" s="283" t="s">
        <v>204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4">
        <v>0</v>
      </c>
      <c r="P9" s="284">
        <v>0</v>
      </c>
      <c r="Q9" s="284">
        <v>0</v>
      </c>
      <c r="R9" s="284">
        <v>0</v>
      </c>
      <c r="S9" s="314">
        <v>0</v>
      </c>
      <c r="T9" s="284">
        <v>0</v>
      </c>
      <c r="U9" s="284">
        <v>0</v>
      </c>
      <c r="V9" s="284">
        <v>-30.42</v>
      </c>
      <c r="W9" s="284">
        <v>0</v>
      </c>
      <c r="X9" s="284">
        <v>0</v>
      </c>
      <c r="Y9" s="284">
        <v>-30.42</v>
      </c>
    </row>
    <row r="10" spans="2:29" customFormat="1" ht="15.75" hidden="1" x14ac:dyDescent="0.25">
      <c r="B10" s="282"/>
      <c r="C10" s="283" t="s">
        <v>205</v>
      </c>
      <c r="D10" s="284">
        <v>0</v>
      </c>
      <c r="E10" s="284">
        <v>0</v>
      </c>
      <c r="F10" s="284">
        <v>-67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31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-67</v>
      </c>
      <c r="Y10" s="284">
        <v>-67</v>
      </c>
    </row>
    <row r="11" spans="2:29" customFormat="1" ht="15.75" hidden="1" x14ac:dyDescent="0.25">
      <c r="B11" s="282"/>
      <c r="C11" s="283" t="s">
        <v>206</v>
      </c>
      <c r="D11" s="284">
        <v>0</v>
      </c>
      <c r="E11" s="284">
        <v>0</v>
      </c>
      <c r="F11" s="284">
        <v>-105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31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-105</v>
      </c>
      <c r="Y11" s="284">
        <v>-105</v>
      </c>
    </row>
    <row r="12" spans="2:29" customFormat="1" ht="15.75" hidden="1" x14ac:dyDescent="0.25">
      <c r="B12" s="282"/>
      <c r="C12" s="283" t="s">
        <v>207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-387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31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-387</v>
      </c>
      <c r="Y12" s="284">
        <v>-387</v>
      </c>
    </row>
    <row r="13" spans="2:29" customFormat="1" ht="15.75" hidden="1" x14ac:dyDescent="0.25">
      <c r="B13" s="282"/>
      <c r="C13" s="283" t="s">
        <v>208</v>
      </c>
      <c r="D13" s="284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0</v>
      </c>
      <c r="R13" s="284">
        <v>0</v>
      </c>
      <c r="S13" s="314">
        <v>-106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-106</v>
      </c>
    </row>
    <row r="14" spans="2:29" customFormat="1" ht="15.75" hidden="1" x14ac:dyDescent="0.25">
      <c r="B14" s="282"/>
      <c r="C14" s="283" t="s">
        <v>209</v>
      </c>
      <c r="D14" s="284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314">
        <v>-106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-106</v>
      </c>
    </row>
    <row r="15" spans="2:29" customFormat="1" ht="15.75" hidden="1" x14ac:dyDescent="0.25">
      <c r="B15" s="282"/>
      <c r="C15" s="283" t="s">
        <v>210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314">
        <v>-220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-220</v>
      </c>
    </row>
    <row r="16" spans="2:29" customFormat="1" ht="15.75" hidden="1" x14ac:dyDescent="0.25">
      <c r="B16" s="282"/>
      <c r="C16" s="283" t="s">
        <v>211</v>
      </c>
      <c r="D16" s="284">
        <v>0</v>
      </c>
      <c r="E16" s="284">
        <v>0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v>0</v>
      </c>
      <c r="O16" s="284">
        <v>0</v>
      </c>
      <c r="P16" s="284">
        <v>0</v>
      </c>
      <c r="Q16" s="284">
        <v>0</v>
      </c>
      <c r="R16" s="284">
        <v>0</v>
      </c>
      <c r="S16" s="314">
        <v>-328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-328</v>
      </c>
    </row>
    <row r="17" spans="2:25" customFormat="1" ht="15.75" hidden="1" x14ac:dyDescent="0.25">
      <c r="B17" s="282"/>
      <c r="C17" s="283" t="s">
        <v>212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314">
        <v>0</v>
      </c>
      <c r="T17" s="284">
        <v>0</v>
      </c>
      <c r="U17" s="284">
        <v>-157.52000000000001</v>
      </c>
      <c r="V17" s="284">
        <v>0</v>
      </c>
      <c r="W17" s="284">
        <v>0</v>
      </c>
      <c r="X17" s="284">
        <v>0</v>
      </c>
      <c r="Y17" s="284">
        <v>-157.52000000000001</v>
      </c>
    </row>
    <row r="18" spans="2:25" customFormat="1" ht="15.75" hidden="1" x14ac:dyDescent="0.25">
      <c r="B18" s="282"/>
      <c r="C18" s="283" t="s">
        <v>213</v>
      </c>
      <c r="D18" s="284">
        <v>0</v>
      </c>
      <c r="E18" s="284">
        <v>0</v>
      </c>
      <c r="F18" s="284">
        <v>0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314">
        <v>0</v>
      </c>
      <c r="T18" s="284">
        <v>0</v>
      </c>
      <c r="U18" s="284">
        <v>-205.39</v>
      </c>
      <c r="V18" s="284">
        <v>0</v>
      </c>
      <c r="W18" s="284">
        <v>0</v>
      </c>
      <c r="X18" s="284">
        <v>0</v>
      </c>
      <c r="Y18" s="284">
        <v>-205.39</v>
      </c>
    </row>
    <row r="19" spans="2:25" customFormat="1" ht="15.75" hidden="1" x14ac:dyDescent="0.25">
      <c r="B19" s="282"/>
      <c r="C19" s="283" t="s">
        <v>214</v>
      </c>
      <c r="D19" s="284">
        <v>0</v>
      </c>
      <c r="E19" s="284">
        <v>0</v>
      </c>
      <c r="F19" s="284">
        <v>-330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31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-330</v>
      </c>
      <c r="Y19" s="284">
        <v>-330</v>
      </c>
    </row>
    <row r="20" spans="2:25" customFormat="1" ht="15.75" hidden="1" x14ac:dyDescent="0.25">
      <c r="B20" s="285"/>
      <c r="C20" s="286" t="s">
        <v>215</v>
      </c>
      <c r="D20" s="287">
        <v>0</v>
      </c>
      <c r="E20" s="287">
        <v>0</v>
      </c>
      <c r="F20" s="287">
        <v>0</v>
      </c>
      <c r="G20" s="287">
        <v>0</v>
      </c>
      <c r="H20" s="287">
        <v>0</v>
      </c>
      <c r="I20" s="287">
        <v>387</v>
      </c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315">
        <v>0</v>
      </c>
      <c r="T20" s="287">
        <v>0</v>
      </c>
      <c r="U20" s="287">
        <v>0</v>
      </c>
      <c r="V20" s="287">
        <v>0</v>
      </c>
      <c r="W20" s="287">
        <v>0</v>
      </c>
      <c r="X20" s="284">
        <v>387</v>
      </c>
      <c r="Y20" s="284">
        <v>387</v>
      </c>
    </row>
    <row r="21" spans="2:25" customFormat="1" ht="15.75" hidden="1" x14ac:dyDescent="0.25">
      <c r="B21" s="285"/>
      <c r="C21" s="286" t="s">
        <v>216</v>
      </c>
      <c r="D21" s="287">
        <v>0</v>
      </c>
      <c r="E21" s="287">
        <v>0</v>
      </c>
      <c r="F21" s="287">
        <v>337.9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315">
        <v>0</v>
      </c>
      <c r="T21" s="287">
        <v>0</v>
      </c>
      <c r="U21" s="287">
        <v>-337.9</v>
      </c>
      <c r="V21" s="287">
        <v>0</v>
      </c>
      <c r="W21" s="287">
        <v>0</v>
      </c>
      <c r="X21" s="284">
        <v>337.9</v>
      </c>
      <c r="Y21" s="284">
        <v>0</v>
      </c>
    </row>
    <row r="22" spans="2:25" customFormat="1" x14ac:dyDescent="0.2">
      <c r="B22" s="277" t="s">
        <v>201</v>
      </c>
      <c r="C22" s="278" t="s">
        <v>217</v>
      </c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1"/>
      <c r="S22" s="280"/>
      <c r="T22" s="280"/>
      <c r="U22" s="280"/>
      <c r="V22" s="280"/>
      <c r="W22" s="281"/>
      <c r="X22" s="316"/>
      <c r="Y22" s="317"/>
    </row>
    <row r="23" spans="2:25" customFormat="1" ht="15.75" x14ac:dyDescent="0.25">
      <c r="B23" s="285"/>
      <c r="C23" s="286" t="s">
        <v>218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v>0</v>
      </c>
      <c r="Q23" s="287">
        <v>0</v>
      </c>
      <c r="R23" s="287">
        <v>0</v>
      </c>
      <c r="S23" s="315">
        <v>0</v>
      </c>
      <c r="T23" s="287">
        <v>0</v>
      </c>
      <c r="U23" s="287">
        <v>661</v>
      </c>
      <c r="V23" s="287">
        <v>0</v>
      </c>
      <c r="W23" s="287">
        <v>0</v>
      </c>
      <c r="X23" s="284">
        <v>0</v>
      </c>
      <c r="Y23" s="284">
        <v>661</v>
      </c>
    </row>
    <row r="24" spans="2:25" customFormat="1" ht="15.75" x14ac:dyDescent="0.25">
      <c r="B24" s="285"/>
      <c r="C24" s="286" t="s">
        <v>219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  <c r="O24" s="287">
        <v>0</v>
      </c>
      <c r="P24" s="287">
        <v>0</v>
      </c>
      <c r="Q24" s="287">
        <v>0</v>
      </c>
      <c r="R24" s="287">
        <v>0</v>
      </c>
      <c r="S24" s="315">
        <v>0</v>
      </c>
      <c r="T24" s="287">
        <v>0</v>
      </c>
      <c r="U24" s="287">
        <v>368</v>
      </c>
      <c r="V24" s="287">
        <v>0</v>
      </c>
      <c r="W24" s="287">
        <v>0</v>
      </c>
      <c r="X24" s="284">
        <v>0</v>
      </c>
      <c r="Y24" s="284">
        <v>368</v>
      </c>
    </row>
    <row r="25" spans="2:25" customFormat="1" ht="15.75" x14ac:dyDescent="0.25">
      <c r="B25" s="285"/>
      <c r="C25" s="286" t="s">
        <v>220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  <c r="R25" s="288">
        <v>423</v>
      </c>
      <c r="S25" s="315">
        <v>834</v>
      </c>
      <c r="T25" s="287">
        <v>0</v>
      </c>
      <c r="U25" s="287">
        <v>0</v>
      </c>
      <c r="V25" s="287">
        <v>0</v>
      </c>
      <c r="W25" s="287">
        <v>0</v>
      </c>
      <c r="X25" s="284">
        <v>0</v>
      </c>
      <c r="Y25" s="284">
        <v>1257</v>
      </c>
    </row>
    <row r="26" spans="2:25" customFormat="1" ht="15.75" x14ac:dyDescent="0.25">
      <c r="B26" s="285"/>
      <c r="C26" s="286" t="s">
        <v>221</v>
      </c>
      <c r="D26" s="287">
        <v>0</v>
      </c>
      <c r="E26" s="287">
        <v>645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  <c r="O26" s="287">
        <v>0</v>
      </c>
      <c r="P26" s="287">
        <v>0</v>
      </c>
      <c r="Q26" s="287">
        <v>0</v>
      </c>
      <c r="R26" s="287">
        <v>0</v>
      </c>
      <c r="S26" s="315">
        <v>0</v>
      </c>
      <c r="T26" s="287">
        <v>0</v>
      </c>
      <c r="U26" s="287">
        <v>0</v>
      </c>
      <c r="V26" s="287">
        <v>0</v>
      </c>
      <c r="W26" s="287">
        <v>0</v>
      </c>
      <c r="X26" s="284">
        <v>645</v>
      </c>
      <c r="Y26" s="284">
        <v>645</v>
      </c>
    </row>
    <row r="27" spans="2:25" customFormat="1" ht="15.75" hidden="1" x14ac:dyDescent="0.25">
      <c r="B27" s="285"/>
      <c r="C27" s="286" t="s">
        <v>222</v>
      </c>
      <c r="D27" s="289">
        <v>1.8</v>
      </c>
      <c r="E27" s="289">
        <v>0</v>
      </c>
      <c r="F27" s="289">
        <v>0</v>
      </c>
      <c r="G27" s="284">
        <v>0</v>
      </c>
      <c r="H27" s="289">
        <v>0</v>
      </c>
      <c r="I27" s="289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31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1.8</v>
      </c>
      <c r="Y27" s="284">
        <v>1.8</v>
      </c>
    </row>
    <row r="28" spans="2:25" customFormat="1" ht="16.5" hidden="1" thickBot="1" x14ac:dyDescent="0.3">
      <c r="B28" s="285"/>
      <c r="C28" s="290" t="s">
        <v>223</v>
      </c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  <c r="O28" s="287">
        <v>184</v>
      </c>
      <c r="P28" s="287">
        <v>296</v>
      </c>
      <c r="Q28" s="287">
        <v>0</v>
      </c>
      <c r="R28" s="287">
        <v>0</v>
      </c>
      <c r="S28" s="315">
        <v>0</v>
      </c>
      <c r="T28" s="287">
        <v>0</v>
      </c>
      <c r="U28" s="287">
        <v>0</v>
      </c>
      <c r="V28" s="287">
        <v>0</v>
      </c>
      <c r="W28" s="287">
        <v>0</v>
      </c>
      <c r="X28" s="284">
        <v>0</v>
      </c>
      <c r="Y28" s="284">
        <v>480</v>
      </c>
    </row>
    <row r="29" spans="2:25" customFormat="1" ht="15.75" x14ac:dyDescent="0.25">
      <c r="B29" s="285"/>
      <c r="C29" s="286" t="s">
        <v>224</v>
      </c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  <c r="O29" s="287">
        <v>184</v>
      </c>
      <c r="P29" s="287">
        <v>296</v>
      </c>
      <c r="Q29" s="287">
        <v>0</v>
      </c>
      <c r="R29" s="287">
        <v>0</v>
      </c>
      <c r="S29" s="315">
        <v>0</v>
      </c>
      <c r="T29" s="287">
        <v>0</v>
      </c>
      <c r="U29" s="287">
        <v>0</v>
      </c>
      <c r="V29" s="287">
        <v>0</v>
      </c>
      <c r="W29" s="287">
        <v>0</v>
      </c>
      <c r="X29" s="284">
        <v>0</v>
      </c>
      <c r="Y29" s="284">
        <v>480</v>
      </c>
    </row>
    <row r="30" spans="2:25" customFormat="1" ht="15.75" x14ac:dyDescent="0.25">
      <c r="B30" s="296"/>
      <c r="C30" s="286" t="s">
        <v>225</v>
      </c>
      <c r="D30" s="292">
        <v>0.16</v>
      </c>
      <c r="E30" s="292">
        <v>0.16</v>
      </c>
      <c r="F30" s="292">
        <v>0.16</v>
      </c>
      <c r="G30" s="292">
        <v>0.16</v>
      </c>
      <c r="H30" s="292">
        <v>0.16</v>
      </c>
      <c r="I30" s="292">
        <v>0.16</v>
      </c>
      <c r="J30" s="292">
        <v>0.16</v>
      </c>
      <c r="K30" s="292">
        <v>0.16</v>
      </c>
      <c r="L30" s="292">
        <v>0.16</v>
      </c>
      <c r="M30" s="292">
        <v>0.16</v>
      </c>
      <c r="N30" s="292">
        <v>0.16</v>
      </c>
      <c r="O30" s="292">
        <v>0.16</v>
      </c>
      <c r="P30" s="292">
        <v>0.16</v>
      </c>
      <c r="Q30" s="292">
        <v>0.16</v>
      </c>
      <c r="R30" s="292">
        <v>0.16</v>
      </c>
      <c r="S30" s="318">
        <v>0.16</v>
      </c>
      <c r="T30" s="292">
        <v>0.16</v>
      </c>
      <c r="U30" s="292">
        <v>0.16</v>
      </c>
      <c r="V30" s="292">
        <v>0.16</v>
      </c>
      <c r="W30" s="292">
        <v>0.16</v>
      </c>
      <c r="X30" s="289">
        <v>1.5999999999999999</v>
      </c>
      <c r="Y30" s="289">
        <v>3.2000000000000006</v>
      </c>
    </row>
    <row r="31" spans="2:25" customFormat="1" ht="15.75" x14ac:dyDescent="0.25">
      <c r="B31" s="296"/>
      <c r="C31" s="286" t="s">
        <v>226</v>
      </c>
      <c r="D31" s="292">
        <v>0.36</v>
      </c>
      <c r="E31" s="292">
        <v>0.36</v>
      </c>
      <c r="F31" s="292">
        <v>0.36</v>
      </c>
      <c r="G31" s="292">
        <v>0.36</v>
      </c>
      <c r="H31" s="292">
        <v>0.36</v>
      </c>
      <c r="I31" s="292">
        <v>0.36</v>
      </c>
      <c r="J31" s="292">
        <v>0.36</v>
      </c>
      <c r="K31" s="292">
        <v>0.36</v>
      </c>
      <c r="L31" s="292">
        <v>0.36</v>
      </c>
      <c r="M31" s="292">
        <v>0.36</v>
      </c>
      <c r="N31" s="292">
        <v>0.36</v>
      </c>
      <c r="O31" s="292">
        <v>0.36</v>
      </c>
      <c r="P31" s="292">
        <v>0.36</v>
      </c>
      <c r="Q31" s="292">
        <v>0.36</v>
      </c>
      <c r="R31" s="292">
        <v>0.36</v>
      </c>
      <c r="S31" s="318">
        <v>0.36</v>
      </c>
      <c r="T31" s="292">
        <v>0.36</v>
      </c>
      <c r="U31" s="292">
        <v>0.36</v>
      </c>
      <c r="V31" s="292">
        <v>0.36</v>
      </c>
      <c r="W31" s="292">
        <v>0.36</v>
      </c>
      <c r="X31" s="289">
        <v>3.5999999999999992</v>
      </c>
      <c r="Y31" s="289">
        <v>7.200000000000002</v>
      </c>
    </row>
    <row r="32" spans="2:25" customFormat="1" ht="16.5" hidden="1" thickBot="1" x14ac:dyDescent="0.3">
      <c r="B32" s="285"/>
      <c r="C32" s="290" t="s">
        <v>227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87">
        <v>0</v>
      </c>
      <c r="N32" s="287">
        <v>0</v>
      </c>
      <c r="O32" s="287">
        <v>0</v>
      </c>
      <c r="P32" s="287">
        <v>1.02</v>
      </c>
      <c r="Q32" s="287">
        <v>0</v>
      </c>
      <c r="R32" s="287">
        <v>0</v>
      </c>
      <c r="S32" s="315">
        <v>0</v>
      </c>
      <c r="T32" s="287">
        <v>0</v>
      </c>
      <c r="U32" s="287">
        <v>0</v>
      </c>
      <c r="V32" s="287">
        <v>0</v>
      </c>
      <c r="W32" s="287">
        <v>0</v>
      </c>
      <c r="X32" s="284">
        <v>0</v>
      </c>
      <c r="Y32" s="284">
        <v>1.02</v>
      </c>
    </row>
    <row r="33" spans="2:25" customFormat="1" ht="16.5" hidden="1" thickBot="1" x14ac:dyDescent="0.3">
      <c r="B33" s="285"/>
      <c r="C33" s="290" t="s">
        <v>228</v>
      </c>
      <c r="D33" s="287">
        <v>0</v>
      </c>
      <c r="E33" s="287">
        <v>0</v>
      </c>
      <c r="F33" s="287">
        <v>0</v>
      </c>
      <c r="G33" s="287">
        <v>0</v>
      </c>
      <c r="H33" s="287">
        <v>0</v>
      </c>
      <c r="I33" s="287">
        <v>0</v>
      </c>
      <c r="J33" s="287">
        <v>0</v>
      </c>
      <c r="K33" s="287">
        <v>0</v>
      </c>
      <c r="L33" s="287">
        <v>0</v>
      </c>
      <c r="M33" s="287">
        <v>0</v>
      </c>
      <c r="N33" s="287">
        <v>0</v>
      </c>
      <c r="O33" s="287">
        <v>0</v>
      </c>
      <c r="P33" s="287">
        <v>0</v>
      </c>
      <c r="Q33" s="287">
        <v>73.66</v>
      </c>
      <c r="R33" s="287">
        <v>0</v>
      </c>
      <c r="S33" s="315">
        <v>0</v>
      </c>
      <c r="T33" s="287">
        <v>0</v>
      </c>
      <c r="U33" s="287">
        <v>0</v>
      </c>
      <c r="V33" s="287">
        <v>0</v>
      </c>
      <c r="W33" s="287">
        <v>0</v>
      </c>
      <c r="X33" s="284">
        <v>0</v>
      </c>
      <c r="Y33" s="284">
        <v>73.66</v>
      </c>
    </row>
    <row r="34" spans="2:25" customFormat="1" ht="16.5" hidden="1" thickBot="1" x14ac:dyDescent="0.3">
      <c r="B34" s="285"/>
      <c r="C34" s="290" t="s">
        <v>229</v>
      </c>
      <c r="D34" s="287">
        <v>0</v>
      </c>
      <c r="E34" s="287">
        <v>0</v>
      </c>
      <c r="F34" s="287">
        <v>0</v>
      </c>
      <c r="G34" s="287">
        <v>0</v>
      </c>
      <c r="H34" s="287">
        <v>0</v>
      </c>
      <c r="I34" s="287">
        <v>0</v>
      </c>
      <c r="J34" s="287">
        <v>0</v>
      </c>
      <c r="K34" s="287">
        <v>0</v>
      </c>
      <c r="L34" s="287">
        <v>0</v>
      </c>
      <c r="M34" s="287">
        <v>0</v>
      </c>
      <c r="N34" s="287">
        <v>0</v>
      </c>
      <c r="O34" s="292">
        <v>0</v>
      </c>
      <c r="P34" s="287">
        <v>0.18</v>
      </c>
      <c r="Q34" s="287">
        <v>0</v>
      </c>
      <c r="R34" s="287">
        <v>0</v>
      </c>
      <c r="S34" s="315">
        <v>0</v>
      </c>
      <c r="T34" s="287">
        <v>0</v>
      </c>
      <c r="U34" s="287">
        <v>0</v>
      </c>
      <c r="V34" s="287">
        <v>0</v>
      </c>
      <c r="W34" s="287">
        <v>0</v>
      </c>
      <c r="X34" s="284">
        <v>0</v>
      </c>
      <c r="Y34" s="284">
        <v>0.18</v>
      </c>
    </row>
    <row r="35" spans="2:25" customFormat="1" ht="16.5" hidden="1" thickBot="1" x14ac:dyDescent="0.3">
      <c r="B35" s="285"/>
      <c r="C35" s="290" t="s">
        <v>230</v>
      </c>
      <c r="D35" s="287">
        <v>0</v>
      </c>
      <c r="E35" s="287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  <c r="N35" s="287">
        <v>0</v>
      </c>
      <c r="O35" s="292">
        <v>0</v>
      </c>
      <c r="P35" s="292">
        <v>0.18</v>
      </c>
      <c r="Q35" s="287">
        <v>0</v>
      </c>
      <c r="R35" s="287">
        <v>0</v>
      </c>
      <c r="S35" s="315">
        <v>0</v>
      </c>
      <c r="T35" s="287">
        <v>0</v>
      </c>
      <c r="U35" s="287">
        <v>0</v>
      </c>
      <c r="V35" s="287">
        <v>0</v>
      </c>
      <c r="W35" s="287">
        <v>0</v>
      </c>
      <c r="X35" s="284">
        <v>0</v>
      </c>
      <c r="Y35" s="284">
        <v>0.18</v>
      </c>
    </row>
    <row r="36" spans="2:25" customFormat="1" ht="15.75" x14ac:dyDescent="0.25">
      <c r="B36" s="285"/>
      <c r="C36" s="286" t="s">
        <v>231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0</v>
      </c>
      <c r="M36" s="287">
        <v>0</v>
      </c>
      <c r="N36" s="287">
        <v>0</v>
      </c>
      <c r="O36" s="287">
        <v>0</v>
      </c>
      <c r="P36" s="287">
        <v>1.38</v>
      </c>
      <c r="Q36" s="287">
        <v>73.66</v>
      </c>
      <c r="R36" s="287">
        <v>0</v>
      </c>
      <c r="S36" s="315">
        <v>0</v>
      </c>
      <c r="T36" s="287">
        <v>0</v>
      </c>
      <c r="U36" s="287">
        <v>0</v>
      </c>
      <c r="V36" s="287">
        <v>0</v>
      </c>
      <c r="W36" s="287">
        <v>0</v>
      </c>
      <c r="X36" s="284">
        <v>0</v>
      </c>
      <c r="Y36" s="284">
        <v>75.039999999999992</v>
      </c>
    </row>
    <row r="37" spans="2:25" customFormat="1" ht="16.5" hidden="1" thickBot="1" x14ac:dyDescent="0.3">
      <c r="B37" s="285"/>
      <c r="C37" s="290" t="s">
        <v>232</v>
      </c>
      <c r="D37" s="287">
        <v>2.5300000000000002</v>
      </c>
      <c r="E37" s="287">
        <v>2.6100000000000003</v>
      </c>
      <c r="F37" s="287">
        <v>2.6900000000000004</v>
      </c>
      <c r="G37" s="287">
        <v>2.81</v>
      </c>
      <c r="H37" s="287">
        <v>2.83</v>
      </c>
      <c r="I37" s="287">
        <v>2.66</v>
      </c>
      <c r="J37" s="287">
        <v>2.67</v>
      </c>
      <c r="K37" s="287">
        <v>2.56</v>
      </c>
      <c r="L37" s="287">
        <v>2.6700000000000004</v>
      </c>
      <c r="M37" s="287">
        <v>3.59</v>
      </c>
      <c r="N37" s="287">
        <v>2.61</v>
      </c>
      <c r="O37" s="287">
        <v>2.64</v>
      </c>
      <c r="P37" s="287">
        <v>2.65</v>
      </c>
      <c r="Q37" s="287">
        <v>3.0400000000000005</v>
      </c>
      <c r="R37" s="287">
        <v>2.2799999999999998</v>
      </c>
      <c r="S37" s="315">
        <v>2.02</v>
      </c>
      <c r="T37" s="287">
        <v>2.0300000000000002</v>
      </c>
      <c r="U37" s="287">
        <v>1.8700000000000003</v>
      </c>
      <c r="V37" s="287">
        <v>1.93</v>
      </c>
      <c r="W37" s="287">
        <v>2.73</v>
      </c>
      <c r="X37" s="287">
        <v>27.620000000000005</v>
      </c>
      <c r="Y37" s="287">
        <v>51.42</v>
      </c>
    </row>
    <row r="38" spans="2:25" customFormat="1" ht="16.5" hidden="1" thickBot="1" x14ac:dyDescent="0.3">
      <c r="B38" s="285"/>
      <c r="C38" s="290" t="s">
        <v>233</v>
      </c>
      <c r="D38" s="287">
        <v>62.519999999999996</v>
      </c>
      <c r="E38" s="287">
        <v>55.349999999999994</v>
      </c>
      <c r="F38" s="287">
        <v>50.34</v>
      </c>
      <c r="G38" s="287">
        <v>47.86</v>
      </c>
      <c r="H38" s="287">
        <v>48.81</v>
      </c>
      <c r="I38" s="287">
        <v>46.67</v>
      </c>
      <c r="J38" s="287">
        <v>43.93</v>
      </c>
      <c r="K38" s="287">
        <v>39.39</v>
      </c>
      <c r="L38" s="287">
        <v>40.200000000000003</v>
      </c>
      <c r="M38" s="287">
        <v>39.089999999999996</v>
      </c>
      <c r="N38" s="287">
        <v>30.419999999999995</v>
      </c>
      <c r="O38" s="287">
        <v>32.89</v>
      </c>
      <c r="P38" s="287">
        <v>29.52</v>
      </c>
      <c r="Q38" s="287">
        <v>27.94</v>
      </c>
      <c r="R38" s="287">
        <v>26.17</v>
      </c>
      <c r="S38" s="315">
        <v>24.67</v>
      </c>
      <c r="T38" s="287">
        <v>23.15</v>
      </c>
      <c r="U38" s="287">
        <v>21.61</v>
      </c>
      <c r="V38" s="287">
        <v>20.86</v>
      </c>
      <c r="W38" s="287">
        <v>20.079999999999998</v>
      </c>
      <c r="X38" s="287">
        <v>474.15999999999997</v>
      </c>
      <c r="Y38" s="287">
        <v>731.47</v>
      </c>
    </row>
    <row r="39" spans="2:25" customFormat="1" ht="16.5" hidden="1" thickBot="1" x14ac:dyDescent="0.3">
      <c r="B39" s="285"/>
      <c r="C39" s="290" t="s">
        <v>234</v>
      </c>
      <c r="D39" s="287">
        <v>3.4299999999999997</v>
      </c>
      <c r="E39" s="287">
        <v>3.8599999999999994</v>
      </c>
      <c r="F39" s="287">
        <v>4.54</v>
      </c>
      <c r="G39" s="287">
        <v>5.0599999999999996</v>
      </c>
      <c r="H39" s="287">
        <v>5.5</v>
      </c>
      <c r="I39" s="287">
        <v>5.9499999999999993</v>
      </c>
      <c r="J39" s="287">
        <v>6.16</v>
      </c>
      <c r="K39" s="287">
        <v>6.21</v>
      </c>
      <c r="L39" s="287">
        <v>6.65</v>
      </c>
      <c r="M39" s="287">
        <v>7.0399999999999991</v>
      </c>
      <c r="N39" s="287">
        <v>6.1999999999999993</v>
      </c>
      <c r="O39" s="287">
        <v>6.47</v>
      </c>
      <c r="P39" s="287">
        <v>6.3299999999999992</v>
      </c>
      <c r="Q39" s="287">
        <v>6.41</v>
      </c>
      <c r="R39" s="287">
        <v>6.68</v>
      </c>
      <c r="S39" s="315">
        <v>6.51</v>
      </c>
      <c r="T39" s="287">
        <v>6.68</v>
      </c>
      <c r="U39" s="287">
        <v>6.83</v>
      </c>
      <c r="V39" s="287">
        <v>6.98</v>
      </c>
      <c r="W39" s="287">
        <v>7.379999999999999</v>
      </c>
      <c r="X39" s="319">
        <v>54.4</v>
      </c>
      <c r="Y39" s="319">
        <v>120.86999999999998</v>
      </c>
    </row>
    <row r="40" spans="2:25" customFormat="1" ht="15.75" x14ac:dyDescent="0.25">
      <c r="B40" s="285"/>
      <c r="C40" s="286" t="s">
        <v>235</v>
      </c>
      <c r="D40" s="287">
        <v>68.47999999999999</v>
      </c>
      <c r="E40" s="287">
        <v>61.819999999999993</v>
      </c>
      <c r="F40" s="287">
        <v>57.57</v>
      </c>
      <c r="G40" s="287">
        <v>55.730000000000004</v>
      </c>
      <c r="H40" s="287">
        <v>57.14</v>
      </c>
      <c r="I40" s="287">
        <v>55.28</v>
      </c>
      <c r="J40" s="287">
        <v>52.760000000000005</v>
      </c>
      <c r="K40" s="287">
        <v>48.160000000000004</v>
      </c>
      <c r="L40" s="287">
        <v>49.52</v>
      </c>
      <c r="M40" s="287">
        <v>49.719999999999992</v>
      </c>
      <c r="N40" s="287">
        <v>39.22999999999999</v>
      </c>
      <c r="O40" s="287">
        <v>42</v>
      </c>
      <c r="P40" s="287">
        <v>38.5</v>
      </c>
      <c r="Q40" s="287">
        <v>37.39</v>
      </c>
      <c r="R40" s="287">
        <v>35.130000000000003</v>
      </c>
      <c r="S40" s="315">
        <v>33.200000000000003</v>
      </c>
      <c r="T40" s="287">
        <v>31.86</v>
      </c>
      <c r="U40" s="287">
        <v>30.310000000000002</v>
      </c>
      <c r="V40" s="287">
        <v>29.77</v>
      </c>
      <c r="W40" s="287">
        <v>30.189999999999998</v>
      </c>
      <c r="X40" s="284">
        <v>556.17999999999995</v>
      </c>
      <c r="Y40" s="284">
        <v>903.76</v>
      </c>
    </row>
    <row r="41" spans="2:25" customFormat="1" ht="15.75" x14ac:dyDescent="0.25">
      <c r="B41" s="285"/>
      <c r="C41" s="286" t="s">
        <v>236</v>
      </c>
      <c r="D41" s="287">
        <v>7.109</v>
      </c>
      <c r="E41" s="287">
        <v>10.965</v>
      </c>
      <c r="F41" s="287">
        <v>14.19</v>
      </c>
      <c r="G41" s="287">
        <v>16.405000000000001</v>
      </c>
      <c r="H41" s="287">
        <v>16.952000000000002</v>
      </c>
      <c r="I41" s="287">
        <v>13.114000000000001</v>
      </c>
      <c r="J41" s="287">
        <v>13.114000000000001</v>
      </c>
      <c r="K41" s="287">
        <v>13.114000000000001</v>
      </c>
      <c r="L41" s="287">
        <v>13.114000000000001</v>
      </c>
      <c r="M41" s="287">
        <v>13.114000000000001</v>
      </c>
      <c r="N41" s="287">
        <v>13.114000000000001</v>
      </c>
      <c r="O41" s="287">
        <v>13.114000000000001</v>
      </c>
      <c r="P41" s="287">
        <v>13.114000000000001</v>
      </c>
      <c r="Q41" s="287">
        <v>13.114000000000001</v>
      </c>
      <c r="R41" s="287">
        <v>13.114000000000001</v>
      </c>
      <c r="S41" s="315">
        <v>13.114000000000001</v>
      </c>
      <c r="T41" s="287">
        <v>13.114000000000001</v>
      </c>
      <c r="U41" s="287">
        <v>13.114000000000001</v>
      </c>
      <c r="V41" s="287">
        <v>13.114000000000001</v>
      </c>
      <c r="W41" s="287">
        <v>13.114000000000001</v>
      </c>
      <c r="X41" s="284">
        <v>131.191</v>
      </c>
      <c r="Y41" s="284">
        <v>262.33100000000002</v>
      </c>
    </row>
    <row r="42" spans="2:25" customFormat="1" ht="15.75" x14ac:dyDescent="0.25">
      <c r="B42" s="285"/>
      <c r="C42" s="286" t="s">
        <v>237</v>
      </c>
      <c r="D42" s="287">
        <v>0</v>
      </c>
      <c r="E42" s="287">
        <v>0</v>
      </c>
      <c r="F42" s="287">
        <v>0</v>
      </c>
      <c r="G42" s="287">
        <v>0</v>
      </c>
      <c r="H42" s="287">
        <v>0</v>
      </c>
      <c r="I42" s="287">
        <v>0</v>
      </c>
      <c r="J42" s="287">
        <v>0.49199999999999999</v>
      </c>
      <c r="K42" s="287">
        <v>1.7350000000000001</v>
      </c>
      <c r="L42" s="287">
        <v>2.3660000000000001</v>
      </c>
      <c r="M42" s="287">
        <v>2.3660000000000001</v>
      </c>
      <c r="N42" s="287">
        <v>2.3660000000000001</v>
      </c>
      <c r="O42" s="287">
        <v>2.3660000000000001</v>
      </c>
      <c r="P42" s="287">
        <v>2.3660000000000001</v>
      </c>
      <c r="Q42" s="287">
        <v>2.3660000000000001</v>
      </c>
      <c r="R42" s="287">
        <v>2.3660000000000001</v>
      </c>
      <c r="S42" s="315">
        <v>2.3660000000000001</v>
      </c>
      <c r="T42" s="287">
        <v>2.3660000000000001</v>
      </c>
      <c r="U42" s="287">
        <v>2.3660000000000001</v>
      </c>
      <c r="V42" s="287">
        <v>2.3660000000000001</v>
      </c>
      <c r="W42" s="287">
        <v>2.3660000000000001</v>
      </c>
      <c r="X42" s="284">
        <v>6.9589999999999996</v>
      </c>
      <c r="Y42" s="284">
        <v>30.618999999999996</v>
      </c>
    </row>
    <row r="43" spans="2:25" customFormat="1" ht="15.75" x14ac:dyDescent="0.25">
      <c r="B43" s="285"/>
      <c r="C43" s="291" t="s">
        <v>238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  <c r="I43" s="287">
        <v>56</v>
      </c>
      <c r="J43" s="287">
        <v>152</v>
      </c>
      <c r="K43" s="287">
        <v>89</v>
      </c>
      <c r="L43" s="287">
        <v>0</v>
      </c>
      <c r="M43" s="287">
        <v>0</v>
      </c>
      <c r="N43" s="287">
        <v>38</v>
      </c>
      <c r="O43" s="287">
        <v>130</v>
      </c>
      <c r="P43" s="287">
        <v>300</v>
      </c>
      <c r="Q43" s="287">
        <v>300</v>
      </c>
      <c r="R43" s="287">
        <v>105</v>
      </c>
      <c r="S43" s="315">
        <v>194</v>
      </c>
      <c r="T43" s="287">
        <v>300</v>
      </c>
      <c r="U43" s="287">
        <v>129</v>
      </c>
      <c r="V43" s="287">
        <v>167</v>
      </c>
      <c r="W43" s="287">
        <v>300</v>
      </c>
      <c r="X43" s="320">
        <v>29.7</v>
      </c>
      <c r="Y43" s="284">
        <v>113</v>
      </c>
    </row>
    <row r="44" spans="2:25" customFormat="1" x14ac:dyDescent="0.2">
      <c r="B44" s="277" t="s">
        <v>239</v>
      </c>
      <c r="C44" s="278" t="s">
        <v>217</v>
      </c>
      <c r="D44" s="279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1"/>
      <c r="S44" s="280"/>
      <c r="T44" s="280"/>
      <c r="U44" s="280"/>
      <c r="V44" s="280"/>
      <c r="W44" s="281"/>
      <c r="X44" s="279"/>
      <c r="Y44" s="317"/>
    </row>
    <row r="45" spans="2:25" customFormat="1" ht="15.75" x14ac:dyDescent="0.25">
      <c r="B45" s="294"/>
      <c r="C45" s="295" t="s">
        <v>219</v>
      </c>
      <c r="D45" s="287">
        <v>0</v>
      </c>
      <c r="E45" s="287">
        <v>0</v>
      </c>
      <c r="F45" s="287">
        <v>0</v>
      </c>
      <c r="G45" s="287">
        <v>0</v>
      </c>
      <c r="H45" s="287">
        <v>0</v>
      </c>
      <c r="I45" s="287">
        <v>0</v>
      </c>
      <c r="J45" s="287">
        <v>0</v>
      </c>
      <c r="K45" s="287">
        <v>0</v>
      </c>
      <c r="L45" s="287">
        <v>0</v>
      </c>
      <c r="M45" s="287">
        <v>0</v>
      </c>
      <c r="N45" s="287">
        <v>0</v>
      </c>
      <c r="O45" s="287">
        <v>0</v>
      </c>
      <c r="P45" s="287">
        <v>0</v>
      </c>
      <c r="Q45" s="287">
        <v>0</v>
      </c>
      <c r="R45" s="287">
        <v>0</v>
      </c>
      <c r="S45" s="315">
        <v>0</v>
      </c>
      <c r="T45" s="287">
        <v>0</v>
      </c>
      <c r="U45" s="287">
        <v>0</v>
      </c>
      <c r="V45" s="287">
        <v>420</v>
      </c>
      <c r="W45" s="287">
        <v>0</v>
      </c>
      <c r="X45" s="284">
        <v>0</v>
      </c>
      <c r="Y45" s="284">
        <v>420</v>
      </c>
    </row>
    <row r="46" spans="2:25" customFormat="1" ht="15.75" hidden="1" x14ac:dyDescent="0.25">
      <c r="B46" s="285"/>
      <c r="C46" s="295" t="s">
        <v>222</v>
      </c>
      <c r="D46" s="287">
        <v>12</v>
      </c>
      <c r="E46" s="287">
        <v>0</v>
      </c>
      <c r="F46" s="292">
        <v>0</v>
      </c>
      <c r="G46" s="287">
        <v>0</v>
      </c>
      <c r="H46" s="287">
        <v>0</v>
      </c>
      <c r="I46" s="287">
        <v>0</v>
      </c>
      <c r="J46" s="292">
        <v>0</v>
      </c>
      <c r="K46" s="292">
        <v>0</v>
      </c>
      <c r="L46" s="287">
        <v>0</v>
      </c>
      <c r="M46" s="287">
        <v>0</v>
      </c>
      <c r="N46" s="287">
        <v>0</v>
      </c>
      <c r="O46" s="284">
        <v>0</v>
      </c>
      <c r="P46" s="284">
        <v>0</v>
      </c>
      <c r="Q46" s="284">
        <v>0</v>
      </c>
      <c r="R46" s="284">
        <v>0</v>
      </c>
      <c r="S46" s="31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12</v>
      </c>
      <c r="Y46" s="284">
        <v>12</v>
      </c>
    </row>
    <row r="47" spans="2:25" customFormat="1" ht="15.75" x14ac:dyDescent="0.25">
      <c r="B47" s="296"/>
      <c r="C47" s="286" t="s">
        <v>225</v>
      </c>
      <c r="D47" s="292">
        <v>0.55000000000000004</v>
      </c>
      <c r="E47" s="292">
        <v>0.55000000000000004</v>
      </c>
      <c r="F47" s="292">
        <v>0.55000000000000004</v>
      </c>
      <c r="G47" s="292">
        <v>0.55000000000000004</v>
      </c>
      <c r="H47" s="292">
        <v>0.55000000000000004</v>
      </c>
      <c r="I47" s="292">
        <v>0.55000000000000004</v>
      </c>
      <c r="J47" s="292">
        <v>0.55000000000000004</v>
      </c>
      <c r="K47" s="292">
        <v>0.55000000000000004</v>
      </c>
      <c r="L47" s="292">
        <v>0.55000000000000004</v>
      </c>
      <c r="M47" s="292">
        <v>0.55000000000000004</v>
      </c>
      <c r="N47" s="292">
        <v>0.55000000000000004</v>
      </c>
      <c r="O47" s="292">
        <v>0.55000000000000004</v>
      </c>
      <c r="P47" s="292">
        <v>0.55000000000000004</v>
      </c>
      <c r="Q47" s="292">
        <v>0.55000000000000004</v>
      </c>
      <c r="R47" s="292">
        <v>0.55000000000000004</v>
      </c>
      <c r="S47" s="318">
        <v>0.55000000000000004</v>
      </c>
      <c r="T47" s="292">
        <v>0.55000000000000004</v>
      </c>
      <c r="U47" s="292">
        <v>0.55000000000000004</v>
      </c>
      <c r="V47" s="292">
        <v>0.55000000000000004</v>
      </c>
      <c r="W47" s="292">
        <v>0.55000000000000004</v>
      </c>
      <c r="X47" s="289">
        <v>5.4999999999999991</v>
      </c>
      <c r="Y47" s="289">
        <v>11.000000000000002</v>
      </c>
    </row>
    <row r="48" spans="2:25" customFormat="1" ht="16.5" hidden="1" thickBot="1" x14ac:dyDescent="0.3">
      <c r="B48" s="285"/>
      <c r="C48" s="290" t="s">
        <v>240</v>
      </c>
      <c r="D48" s="287">
        <v>0</v>
      </c>
      <c r="E48" s="287">
        <v>0</v>
      </c>
      <c r="F48" s="287">
        <v>0</v>
      </c>
      <c r="G48" s="287">
        <v>0</v>
      </c>
      <c r="H48" s="287">
        <v>0</v>
      </c>
      <c r="I48" s="287">
        <v>0</v>
      </c>
      <c r="J48" s="287">
        <v>0</v>
      </c>
      <c r="K48" s="287">
        <v>0</v>
      </c>
      <c r="L48" s="287">
        <v>0</v>
      </c>
      <c r="M48" s="287">
        <v>0</v>
      </c>
      <c r="N48" s="287">
        <v>0</v>
      </c>
      <c r="O48" s="287">
        <v>0</v>
      </c>
      <c r="P48" s="287">
        <v>0</v>
      </c>
      <c r="Q48" s="287">
        <v>43.769999999999996</v>
      </c>
      <c r="R48" s="287">
        <v>0</v>
      </c>
      <c r="S48" s="315">
        <v>0</v>
      </c>
      <c r="T48" s="287">
        <v>0</v>
      </c>
      <c r="U48" s="287">
        <v>0</v>
      </c>
      <c r="V48" s="287">
        <v>0</v>
      </c>
      <c r="W48" s="287">
        <v>0</v>
      </c>
      <c r="X48" s="284">
        <v>0</v>
      </c>
      <c r="Y48" s="284">
        <v>43.769999999999996</v>
      </c>
    </row>
    <row r="49" spans="2:25" customFormat="1" ht="16.5" hidden="1" thickBot="1" x14ac:dyDescent="0.3">
      <c r="B49" s="285"/>
      <c r="C49" s="290" t="s">
        <v>241</v>
      </c>
      <c r="D49" s="287">
        <v>0</v>
      </c>
      <c r="E49" s="287">
        <v>0</v>
      </c>
      <c r="F49" s="287">
        <v>0</v>
      </c>
      <c r="G49" s="287">
        <v>0</v>
      </c>
      <c r="H49" s="287">
        <v>0</v>
      </c>
      <c r="I49" s="287">
        <v>0</v>
      </c>
      <c r="J49" s="287">
        <v>0</v>
      </c>
      <c r="K49" s="287">
        <v>0</v>
      </c>
      <c r="L49" s="287">
        <v>0</v>
      </c>
      <c r="M49" s="287">
        <v>0</v>
      </c>
      <c r="N49" s="287">
        <v>0</v>
      </c>
      <c r="O49" s="287">
        <v>0</v>
      </c>
      <c r="P49" s="287">
        <v>2.78</v>
      </c>
      <c r="Q49" s="287">
        <v>0</v>
      </c>
      <c r="R49" s="287">
        <v>0</v>
      </c>
      <c r="S49" s="315">
        <v>0</v>
      </c>
      <c r="T49" s="287">
        <v>0</v>
      </c>
      <c r="U49" s="287">
        <v>0</v>
      </c>
      <c r="V49" s="287">
        <v>0</v>
      </c>
      <c r="W49" s="287">
        <v>0</v>
      </c>
      <c r="X49" s="284">
        <v>0</v>
      </c>
      <c r="Y49" s="284">
        <v>2.78</v>
      </c>
    </row>
    <row r="50" spans="2:25" customFormat="1" ht="16.5" hidden="1" thickBot="1" x14ac:dyDescent="0.3">
      <c r="B50" s="285"/>
      <c r="C50" s="290" t="s">
        <v>242</v>
      </c>
      <c r="D50" s="287">
        <v>0</v>
      </c>
      <c r="E50" s="287">
        <v>0</v>
      </c>
      <c r="F50" s="287">
        <v>0</v>
      </c>
      <c r="G50" s="287">
        <v>0</v>
      </c>
      <c r="H50" s="287">
        <v>0</v>
      </c>
      <c r="I50" s="287">
        <v>0</v>
      </c>
      <c r="J50" s="287">
        <v>0</v>
      </c>
      <c r="K50" s="287">
        <v>0</v>
      </c>
      <c r="L50" s="287">
        <v>0</v>
      </c>
      <c r="M50" s="287">
        <v>0</v>
      </c>
      <c r="N50" s="287">
        <v>0</v>
      </c>
      <c r="O50" s="287">
        <v>0</v>
      </c>
      <c r="P50" s="287">
        <v>0</v>
      </c>
      <c r="Q50" s="287">
        <v>4.46</v>
      </c>
      <c r="R50" s="287">
        <v>0</v>
      </c>
      <c r="S50" s="315">
        <v>0</v>
      </c>
      <c r="T50" s="287">
        <v>0</v>
      </c>
      <c r="U50" s="287">
        <v>0</v>
      </c>
      <c r="V50" s="287">
        <v>0</v>
      </c>
      <c r="W50" s="287">
        <v>0</v>
      </c>
      <c r="X50" s="284">
        <v>0</v>
      </c>
      <c r="Y50" s="284">
        <v>4.46</v>
      </c>
    </row>
    <row r="51" spans="2:25" customFormat="1" ht="16.5" hidden="1" thickBot="1" x14ac:dyDescent="0.3">
      <c r="B51" s="285"/>
      <c r="C51" s="290" t="s">
        <v>243</v>
      </c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0</v>
      </c>
      <c r="P51" s="287">
        <v>0.87</v>
      </c>
      <c r="Q51" s="287">
        <v>0</v>
      </c>
      <c r="R51" s="287">
        <v>0</v>
      </c>
      <c r="S51" s="315">
        <v>0</v>
      </c>
      <c r="T51" s="287">
        <v>0</v>
      </c>
      <c r="U51" s="287">
        <v>0</v>
      </c>
      <c r="V51" s="287">
        <v>0</v>
      </c>
      <c r="W51" s="287">
        <v>0</v>
      </c>
      <c r="X51" s="320">
        <v>0</v>
      </c>
      <c r="Y51" s="320">
        <v>0.87</v>
      </c>
    </row>
    <row r="52" spans="2:25" customFormat="1" ht="15.75" x14ac:dyDescent="0.25">
      <c r="B52" s="285"/>
      <c r="C52" s="286" t="s">
        <v>244</v>
      </c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3.65</v>
      </c>
      <c r="Q52" s="287">
        <v>48.23</v>
      </c>
      <c r="R52" s="287">
        <v>0</v>
      </c>
      <c r="S52" s="315">
        <v>0</v>
      </c>
      <c r="T52" s="287">
        <v>0</v>
      </c>
      <c r="U52" s="287">
        <v>0</v>
      </c>
      <c r="V52" s="287">
        <v>0</v>
      </c>
      <c r="W52" s="287">
        <v>0</v>
      </c>
      <c r="X52" s="284">
        <v>0</v>
      </c>
      <c r="Y52" s="284">
        <v>51.879999999999995</v>
      </c>
    </row>
    <row r="53" spans="2:25" customFormat="1" ht="16.5" hidden="1" thickBot="1" x14ac:dyDescent="0.3">
      <c r="B53" s="296"/>
      <c r="C53" s="290" t="s">
        <v>245</v>
      </c>
      <c r="D53" s="287">
        <v>0.94</v>
      </c>
      <c r="E53" s="287">
        <v>0.97</v>
      </c>
      <c r="F53" s="287">
        <v>1</v>
      </c>
      <c r="G53" s="287">
        <v>0.98000000000000009</v>
      </c>
      <c r="H53" s="287">
        <v>1.01</v>
      </c>
      <c r="I53" s="287">
        <v>0.87</v>
      </c>
      <c r="J53" s="287">
        <v>0.81000000000000016</v>
      </c>
      <c r="K53" s="287">
        <v>0.78000000000000014</v>
      </c>
      <c r="L53" s="287">
        <v>0.93</v>
      </c>
      <c r="M53" s="287">
        <v>0.96000000000000008</v>
      </c>
      <c r="N53" s="287">
        <v>0.76000000000000023</v>
      </c>
      <c r="O53" s="287">
        <v>0.76000000000000023</v>
      </c>
      <c r="P53" s="287">
        <v>0.76000000000000023</v>
      </c>
      <c r="Q53" s="287">
        <v>0.78</v>
      </c>
      <c r="R53" s="287">
        <v>0.82000000000000006</v>
      </c>
      <c r="S53" s="315">
        <v>0.74</v>
      </c>
      <c r="T53" s="287">
        <v>0.71</v>
      </c>
      <c r="U53" s="287">
        <v>0.71</v>
      </c>
      <c r="V53" s="287">
        <v>0.69</v>
      </c>
      <c r="W53" s="287">
        <v>0.74</v>
      </c>
      <c r="X53" s="287">
        <v>9.2500000000000018</v>
      </c>
      <c r="Y53" s="287">
        <v>16.720000000000002</v>
      </c>
    </row>
    <row r="54" spans="2:25" customFormat="1" ht="16.5" hidden="1" thickBot="1" x14ac:dyDescent="0.3">
      <c r="B54" s="285"/>
      <c r="C54" s="290" t="s">
        <v>246</v>
      </c>
      <c r="D54" s="287">
        <v>35.35</v>
      </c>
      <c r="E54" s="287">
        <v>40.340000000000003</v>
      </c>
      <c r="F54" s="287">
        <v>32.619999999999997</v>
      </c>
      <c r="G54" s="287">
        <v>31.91</v>
      </c>
      <c r="H54" s="287">
        <v>29.49</v>
      </c>
      <c r="I54" s="287">
        <v>26.05</v>
      </c>
      <c r="J54" s="287">
        <v>22.109999999999996</v>
      </c>
      <c r="K54" s="287">
        <v>18.850000000000001</v>
      </c>
      <c r="L54" s="287">
        <v>17.440000000000001</v>
      </c>
      <c r="M54" s="287">
        <v>17.34</v>
      </c>
      <c r="N54" s="287">
        <v>19.419999999999998</v>
      </c>
      <c r="O54" s="287">
        <v>19.220000000000002</v>
      </c>
      <c r="P54" s="287">
        <v>22.22</v>
      </c>
      <c r="Q54" s="287">
        <v>21.549999999999997</v>
      </c>
      <c r="R54" s="287">
        <v>17.330000000000002</v>
      </c>
      <c r="S54" s="315">
        <v>18.47</v>
      </c>
      <c r="T54" s="287">
        <v>18.850000000000001</v>
      </c>
      <c r="U54" s="287">
        <v>18.47</v>
      </c>
      <c r="V54" s="287">
        <v>18.850000000000001</v>
      </c>
      <c r="W54" s="287">
        <v>22.049999999999997</v>
      </c>
      <c r="X54" s="287">
        <v>271.5</v>
      </c>
      <c r="Y54" s="287">
        <v>467.93000000000012</v>
      </c>
    </row>
    <row r="55" spans="2:25" customFormat="1" ht="16.5" hidden="1" thickBot="1" x14ac:dyDescent="0.3">
      <c r="B55" s="285"/>
      <c r="C55" s="290" t="s">
        <v>247</v>
      </c>
      <c r="D55" s="287">
        <v>7.3000000000000007</v>
      </c>
      <c r="E55" s="287">
        <v>7.1499999999999995</v>
      </c>
      <c r="F55" s="287">
        <v>7.0200000000000005</v>
      </c>
      <c r="G55" s="287">
        <v>6.8800000000000008</v>
      </c>
      <c r="H55" s="287">
        <v>7.1000000000000005</v>
      </c>
      <c r="I55" s="287">
        <v>6.1900000000000013</v>
      </c>
      <c r="J55" s="287">
        <v>6.080000000000001</v>
      </c>
      <c r="K55" s="287">
        <v>5.9499999999999993</v>
      </c>
      <c r="L55" s="287">
        <v>6.01</v>
      </c>
      <c r="M55" s="287">
        <v>5.9899999999999993</v>
      </c>
      <c r="N55" s="287">
        <v>4.41</v>
      </c>
      <c r="O55" s="287">
        <v>4.3099999999999996</v>
      </c>
      <c r="P55" s="287">
        <v>4.07</v>
      </c>
      <c r="Q55" s="287">
        <v>4.1899999999999995</v>
      </c>
      <c r="R55" s="287">
        <v>4.0699999999999994</v>
      </c>
      <c r="S55" s="315">
        <v>3.2099999999999991</v>
      </c>
      <c r="T55" s="287">
        <v>3.1199999999999992</v>
      </c>
      <c r="U55" s="287">
        <v>2.9499999999999997</v>
      </c>
      <c r="V55" s="287">
        <v>2.9499999999999997</v>
      </c>
      <c r="W55" s="287">
        <v>2.8899999999999997</v>
      </c>
      <c r="X55" s="319">
        <v>65.67</v>
      </c>
      <c r="Y55" s="319">
        <v>101.84</v>
      </c>
    </row>
    <row r="56" spans="2:25" customFormat="1" ht="15.75" x14ac:dyDescent="0.25">
      <c r="B56" s="285"/>
      <c r="C56" s="286" t="s">
        <v>248</v>
      </c>
      <c r="D56" s="287">
        <v>43.59</v>
      </c>
      <c r="E56" s="287">
        <v>48.46</v>
      </c>
      <c r="F56" s="287">
        <v>40.64</v>
      </c>
      <c r="G56" s="287">
        <v>39.770000000000003</v>
      </c>
      <c r="H56" s="287">
        <v>37.6</v>
      </c>
      <c r="I56" s="287">
        <v>33.11</v>
      </c>
      <c r="J56" s="287">
        <v>28.999999999999996</v>
      </c>
      <c r="K56" s="287">
        <v>25.580000000000002</v>
      </c>
      <c r="L56" s="287">
        <v>24.380000000000003</v>
      </c>
      <c r="M56" s="287">
        <v>24.29</v>
      </c>
      <c r="N56" s="287">
        <v>24.59</v>
      </c>
      <c r="O56" s="287">
        <v>24.290000000000003</v>
      </c>
      <c r="P56" s="287">
        <v>27.05</v>
      </c>
      <c r="Q56" s="287">
        <v>26.519999999999996</v>
      </c>
      <c r="R56" s="287">
        <v>22.220000000000002</v>
      </c>
      <c r="S56" s="315">
        <v>22.419999999999995</v>
      </c>
      <c r="T56" s="287">
        <v>22.68</v>
      </c>
      <c r="U56" s="287">
        <v>22.13</v>
      </c>
      <c r="V56" s="287">
        <v>22.490000000000002</v>
      </c>
      <c r="W56" s="287">
        <v>25.679999999999996</v>
      </c>
      <c r="X56" s="284">
        <v>346.42</v>
      </c>
      <c r="Y56" s="284">
        <v>586.49</v>
      </c>
    </row>
    <row r="57" spans="2:25" customFormat="1" ht="15.75" hidden="1" x14ac:dyDescent="0.25">
      <c r="B57" s="296"/>
      <c r="C57" s="286" t="s">
        <v>249</v>
      </c>
      <c r="D57" s="293">
        <v>1.45</v>
      </c>
      <c r="E57" s="292">
        <v>1</v>
      </c>
      <c r="F57" s="292">
        <v>0</v>
      </c>
      <c r="G57" s="287">
        <v>0</v>
      </c>
      <c r="H57" s="287">
        <v>0</v>
      </c>
      <c r="I57" s="287">
        <v>0</v>
      </c>
      <c r="J57" s="287">
        <v>0</v>
      </c>
      <c r="K57" s="287">
        <v>0</v>
      </c>
      <c r="L57" s="287">
        <v>0</v>
      </c>
      <c r="M57" s="287">
        <v>0</v>
      </c>
      <c r="N57" s="287">
        <v>0</v>
      </c>
      <c r="O57" s="287">
        <v>0</v>
      </c>
      <c r="P57" s="287">
        <v>0</v>
      </c>
      <c r="Q57" s="287">
        <v>0</v>
      </c>
      <c r="R57" s="287">
        <v>0</v>
      </c>
      <c r="S57" s="315">
        <v>0</v>
      </c>
      <c r="T57" s="287">
        <v>0</v>
      </c>
      <c r="U57" s="287">
        <v>0</v>
      </c>
      <c r="V57" s="287">
        <v>0</v>
      </c>
      <c r="W57" s="287">
        <v>0</v>
      </c>
      <c r="X57" s="284">
        <v>2.4500000000000002</v>
      </c>
      <c r="Y57" s="284">
        <v>2.4500000000000002</v>
      </c>
    </row>
    <row r="58" spans="2:25" customFormat="1" ht="15.75" hidden="1" x14ac:dyDescent="0.25">
      <c r="B58" s="296"/>
      <c r="C58" s="286" t="s">
        <v>250</v>
      </c>
      <c r="D58" s="292">
        <v>1</v>
      </c>
      <c r="E58" s="292">
        <v>5</v>
      </c>
      <c r="F58" s="292">
        <v>1.7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318">
        <v>0</v>
      </c>
      <c r="T58" s="292">
        <v>0</v>
      </c>
      <c r="U58" s="292">
        <v>0</v>
      </c>
      <c r="V58" s="292">
        <v>0</v>
      </c>
      <c r="W58" s="292">
        <v>0</v>
      </c>
      <c r="X58" s="289">
        <v>7.7</v>
      </c>
      <c r="Y58" s="289">
        <v>7.7</v>
      </c>
    </row>
    <row r="59" spans="2:25" customFormat="1" ht="15.75" x14ac:dyDescent="0.25">
      <c r="B59" s="285"/>
      <c r="C59" s="286" t="s">
        <v>251</v>
      </c>
      <c r="D59" s="287">
        <v>0</v>
      </c>
      <c r="E59" s="287">
        <v>0</v>
      </c>
      <c r="F59" s="287">
        <v>0</v>
      </c>
      <c r="G59" s="287">
        <v>0</v>
      </c>
      <c r="H59" s="287">
        <v>0</v>
      </c>
      <c r="I59" s="287">
        <v>0</v>
      </c>
      <c r="J59" s="287">
        <v>0</v>
      </c>
      <c r="K59" s="287">
        <v>297</v>
      </c>
      <c r="L59" s="287">
        <v>297</v>
      </c>
      <c r="M59" s="287">
        <v>223</v>
      </c>
      <c r="N59" s="287">
        <v>297</v>
      </c>
      <c r="O59" s="287">
        <v>297</v>
      </c>
      <c r="P59" s="287">
        <v>297</v>
      </c>
      <c r="Q59" s="287">
        <v>297</v>
      </c>
      <c r="R59" s="287">
        <v>297</v>
      </c>
      <c r="S59" s="315">
        <v>297</v>
      </c>
      <c r="T59" s="287">
        <v>297</v>
      </c>
      <c r="U59" s="287">
        <v>297</v>
      </c>
      <c r="V59" s="287">
        <v>297</v>
      </c>
      <c r="W59" s="287">
        <v>297</v>
      </c>
      <c r="X59" s="284">
        <v>81.7</v>
      </c>
      <c r="Y59" s="284">
        <v>189.35</v>
      </c>
    </row>
    <row r="60" spans="2:25" customFormat="1" ht="15.75" x14ac:dyDescent="0.25">
      <c r="B60" s="285"/>
      <c r="C60" s="286" t="s">
        <v>252</v>
      </c>
      <c r="D60" s="287">
        <v>10</v>
      </c>
      <c r="E60" s="287">
        <v>100</v>
      </c>
      <c r="F60" s="287">
        <v>100</v>
      </c>
      <c r="G60" s="287">
        <v>100</v>
      </c>
      <c r="H60" s="287">
        <v>100</v>
      </c>
      <c r="I60" s="287">
        <v>100</v>
      </c>
      <c r="J60" s="287">
        <v>100</v>
      </c>
      <c r="K60" s="287">
        <v>100</v>
      </c>
      <c r="L60" s="287">
        <v>100</v>
      </c>
      <c r="M60" s="287">
        <v>100</v>
      </c>
      <c r="N60" s="287">
        <v>100</v>
      </c>
      <c r="O60" s="287">
        <v>100</v>
      </c>
      <c r="P60" s="287">
        <v>100</v>
      </c>
      <c r="Q60" s="287">
        <v>100</v>
      </c>
      <c r="R60" s="287">
        <v>100</v>
      </c>
      <c r="S60" s="315">
        <v>100</v>
      </c>
      <c r="T60" s="287">
        <v>100</v>
      </c>
      <c r="U60" s="287">
        <v>100</v>
      </c>
      <c r="V60" s="287">
        <v>100</v>
      </c>
      <c r="W60" s="287">
        <v>100</v>
      </c>
      <c r="X60" s="284">
        <v>91</v>
      </c>
      <c r="Y60" s="284">
        <v>95.5</v>
      </c>
    </row>
    <row r="61" spans="2:25" customFormat="1" ht="15.75" x14ac:dyDescent="0.25">
      <c r="B61" s="296"/>
      <c r="C61" s="286" t="s">
        <v>253</v>
      </c>
      <c r="D61" s="287">
        <v>245</v>
      </c>
      <c r="E61" s="287">
        <v>345</v>
      </c>
      <c r="F61" s="287">
        <v>400</v>
      </c>
      <c r="G61" s="287">
        <v>400</v>
      </c>
      <c r="H61" s="287">
        <v>400</v>
      </c>
      <c r="I61" s="287">
        <v>400</v>
      </c>
      <c r="J61" s="287">
        <v>400</v>
      </c>
      <c r="K61" s="287">
        <v>400</v>
      </c>
      <c r="L61" s="287">
        <v>400</v>
      </c>
      <c r="M61" s="287">
        <v>400</v>
      </c>
      <c r="N61" s="287">
        <v>400</v>
      </c>
      <c r="O61" s="287">
        <v>400</v>
      </c>
      <c r="P61" s="287">
        <v>400</v>
      </c>
      <c r="Q61" s="287">
        <v>400</v>
      </c>
      <c r="R61" s="287">
        <v>400</v>
      </c>
      <c r="S61" s="315">
        <v>400</v>
      </c>
      <c r="T61" s="287">
        <v>400</v>
      </c>
      <c r="U61" s="287">
        <v>400</v>
      </c>
      <c r="V61" s="287">
        <v>400</v>
      </c>
      <c r="W61" s="287">
        <v>400</v>
      </c>
      <c r="X61" s="284">
        <v>379</v>
      </c>
      <c r="Y61" s="284">
        <v>389.5</v>
      </c>
    </row>
    <row r="62" spans="2:25" customFormat="1" ht="15.75" x14ac:dyDescent="0.25">
      <c r="B62" s="297"/>
      <c r="C62" s="298" t="s">
        <v>254</v>
      </c>
      <c r="D62" s="287">
        <v>0</v>
      </c>
      <c r="E62" s="287">
        <v>0</v>
      </c>
      <c r="F62" s="287">
        <v>83</v>
      </c>
      <c r="G62" s="287">
        <v>201</v>
      </c>
      <c r="H62" s="287">
        <v>331</v>
      </c>
      <c r="I62" s="287">
        <v>375</v>
      </c>
      <c r="J62" s="287">
        <v>375</v>
      </c>
      <c r="K62" s="287">
        <v>375</v>
      </c>
      <c r="L62" s="287">
        <v>245</v>
      </c>
      <c r="M62" s="287">
        <v>375</v>
      </c>
      <c r="N62" s="287">
        <v>375</v>
      </c>
      <c r="O62" s="287">
        <v>375</v>
      </c>
      <c r="P62" s="287">
        <v>375</v>
      </c>
      <c r="Q62" s="287">
        <v>375</v>
      </c>
      <c r="R62" s="287">
        <v>375</v>
      </c>
      <c r="S62" s="315">
        <v>375</v>
      </c>
      <c r="T62" s="287">
        <v>375</v>
      </c>
      <c r="U62" s="287">
        <v>375</v>
      </c>
      <c r="V62" s="287">
        <v>174</v>
      </c>
      <c r="W62" s="287">
        <v>180</v>
      </c>
      <c r="X62" s="284">
        <v>236</v>
      </c>
      <c r="Y62" s="284">
        <v>285.7</v>
      </c>
    </row>
    <row r="63" spans="2:25" customFormat="1" ht="17.25" hidden="1" thickTop="1" thickBot="1" x14ac:dyDescent="0.3">
      <c r="B63" s="299"/>
      <c r="C63" s="300" t="s">
        <v>202</v>
      </c>
      <c r="D63" s="301">
        <v>0</v>
      </c>
      <c r="E63" s="301">
        <v>0</v>
      </c>
      <c r="F63" s="301">
        <v>-164.10000000000002</v>
      </c>
      <c r="G63" s="301">
        <v>0</v>
      </c>
      <c r="H63" s="301">
        <v>0</v>
      </c>
      <c r="I63" s="301">
        <v>0</v>
      </c>
      <c r="J63" s="301">
        <v>0</v>
      </c>
      <c r="K63" s="301">
        <v>0</v>
      </c>
      <c r="L63" s="301">
        <v>0</v>
      </c>
      <c r="M63" s="301">
        <v>0</v>
      </c>
      <c r="N63" s="301">
        <v>0</v>
      </c>
      <c r="O63" s="301">
        <v>0</v>
      </c>
      <c r="P63" s="301">
        <v>0</v>
      </c>
      <c r="Q63" s="301">
        <v>0</v>
      </c>
      <c r="R63" s="301">
        <v>0</v>
      </c>
      <c r="S63" s="321">
        <v>-760</v>
      </c>
      <c r="T63" s="321">
        <v>0</v>
      </c>
      <c r="U63" s="321">
        <v>-700.81</v>
      </c>
      <c r="V63" s="321">
        <v>-73.78</v>
      </c>
      <c r="W63" s="321">
        <v>0</v>
      </c>
      <c r="X63" s="322"/>
      <c r="Y63" s="322"/>
    </row>
    <row r="64" spans="2:25" customFormat="1" ht="16.5" hidden="1" thickTop="1" x14ac:dyDescent="0.25">
      <c r="B64" s="299"/>
      <c r="C64" s="302" t="s">
        <v>255</v>
      </c>
      <c r="D64" s="303">
        <v>136.49899999999997</v>
      </c>
      <c r="E64" s="303">
        <v>773.31500000000028</v>
      </c>
      <c r="F64" s="303">
        <v>115.16999999999999</v>
      </c>
      <c r="G64" s="303">
        <v>112.97500000000001</v>
      </c>
      <c r="H64" s="303">
        <v>112.76199999999996</v>
      </c>
      <c r="I64" s="303">
        <v>102.57399999999993</v>
      </c>
      <c r="J64" s="303">
        <v>96.435999999999908</v>
      </c>
      <c r="K64" s="303">
        <v>89.658999999999878</v>
      </c>
      <c r="L64" s="303">
        <v>90.449999999999903</v>
      </c>
      <c r="M64" s="303">
        <v>90.559999999999945</v>
      </c>
      <c r="N64" s="303">
        <v>80.370000000000061</v>
      </c>
      <c r="O64" s="303">
        <v>266.83999999999986</v>
      </c>
      <c r="P64" s="303">
        <v>383.13000000000005</v>
      </c>
      <c r="Q64" s="303">
        <v>202.34999999999985</v>
      </c>
      <c r="R64" s="303">
        <v>496.9</v>
      </c>
      <c r="S64" s="303">
        <v>906.17</v>
      </c>
      <c r="T64" s="303">
        <v>71.090000000000103</v>
      </c>
      <c r="U64" s="303">
        <v>1097.99</v>
      </c>
      <c r="V64" s="303">
        <v>488.80999999999995</v>
      </c>
      <c r="W64" s="303">
        <v>72.419999999999973</v>
      </c>
      <c r="X64" s="323"/>
      <c r="Y64" s="323"/>
    </row>
    <row r="65" spans="2:25" customFormat="1" ht="15.75" hidden="1" x14ac:dyDescent="0.25">
      <c r="B65" s="304"/>
      <c r="C65" s="305" t="s">
        <v>256</v>
      </c>
      <c r="D65" s="306">
        <v>255</v>
      </c>
      <c r="E65" s="306">
        <v>445</v>
      </c>
      <c r="F65" s="306">
        <v>583</v>
      </c>
      <c r="G65" s="306">
        <v>701</v>
      </c>
      <c r="H65" s="306">
        <v>831</v>
      </c>
      <c r="I65" s="306">
        <v>931</v>
      </c>
      <c r="J65" s="306">
        <v>1027</v>
      </c>
      <c r="K65" s="306">
        <v>1261</v>
      </c>
      <c r="L65" s="306">
        <v>1042</v>
      </c>
      <c r="M65" s="306">
        <v>1098</v>
      </c>
      <c r="N65" s="306">
        <v>1210</v>
      </c>
      <c r="O65" s="306">
        <v>1302</v>
      </c>
      <c r="P65" s="306">
        <v>1472</v>
      </c>
      <c r="Q65" s="306">
        <v>1472</v>
      </c>
      <c r="R65" s="306">
        <v>1277</v>
      </c>
      <c r="S65" s="306">
        <v>1366</v>
      </c>
      <c r="T65" s="306">
        <v>1472</v>
      </c>
      <c r="U65" s="306">
        <v>1301</v>
      </c>
      <c r="V65" s="306">
        <v>1138</v>
      </c>
      <c r="W65" s="306">
        <v>1277</v>
      </c>
      <c r="X65" s="323"/>
      <c r="Y65" s="323"/>
    </row>
    <row r="66" spans="2:25" customFormat="1" ht="15.75" hidden="1" x14ac:dyDescent="0.25">
      <c r="B66" s="304"/>
      <c r="C66" s="305" t="s">
        <v>257</v>
      </c>
      <c r="D66" s="306">
        <v>391.49899999999997</v>
      </c>
      <c r="E66" s="306">
        <v>1218.3150000000003</v>
      </c>
      <c r="F66" s="306">
        <v>698.17</v>
      </c>
      <c r="G66" s="306">
        <v>813.97500000000002</v>
      </c>
      <c r="H66" s="306">
        <v>943.76199999999994</v>
      </c>
      <c r="I66" s="306">
        <v>1033.5739999999998</v>
      </c>
      <c r="J66" s="306">
        <v>1123.4359999999999</v>
      </c>
      <c r="K66" s="306">
        <v>1350.6589999999999</v>
      </c>
      <c r="L66" s="306">
        <v>1132.4499999999998</v>
      </c>
      <c r="M66" s="306">
        <v>1188.56</v>
      </c>
      <c r="N66" s="306">
        <v>1290.3700000000001</v>
      </c>
      <c r="O66" s="306">
        <v>1568.84</v>
      </c>
      <c r="P66" s="306">
        <v>1855.13</v>
      </c>
      <c r="Q66" s="306">
        <v>1674.35</v>
      </c>
      <c r="R66" s="306">
        <v>1773.9</v>
      </c>
      <c r="S66" s="306">
        <v>2272.17</v>
      </c>
      <c r="T66" s="306">
        <v>1543.0900000000001</v>
      </c>
      <c r="U66" s="306">
        <v>2398.9899999999998</v>
      </c>
      <c r="V66" s="306">
        <v>1626.81</v>
      </c>
      <c r="W66" s="306">
        <v>1349.42</v>
      </c>
      <c r="X66" s="323"/>
      <c r="Y66" s="323"/>
    </row>
    <row r="67" spans="2:25" customFormat="1" ht="15.75" x14ac:dyDescent="0.25">
      <c r="B67" s="304"/>
      <c r="C67" s="307" t="s">
        <v>258</v>
      </c>
      <c r="D67" s="52"/>
      <c r="E67" s="52"/>
      <c r="F67" s="52"/>
      <c r="G67" s="52"/>
      <c r="H67" s="52"/>
      <c r="I67" s="52"/>
      <c r="J67" s="52"/>
      <c r="K67" s="225"/>
      <c r="L67" s="245"/>
      <c r="M67" s="245"/>
      <c r="N67" s="245"/>
      <c r="O67" s="225"/>
      <c r="P67" s="225"/>
      <c r="Q67" s="225"/>
      <c r="R67" s="245"/>
      <c r="S67" s="245"/>
      <c r="T67" s="245"/>
      <c r="U67" s="245"/>
      <c r="V67" s="324"/>
      <c r="W67" s="324"/>
      <c r="X67" s="323"/>
      <c r="Y67" s="323"/>
    </row>
    <row r="69" spans="2:25" x14ac:dyDescent="0.2">
      <c r="C69" s="245" t="s">
        <v>277</v>
      </c>
    </row>
  </sheetData>
  <conditionalFormatting sqref="B5:C5">
    <cfRule type="expression" dxfId="0" priority="1" stopIfTrue="1">
      <formula>ROUND($H$368,0)&lt;&gt;0</formula>
    </cfRule>
  </conditionalFormatting>
  <pageMargins left="0.7" right="0.7" top="0.75" bottom="0.75" header="0.3" footer="0.3"/>
  <pageSetup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5"/>
  <sheetViews>
    <sheetView view="pageBreakPreview" zoomScale="60" zoomScaleNormal="100" workbookViewId="0">
      <selection activeCell="O1" sqref="O1"/>
    </sheetView>
  </sheetViews>
  <sheetFormatPr defaultColWidth="8.83203125" defaultRowHeight="12.75" x14ac:dyDescent="0.2"/>
  <cols>
    <col min="1" max="1" width="2.1640625" style="56" customWidth="1"/>
    <col min="2" max="2" width="22" style="56" customWidth="1"/>
    <col min="3" max="6" width="16.33203125" style="56" customWidth="1"/>
    <col min="7" max="7" width="2.1640625" style="56" customWidth="1"/>
    <col min="8" max="8" width="10" style="56" customWidth="1"/>
    <col min="9" max="16384" width="8.83203125" style="56"/>
  </cols>
  <sheetData>
    <row r="1" spans="2:6" ht="15.75" x14ac:dyDescent="0.25">
      <c r="B1" s="24" t="s">
        <v>109</v>
      </c>
      <c r="C1" s="33"/>
      <c r="D1" s="33"/>
      <c r="E1" s="33"/>
      <c r="F1" s="33"/>
    </row>
    <row r="2" spans="2:6" ht="15.75" x14ac:dyDescent="0.25">
      <c r="B2" s="24" t="s">
        <v>115</v>
      </c>
      <c r="C2" s="33"/>
      <c r="D2" s="33"/>
      <c r="E2" s="33"/>
      <c r="F2" s="33"/>
    </row>
    <row r="3" spans="2:6" ht="15.75" x14ac:dyDescent="0.25">
      <c r="B3" s="24" t="s">
        <v>40</v>
      </c>
      <c r="C3" s="129"/>
      <c r="D3" s="129"/>
      <c r="E3" s="129"/>
      <c r="F3" s="129"/>
    </row>
    <row r="4" spans="2:6" ht="15.75" x14ac:dyDescent="0.25">
      <c r="B4" s="24"/>
      <c r="C4" s="129"/>
      <c r="D4" s="129"/>
      <c r="E4" s="129"/>
      <c r="F4" s="129"/>
    </row>
    <row r="5" spans="2:6" x14ac:dyDescent="0.2">
      <c r="B5" s="25"/>
      <c r="C5" s="35" t="s">
        <v>110</v>
      </c>
      <c r="D5" s="35"/>
      <c r="E5" s="35"/>
      <c r="F5" s="35"/>
    </row>
    <row r="6" spans="2:6" x14ac:dyDescent="0.2">
      <c r="B6" s="45" t="s">
        <v>2</v>
      </c>
      <c r="C6" s="35" t="s">
        <v>111</v>
      </c>
      <c r="D6" s="35"/>
      <c r="E6" s="35" t="s">
        <v>112</v>
      </c>
      <c r="F6" s="35"/>
    </row>
    <row r="7" spans="2:6" x14ac:dyDescent="0.2">
      <c r="B7" s="130"/>
      <c r="C7" s="35" t="s">
        <v>113</v>
      </c>
      <c r="D7" s="35" t="s">
        <v>114</v>
      </c>
      <c r="E7" s="35" t="s">
        <v>113</v>
      </c>
      <c r="F7" s="35" t="s">
        <v>114</v>
      </c>
    </row>
    <row r="8" spans="2:6" x14ac:dyDescent="0.2">
      <c r="C8" s="30" t="s">
        <v>22</v>
      </c>
      <c r="D8" s="30" t="s">
        <v>23</v>
      </c>
      <c r="E8" s="30" t="s">
        <v>24</v>
      </c>
      <c r="F8" s="30" t="s">
        <v>25</v>
      </c>
    </row>
    <row r="9" spans="2:6" x14ac:dyDescent="0.2">
      <c r="C9" s="131"/>
      <c r="D9" s="131"/>
      <c r="E9" s="131"/>
      <c r="F9" s="131"/>
    </row>
    <row r="10" spans="2:6" x14ac:dyDescent="0.2">
      <c r="B10" s="132">
        <f>'Tables 3 to 6'!$B$13</f>
        <v>2014</v>
      </c>
      <c r="C10" s="133">
        <v>41.38</v>
      </c>
      <c r="D10" s="133">
        <v>45.54</v>
      </c>
      <c r="E10" s="133">
        <v>28.96</v>
      </c>
      <c r="F10" s="133">
        <v>34.159999999999997</v>
      </c>
    </row>
    <row r="11" spans="2:6" x14ac:dyDescent="0.2">
      <c r="B11" s="132">
        <f>B10+1</f>
        <v>2015</v>
      </c>
      <c r="C11" s="133">
        <v>38.69</v>
      </c>
      <c r="D11" s="133">
        <v>40.75</v>
      </c>
      <c r="E11" s="133">
        <v>27.75</v>
      </c>
      <c r="F11" s="133">
        <v>30.13</v>
      </c>
    </row>
    <row r="12" spans="2:6" x14ac:dyDescent="0.2">
      <c r="B12" s="132">
        <f t="shared" ref="B12:B34" si="0">B11+1</f>
        <v>2016</v>
      </c>
      <c r="C12" s="133">
        <v>38.06</v>
      </c>
      <c r="D12" s="133">
        <v>40.5</v>
      </c>
      <c r="E12" s="133">
        <v>28.31</v>
      </c>
      <c r="F12" s="133">
        <v>30.13</v>
      </c>
    </row>
    <row r="13" spans="2:6" x14ac:dyDescent="0.2">
      <c r="B13" s="132">
        <f t="shared" si="0"/>
        <v>2017</v>
      </c>
      <c r="C13" s="133">
        <v>40.06</v>
      </c>
      <c r="D13" s="133">
        <v>42.5</v>
      </c>
      <c r="E13" s="133">
        <v>30.06</v>
      </c>
      <c r="F13" s="133">
        <v>31.88</v>
      </c>
    </row>
    <row r="14" spans="2:6" x14ac:dyDescent="0.2">
      <c r="B14" s="132">
        <f t="shared" si="0"/>
        <v>2018</v>
      </c>
      <c r="C14" s="133">
        <v>42.56</v>
      </c>
      <c r="D14" s="133">
        <v>45</v>
      </c>
      <c r="E14" s="133">
        <v>32.06</v>
      </c>
      <c r="F14" s="133">
        <v>33.880000000000003</v>
      </c>
    </row>
    <row r="15" spans="2:6" x14ac:dyDescent="0.2">
      <c r="B15" s="132">
        <f t="shared" si="0"/>
        <v>2019</v>
      </c>
      <c r="C15" s="133">
        <v>44.81</v>
      </c>
      <c r="D15" s="133">
        <v>47</v>
      </c>
      <c r="E15" s="133">
        <v>34.31</v>
      </c>
      <c r="F15" s="133">
        <v>35.880000000000003</v>
      </c>
    </row>
    <row r="16" spans="2:6" x14ac:dyDescent="0.2">
      <c r="B16" s="132">
        <f t="shared" si="0"/>
        <v>2020</v>
      </c>
      <c r="C16" s="133">
        <v>47.05</v>
      </c>
      <c r="D16" s="133">
        <v>48.91</v>
      </c>
      <c r="E16" s="133">
        <v>37.590000000000003</v>
      </c>
      <c r="F16" s="133">
        <v>40.36</v>
      </c>
    </row>
    <row r="17" spans="2:6" x14ac:dyDescent="0.2">
      <c r="B17" s="132">
        <f t="shared" si="0"/>
        <v>2021</v>
      </c>
      <c r="C17" s="133">
        <v>47.93</v>
      </c>
      <c r="D17" s="133">
        <v>49.46</v>
      </c>
      <c r="E17" s="133">
        <v>40.340000000000003</v>
      </c>
      <c r="F17" s="133">
        <v>45.07</v>
      </c>
    </row>
    <row r="18" spans="2:6" x14ac:dyDescent="0.2">
      <c r="B18" s="132">
        <f t="shared" si="0"/>
        <v>2022</v>
      </c>
      <c r="C18" s="133">
        <v>49.43</v>
      </c>
      <c r="D18" s="133">
        <v>50.71</v>
      </c>
      <c r="E18" s="133">
        <v>41.87</v>
      </c>
      <c r="F18" s="133">
        <v>47.21</v>
      </c>
    </row>
    <row r="19" spans="2:6" x14ac:dyDescent="0.2">
      <c r="B19" s="132">
        <f t="shared" si="0"/>
        <v>2023</v>
      </c>
      <c r="C19" s="133">
        <v>51.32</v>
      </c>
      <c r="D19" s="133">
        <v>52.34</v>
      </c>
      <c r="E19" s="133">
        <v>43.42</v>
      </c>
      <c r="F19" s="133">
        <v>48.89</v>
      </c>
    </row>
    <row r="20" spans="2:6" x14ac:dyDescent="0.2">
      <c r="B20" s="132">
        <f t="shared" si="0"/>
        <v>2024</v>
      </c>
      <c r="C20" s="133">
        <v>53.32</v>
      </c>
      <c r="D20" s="133">
        <v>54.36</v>
      </c>
      <c r="E20" s="133">
        <v>45.26</v>
      </c>
      <c r="F20" s="133">
        <v>50.66</v>
      </c>
    </row>
    <row r="21" spans="2:6" x14ac:dyDescent="0.2">
      <c r="B21" s="132">
        <f t="shared" si="0"/>
        <v>2025</v>
      </c>
      <c r="C21" s="133">
        <v>55</v>
      </c>
      <c r="D21" s="133">
        <v>55.74</v>
      </c>
      <c r="E21" s="133">
        <v>46.57</v>
      </c>
      <c r="F21" s="133">
        <v>51.79</v>
      </c>
    </row>
    <row r="22" spans="2:6" x14ac:dyDescent="0.2">
      <c r="B22" s="132">
        <f t="shared" si="0"/>
        <v>2026</v>
      </c>
      <c r="C22" s="133">
        <v>56.78</v>
      </c>
      <c r="D22" s="133">
        <v>57.47</v>
      </c>
      <c r="E22" s="133">
        <v>48.19</v>
      </c>
      <c r="F22" s="133">
        <v>53.64</v>
      </c>
    </row>
    <row r="23" spans="2:6" x14ac:dyDescent="0.2">
      <c r="B23" s="132">
        <f t="shared" si="0"/>
        <v>2027</v>
      </c>
      <c r="C23" s="133">
        <v>58.68</v>
      </c>
      <c r="D23" s="133">
        <v>59.93</v>
      </c>
      <c r="E23" s="133">
        <v>49.99</v>
      </c>
      <c r="F23" s="133">
        <v>55.76</v>
      </c>
    </row>
    <row r="24" spans="2:6" x14ac:dyDescent="0.2">
      <c r="B24" s="132">
        <f t="shared" si="0"/>
        <v>2028</v>
      </c>
      <c r="C24" s="133">
        <v>61.11</v>
      </c>
      <c r="D24" s="133">
        <v>61.87</v>
      </c>
      <c r="E24" s="133">
        <v>52.1</v>
      </c>
      <c r="F24" s="133">
        <v>57.56</v>
      </c>
    </row>
    <row r="25" spans="2:6" x14ac:dyDescent="0.2">
      <c r="B25" s="132">
        <f t="shared" si="0"/>
        <v>2029</v>
      </c>
      <c r="C25" s="133">
        <v>63.52</v>
      </c>
      <c r="D25" s="133">
        <v>64.540000000000006</v>
      </c>
      <c r="E25" s="133">
        <v>54.23</v>
      </c>
      <c r="F25" s="133">
        <v>60.01</v>
      </c>
    </row>
    <row r="26" spans="2:6" x14ac:dyDescent="0.2">
      <c r="B26" s="132">
        <f t="shared" si="0"/>
        <v>2030</v>
      </c>
      <c r="C26" s="133">
        <v>65.959999999999994</v>
      </c>
      <c r="D26" s="133">
        <v>67.150000000000006</v>
      </c>
      <c r="E26" s="133">
        <v>56.53</v>
      </c>
      <c r="F26" s="133">
        <v>62.34</v>
      </c>
    </row>
    <row r="27" spans="2:6" x14ac:dyDescent="0.2">
      <c r="B27" s="132">
        <f t="shared" si="0"/>
        <v>2031</v>
      </c>
      <c r="C27" s="133">
        <v>67.06</v>
      </c>
      <c r="D27" s="133">
        <v>68.48</v>
      </c>
      <c r="E27" s="133">
        <v>57.72</v>
      </c>
      <c r="F27" s="133">
        <v>63.49</v>
      </c>
    </row>
    <row r="28" spans="2:6" x14ac:dyDescent="0.2">
      <c r="B28" s="132">
        <f t="shared" si="0"/>
        <v>2032</v>
      </c>
      <c r="C28" s="133">
        <v>68.319999999999993</v>
      </c>
      <c r="D28" s="133">
        <v>69.739999999999995</v>
      </c>
      <c r="E28" s="133">
        <v>59.06</v>
      </c>
      <c r="F28" s="133">
        <v>64.819999999999993</v>
      </c>
    </row>
    <row r="29" spans="2:6" x14ac:dyDescent="0.2">
      <c r="B29" s="132">
        <f t="shared" si="0"/>
        <v>2033</v>
      </c>
      <c r="C29" s="133">
        <v>69.459999999999994</v>
      </c>
      <c r="D29" s="133">
        <v>71.31</v>
      </c>
      <c r="E29" s="133">
        <v>60.43</v>
      </c>
      <c r="F29" s="133">
        <v>66.17</v>
      </c>
    </row>
    <row r="30" spans="2:6" x14ac:dyDescent="0.2">
      <c r="B30" s="132">
        <f t="shared" si="0"/>
        <v>2034</v>
      </c>
      <c r="C30" s="133">
        <v>70.59</v>
      </c>
      <c r="D30" s="133">
        <v>72.64</v>
      </c>
      <c r="E30" s="133">
        <v>61.63</v>
      </c>
      <c r="F30" s="133">
        <v>67.260000000000005</v>
      </c>
    </row>
    <row r="31" spans="2:6" x14ac:dyDescent="0.2">
      <c r="B31" s="132">
        <f t="shared" si="0"/>
        <v>2035</v>
      </c>
      <c r="C31" s="133">
        <v>71.91</v>
      </c>
      <c r="D31" s="133">
        <v>74.33</v>
      </c>
      <c r="E31" s="133">
        <v>62.97</v>
      </c>
      <c r="F31" s="133">
        <v>68.709999999999994</v>
      </c>
    </row>
    <row r="32" spans="2:6" x14ac:dyDescent="0.2">
      <c r="B32" s="132">
        <f t="shared" si="0"/>
        <v>2036</v>
      </c>
      <c r="C32" s="133">
        <v>73.37</v>
      </c>
      <c r="D32" s="133">
        <v>76.13</v>
      </c>
      <c r="E32" s="133">
        <v>64.47</v>
      </c>
      <c r="F32" s="133">
        <v>70.180000000000007</v>
      </c>
    </row>
    <row r="33" spans="2:6" x14ac:dyDescent="0.2">
      <c r="B33" s="132">
        <f t="shared" si="0"/>
        <v>2037</v>
      </c>
      <c r="C33" s="133">
        <v>74.59</v>
      </c>
      <c r="D33" s="133">
        <v>77.510000000000005</v>
      </c>
      <c r="E33" s="133">
        <v>65.8</v>
      </c>
      <c r="F33" s="133">
        <v>71.430000000000007</v>
      </c>
    </row>
    <row r="34" spans="2:6" x14ac:dyDescent="0.2">
      <c r="B34" s="132">
        <f t="shared" si="0"/>
        <v>2038</v>
      </c>
      <c r="C34" s="133">
        <v>75.989999999999995</v>
      </c>
      <c r="D34" s="133">
        <v>79.03</v>
      </c>
      <c r="E34" s="133">
        <v>67.760000000000005</v>
      </c>
      <c r="F34" s="133">
        <v>73</v>
      </c>
    </row>
    <row r="36" spans="2:6" x14ac:dyDescent="0.2">
      <c r="B36" s="47" t="s">
        <v>101</v>
      </c>
    </row>
    <row r="37" spans="2:6" ht="25.5" customHeight="1" x14ac:dyDescent="0.2">
      <c r="B37" s="420" t="s">
        <v>284</v>
      </c>
      <c r="C37" s="420"/>
      <c r="D37" s="420"/>
      <c r="E37" s="420"/>
      <c r="F37" s="420"/>
    </row>
    <row r="40" spans="2:6" x14ac:dyDescent="0.2">
      <c r="B40" s="134"/>
    </row>
    <row r="41" spans="2:6" x14ac:dyDescent="0.2">
      <c r="B41" s="134"/>
    </row>
    <row r="55" ht="24.75" customHeight="1" x14ac:dyDescent="0.2"/>
  </sheetData>
  <mergeCells count="1">
    <mergeCell ref="B37:F37"/>
  </mergeCells>
  <pageMargins left="0.7" right="0.7" top="0.75" bottom="0.75" header="0.3" footer="0.3"/>
  <pageSetup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B1:R37"/>
  <sheetViews>
    <sheetView view="pageBreakPreview" zoomScale="60" zoomScaleNormal="100" workbookViewId="0">
      <selection activeCell="O1" sqref="O1"/>
    </sheetView>
  </sheetViews>
  <sheetFormatPr defaultRowHeight="12.75" x14ac:dyDescent="0.2"/>
  <cols>
    <col min="1" max="1" width="1.6640625" style="117" customWidth="1"/>
    <col min="2" max="2" width="11" style="117" customWidth="1"/>
    <col min="3" max="3" width="14.1640625" style="117" customWidth="1"/>
    <col min="4" max="4" width="1.6640625" style="117" customWidth="1"/>
    <col min="5" max="16" width="11" style="117" customWidth="1"/>
    <col min="17" max="17" width="1.33203125" style="117" customWidth="1"/>
    <col min="18" max="18" width="9.33203125" style="117" customWidth="1"/>
    <col min="19" max="16384" width="9.33203125" style="117"/>
  </cols>
  <sheetData>
    <row r="1" spans="2:16" s="56" customFormat="1" ht="15.75" x14ac:dyDescent="0.25">
      <c r="B1" s="79" t="s">
        <v>123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16" ht="15.75" x14ac:dyDescent="0.25">
      <c r="B2" s="79" t="s">
        <v>121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 x14ac:dyDescent="0.25">
      <c r="B3" s="79" t="s">
        <v>148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spans="2:16" x14ac:dyDescent="0.2">
      <c r="B5" s="81" t="s">
        <v>122</v>
      </c>
    </row>
    <row r="6" spans="2:16" x14ac:dyDescent="0.2">
      <c r="B6" s="82" t="s">
        <v>2</v>
      </c>
      <c r="C6" s="82" t="s">
        <v>82</v>
      </c>
      <c r="D6" s="118"/>
      <c r="E6" s="82" t="s">
        <v>48</v>
      </c>
      <c r="F6" s="82" t="s">
        <v>49</v>
      </c>
      <c r="G6" s="82" t="s">
        <v>50</v>
      </c>
      <c r="H6" s="82" t="s">
        <v>51</v>
      </c>
      <c r="I6" s="82" t="s">
        <v>52</v>
      </c>
      <c r="J6" s="82" t="s">
        <v>53</v>
      </c>
      <c r="K6" s="82" t="s">
        <v>54</v>
      </c>
      <c r="L6" s="82" t="s">
        <v>55</v>
      </c>
      <c r="M6" s="82" t="s">
        <v>56</v>
      </c>
      <c r="N6" s="82" t="s">
        <v>57</v>
      </c>
      <c r="O6" s="82" t="s">
        <v>58</v>
      </c>
      <c r="P6" s="82" t="s">
        <v>59</v>
      </c>
    </row>
    <row r="7" spans="2:16" x14ac:dyDescent="0.2">
      <c r="B7" s="83">
        <f>'Tables 3 to 6'!$B$13</f>
        <v>2014</v>
      </c>
      <c r="C7" s="119">
        <f>INDEX([1]Profile!$C$22:$P$35,MATCH($B7,[1]Profile!$B$22:$B$35,0),MATCH(C$6,[1]Profile!$C$22:$P$22,0))</f>
        <v>-12.974508724786801</v>
      </c>
      <c r="D7" s="120"/>
      <c r="E7" s="121"/>
      <c r="F7" s="122"/>
      <c r="G7" s="122"/>
      <c r="H7" s="122"/>
      <c r="I7" s="122"/>
      <c r="J7" s="122"/>
      <c r="K7" s="122">
        <f>INDEX([1]Profile!$C$22:$P$35,MATCH($B7,[1]Profile!$B$22:$B$35,0),MATCH(K$6,[1]Profile!$C$22:$P$22,0))</f>
        <v>-12.974508724786801</v>
      </c>
      <c r="L7" s="122">
        <f>INDEX([1]Profile!$C$22:$P$35,MATCH($B7,[1]Profile!$B$22:$B$35,0),MATCH(L$6,[1]Profile!$C$22:$P$22,0))</f>
        <v>-51.558689938914767</v>
      </c>
      <c r="M7" s="122">
        <f>INDEX([1]Profile!$C$22:$P$35,MATCH($B7,[1]Profile!$B$22:$B$35,0),MATCH(M$6,[1]Profile!$C$22:$P$22,0))</f>
        <v>205.06445301535518</v>
      </c>
      <c r="N7" s="122">
        <f>INDEX([1]Profile!$C$22:$P$35,MATCH($B7,[1]Profile!$B$22:$B$35,0),MATCH(N$6,[1]Profile!$C$22:$P$22,0))</f>
        <v>577.41620081536871</v>
      </c>
      <c r="O7" s="122">
        <f>INDEX([1]Profile!$C$22:$P$35,MATCH($B7,[1]Profile!$B$22:$B$35,0),MATCH(O$6,[1]Profile!$C$22:$P$22,0))</f>
        <v>1222.6162347043978</v>
      </c>
      <c r="P7" s="123">
        <f>INDEX([1]Profile!$C$22:$P$35,MATCH($B7,[1]Profile!$B$22:$B$35,0),MATCH(P$6,[1]Profile!$C$22:$P$22,0))</f>
        <v>1652.9633678895416</v>
      </c>
    </row>
    <row r="8" spans="2:16" x14ac:dyDescent="0.2">
      <c r="B8" s="84">
        <f t="shared" ref="B8:B20" si="0">B7+1</f>
        <v>2015</v>
      </c>
      <c r="C8" s="124">
        <f>INDEX([1]Profile!$C$22:$P$35,MATCH($B8,[1]Profile!$B$22:$B$35,0),MATCH(C$6,[1]Profile!$C$22:$P$22,0))</f>
        <v>-346.80136187951746</v>
      </c>
      <c r="D8" s="125"/>
      <c r="E8" s="126">
        <f>INDEX([1]Profile!$C$22:$P$35,MATCH($B8,[1]Profile!$B$22:$B$35,0),MATCH(E$6,[1]Profile!$C$22:$P$22,0))</f>
        <v>1870.820149252077</v>
      </c>
      <c r="F8" s="127">
        <f>INDEX([1]Profile!$C$22:$P$35,MATCH($B8,[1]Profile!$B$22:$B$35,0),MATCH(F$6,[1]Profile!$C$22:$P$22,0))</f>
        <v>1635.1626254853632</v>
      </c>
      <c r="G8" s="127">
        <f>INDEX([1]Profile!$C$22:$P$35,MATCH($B8,[1]Profile!$B$22:$B$35,0),MATCH(G$6,[1]Profile!$C$22:$P$22,0))</f>
        <v>-753.49854632231859</v>
      </c>
      <c r="H8" s="127">
        <f>INDEX([1]Profile!$C$22:$P$35,MATCH($B8,[1]Profile!$B$22:$B$35,0),MATCH(H$6,[1]Profile!$C$22:$P$22,0))</f>
        <v>-212.66498353527356</v>
      </c>
      <c r="I8" s="127">
        <f>INDEX([1]Profile!$C$22:$P$35,MATCH($B8,[1]Profile!$B$22:$B$35,0),MATCH(I$6,[1]Profile!$C$22:$P$22,0))</f>
        <v>-733.69376774099078</v>
      </c>
      <c r="J8" s="127">
        <f>INDEX([1]Profile!$C$22:$P$35,MATCH($B8,[1]Profile!$B$22:$B$35,0),MATCH(J$6,[1]Profile!$C$22:$P$22,0))</f>
        <v>-881.60455658101819</v>
      </c>
      <c r="K8" s="127">
        <f>INDEX([1]Profile!$C$22:$P$35,MATCH($B8,[1]Profile!$B$22:$B$35,0),MATCH(K$6,[1]Profile!$C$22:$P$22,0))</f>
        <v>-346.80136187951746</v>
      </c>
      <c r="L8" s="127">
        <f>INDEX([1]Profile!$C$22:$P$35,MATCH($B8,[1]Profile!$B$22:$B$35,0),MATCH(L$6,[1]Profile!$C$22:$P$22,0))</f>
        <v>-272.09879281138484</v>
      </c>
      <c r="M8" s="127">
        <f>INDEX([1]Profile!$C$22:$P$35,MATCH($B8,[1]Profile!$B$22:$B$35,0),MATCH(M$6,[1]Profile!$C$22:$P$22,0))</f>
        <v>255.38614712752747</v>
      </c>
      <c r="N8" s="127">
        <f>INDEX([1]Profile!$C$22:$P$35,MATCH($B8,[1]Profile!$B$22:$B$35,0),MATCH(N$6,[1]Profile!$C$22:$P$22,0))</f>
        <v>618.51206959294609</v>
      </c>
      <c r="O8" s="127">
        <f>INDEX([1]Profile!$C$22:$P$35,MATCH($B8,[1]Profile!$B$22:$B$35,0),MATCH(O$6,[1]Profile!$C$22:$P$22,0))</f>
        <v>1655.3471698745384</v>
      </c>
      <c r="P8" s="128">
        <f>INDEX([1]Profile!$C$22:$P$35,MATCH($B8,[1]Profile!$B$22:$B$35,0),MATCH(P$6,[1]Profile!$C$22:$P$22,0))</f>
        <v>1974.5595618652205</v>
      </c>
    </row>
    <row r="9" spans="2:16" x14ac:dyDescent="0.2">
      <c r="B9" s="84">
        <f t="shared" si="0"/>
        <v>2016</v>
      </c>
      <c r="C9" s="124">
        <f>INDEX([1]Profile!$C$22:$P$35,MATCH($B9,[1]Profile!$B$22:$B$35,0),MATCH(C$6,[1]Profile!$C$22:$P$22,0))</f>
        <v>-426.07310671642477</v>
      </c>
      <c r="D9" s="125"/>
      <c r="E9" s="126">
        <f>INDEX([1]Profile!$C$22:$P$35,MATCH($B9,[1]Profile!$B$22:$B$35,0),MATCH(E$6,[1]Profile!$C$22:$P$22,0))</f>
        <v>2065.2417583965398</v>
      </c>
      <c r="F9" s="127">
        <f>INDEX([1]Profile!$C$22:$P$35,MATCH($B9,[1]Profile!$B$22:$B$35,0),MATCH(F$6,[1]Profile!$C$22:$P$22,0))</f>
        <v>1853.1470638046837</v>
      </c>
      <c r="G9" s="127">
        <f>INDEX([1]Profile!$C$22:$P$35,MATCH($B9,[1]Profile!$B$22:$B$35,0),MATCH(G$6,[1]Profile!$C$22:$P$22,0))</f>
        <v>-925.289180224093</v>
      </c>
      <c r="H9" s="127">
        <f>INDEX([1]Profile!$C$22:$P$35,MATCH($B9,[1]Profile!$B$22:$B$35,0),MATCH(H$6,[1]Profile!$C$22:$P$22,0))</f>
        <v>-149.2697895436055</v>
      </c>
      <c r="I9" s="127">
        <f>INDEX([1]Profile!$C$22:$P$35,MATCH($B9,[1]Profile!$B$22:$B$35,0),MATCH(I$6,[1]Profile!$C$22:$P$22,0))</f>
        <v>-123.29907358614099</v>
      </c>
      <c r="J9" s="127">
        <f>INDEX([1]Profile!$C$22:$P$35,MATCH($B9,[1]Profile!$B$22:$B$35,0),MATCH(J$6,[1]Profile!$C$22:$P$22,0))</f>
        <v>-848.45789751727273</v>
      </c>
      <c r="K9" s="127">
        <f>INDEX([1]Profile!$C$22:$P$35,MATCH($B9,[1]Profile!$B$22:$B$35,0),MATCH(K$6,[1]Profile!$C$22:$P$22,0))</f>
        <v>-426.07310671642477</v>
      </c>
      <c r="L9" s="127">
        <f>INDEX([1]Profile!$C$22:$P$35,MATCH($B9,[1]Profile!$B$22:$B$35,0),MATCH(L$6,[1]Profile!$C$22:$P$22,0))</f>
        <v>-326.7896802605855</v>
      </c>
      <c r="M9" s="127">
        <f>INDEX([1]Profile!$C$22:$P$35,MATCH($B9,[1]Profile!$B$22:$B$35,0),MATCH(M$6,[1]Profile!$C$22:$P$22,0))</f>
        <v>136.23310558965289</v>
      </c>
      <c r="N9" s="127">
        <f>INDEX([1]Profile!$C$22:$P$35,MATCH($B9,[1]Profile!$B$22:$B$35,0),MATCH(N$6,[1]Profile!$C$22:$P$22,0))</f>
        <v>372.52012620568235</v>
      </c>
      <c r="O9" s="127">
        <f>INDEX([1]Profile!$C$22:$P$35,MATCH($B9,[1]Profile!$B$22:$B$35,0),MATCH(O$6,[1]Profile!$C$22:$P$22,0))</f>
        <v>1440.8054917350937</v>
      </c>
      <c r="P9" s="128">
        <f>INDEX([1]Profile!$C$22:$P$35,MATCH($B9,[1]Profile!$B$22:$B$35,0),MATCH(P$6,[1]Profile!$C$22:$P$22,0))</f>
        <v>1816.3934904691873</v>
      </c>
    </row>
    <row r="10" spans="2:16" x14ac:dyDescent="0.2">
      <c r="B10" s="84">
        <f t="shared" si="0"/>
        <v>2017</v>
      </c>
      <c r="C10" s="124">
        <f>INDEX([1]Profile!$C$22:$P$35,MATCH($B10,[1]Profile!$B$22:$B$35,0),MATCH(C$6,[1]Profile!$C$22:$P$22,0))</f>
        <v>-488.96348407154727</v>
      </c>
      <c r="D10" s="125"/>
      <c r="E10" s="126">
        <f>INDEX([1]Profile!$C$22:$P$35,MATCH($B10,[1]Profile!$B$22:$B$35,0),MATCH(E$6,[1]Profile!$C$22:$P$22,0))</f>
        <v>1987.5467879289845</v>
      </c>
      <c r="F10" s="127">
        <f>INDEX([1]Profile!$C$22:$P$35,MATCH($B10,[1]Profile!$B$22:$B$35,0),MATCH(F$6,[1]Profile!$C$22:$P$22,0))</f>
        <v>2193.9353072038366</v>
      </c>
      <c r="G10" s="127">
        <f>INDEX([1]Profile!$C$22:$P$35,MATCH($B10,[1]Profile!$B$22:$B$35,0),MATCH(G$6,[1]Profile!$C$22:$P$22,0))</f>
        <v>-1008.0256133040452</v>
      </c>
      <c r="H10" s="127">
        <f>INDEX([1]Profile!$C$22:$P$35,MATCH($B10,[1]Profile!$B$22:$B$35,0),MATCH(H$6,[1]Profile!$C$22:$P$22,0))</f>
        <v>213.27374518868191</v>
      </c>
      <c r="I10" s="127">
        <f>INDEX([1]Profile!$C$22:$P$35,MATCH($B10,[1]Profile!$B$22:$B$35,0),MATCH(I$6,[1]Profile!$C$22:$P$22,0))</f>
        <v>-166.67899845001813</v>
      </c>
      <c r="J10" s="127">
        <f>INDEX([1]Profile!$C$22:$P$35,MATCH($B10,[1]Profile!$B$22:$B$35,0),MATCH(J$6,[1]Profile!$C$22:$P$22,0))</f>
        <v>-810.94279772446373</v>
      </c>
      <c r="K10" s="127">
        <f>INDEX([1]Profile!$C$22:$P$35,MATCH($B10,[1]Profile!$B$22:$B$35,0),MATCH(K$6,[1]Profile!$C$22:$P$22,0))</f>
        <v>-488.96348407154727</v>
      </c>
      <c r="L10" s="127">
        <f>INDEX([1]Profile!$C$22:$P$35,MATCH($B10,[1]Profile!$B$22:$B$35,0),MATCH(L$6,[1]Profile!$C$22:$P$22,0))</f>
        <v>-406.14715680080451</v>
      </c>
      <c r="M10" s="127">
        <f>INDEX([1]Profile!$C$22:$P$35,MATCH($B10,[1]Profile!$B$22:$B$35,0),MATCH(M$6,[1]Profile!$C$22:$P$22,0))</f>
        <v>-527.72646024406845</v>
      </c>
      <c r="N10" s="127">
        <f>INDEX([1]Profile!$C$22:$P$35,MATCH($B10,[1]Profile!$B$22:$B$35,0),MATCH(N$6,[1]Profile!$C$22:$P$22,0))</f>
        <v>369.4845970143611</v>
      </c>
      <c r="O10" s="127">
        <f>INDEX([1]Profile!$C$22:$P$35,MATCH($B10,[1]Profile!$B$22:$B$35,0),MATCH(O$6,[1]Profile!$C$22:$P$22,0))</f>
        <v>1385.9724031277292</v>
      </c>
      <c r="P10" s="128">
        <f>INDEX([1]Profile!$C$22:$P$35,MATCH($B10,[1]Profile!$B$22:$B$35,0),MATCH(P$6,[1]Profile!$C$22:$P$22,0))</f>
        <v>1754.4323864283945</v>
      </c>
    </row>
    <row r="11" spans="2:16" x14ac:dyDescent="0.2">
      <c r="B11" s="84">
        <f t="shared" si="0"/>
        <v>2018</v>
      </c>
      <c r="C11" s="124">
        <f>INDEX([1]Profile!$C$22:$P$35,MATCH($B11,[1]Profile!$B$22:$B$35,0),MATCH(C$6,[1]Profile!$C$22:$P$22,0))</f>
        <v>-576.63063225949668</v>
      </c>
      <c r="D11" s="125"/>
      <c r="E11" s="126">
        <f>INDEX([1]Profile!$C$22:$P$35,MATCH($B11,[1]Profile!$B$22:$B$35,0),MATCH(E$6,[1]Profile!$C$22:$P$22,0))</f>
        <v>1928.4803618129986</v>
      </c>
      <c r="F11" s="127">
        <f>INDEX([1]Profile!$C$22:$P$35,MATCH($B11,[1]Profile!$B$22:$B$35,0),MATCH(F$6,[1]Profile!$C$22:$P$22,0))</f>
        <v>2078.6824925305218</v>
      </c>
      <c r="G11" s="127">
        <f>INDEX([1]Profile!$C$22:$P$35,MATCH($B11,[1]Profile!$B$22:$B$35,0),MATCH(G$6,[1]Profile!$C$22:$P$22,0))</f>
        <v>-787.42778992033504</v>
      </c>
      <c r="H11" s="127">
        <f>INDEX([1]Profile!$C$22:$P$35,MATCH($B11,[1]Profile!$B$22:$B$35,0),MATCH(H$6,[1]Profile!$C$22:$P$22,0))</f>
        <v>-402.35172194156712</v>
      </c>
      <c r="I11" s="127">
        <f>INDEX([1]Profile!$C$22:$P$35,MATCH($B11,[1]Profile!$B$22:$B$35,0),MATCH(I$6,[1]Profile!$C$22:$P$22,0))</f>
        <v>-875.00280189791579</v>
      </c>
      <c r="J11" s="127">
        <f>INDEX([1]Profile!$C$22:$P$35,MATCH($B11,[1]Profile!$B$22:$B$35,0),MATCH(J$6,[1]Profile!$C$22:$P$22,0))</f>
        <v>-954.75580603593539</v>
      </c>
      <c r="K11" s="127">
        <f>INDEX([1]Profile!$C$22:$P$35,MATCH($B11,[1]Profile!$B$22:$B$35,0),MATCH(K$6,[1]Profile!$C$22:$P$22,0))</f>
        <v>-576.63063225949668</v>
      </c>
      <c r="L11" s="127">
        <f>INDEX([1]Profile!$C$22:$P$35,MATCH($B11,[1]Profile!$B$22:$B$35,0),MATCH(L$6,[1]Profile!$C$22:$P$22,0))</f>
        <v>-452.94441624204109</v>
      </c>
      <c r="M11" s="127">
        <f>INDEX([1]Profile!$C$22:$P$35,MATCH($B11,[1]Profile!$B$22:$B$35,0),MATCH(M$6,[1]Profile!$C$22:$P$22,0))</f>
        <v>-112.14274173848321</v>
      </c>
      <c r="N11" s="127">
        <f>INDEX([1]Profile!$C$22:$P$35,MATCH($B11,[1]Profile!$B$22:$B$35,0),MATCH(N$6,[1]Profile!$C$22:$P$22,0))</f>
        <v>732.22952161979197</v>
      </c>
      <c r="O11" s="127">
        <f>INDEX([1]Profile!$C$22:$P$35,MATCH($B11,[1]Profile!$B$22:$B$35,0),MATCH(O$6,[1]Profile!$C$22:$P$22,0))</f>
        <v>1190.2156947044921</v>
      </c>
      <c r="P11" s="128">
        <f>INDEX([1]Profile!$C$22:$P$35,MATCH($B11,[1]Profile!$B$22:$B$35,0),MATCH(P$6,[1]Profile!$C$22:$P$22,0))</f>
        <v>1614.9790141619667</v>
      </c>
    </row>
    <row r="12" spans="2:16" x14ac:dyDescent="0.2">
      <c r="B12" s="84">
        <f t="shared" si="0"/>
        <v>2019</v>
      </c>
      <c r="C12" s="124">
        <f>INDEX([1]Profile!$C$22:$P$35,MATCH($B12,[1]Profile!$B$22:$B$35,0),MATCH(C$6,[1]Profile!$C$22:$P$22,0))</f>
        <v>-687.31638770250561</v>
      </c>
      <c r="D12" s="125"/>
      <c r="E12" s="126">
        <f>INDEX([1]Profile!$C$22:$P$35,MATCH($B12,[1]Profile!$B$22:$B$35,0),MATCH(E$6,[1]Profile!$C$22:$P$22,0))</f>
        <v>1838.5977319730791</v>
      </c>
      <c r="F12" s="127">
        <f>INDEX([1]Profile!$C$22:$P$35,MATCH($B12,[1]Profile!$B$22:$B$35,0),MATCH(F$6,[1]Profile!$C$22:$P$22,0))</f>
        <v>2033.494224965576</v>
      </c>
      <c r="G12" s="127">
        <f>INDEX([1]Profile!$C$22:$P$35,MATCH($B12,[1]Profile!$B$22:$B$35,0),MATCH(G$6,[1]Profile!$C$22:$P$22,0))</f>
        <v>-893.3919168487671</v>
      </c>
      <c r="H12" s="127">
        <f>INDEX([1]Profile!$C$22:$P$35,MATCH($B12,[1]Profile!$B$22:$B$35,0),MATCH(H$6,[1]Profile!$C$22:$P$22,0))</f>
        <v>-513.73906919291267</v>
      </c>
      <c r="I12" s="127">
        <f>INDEX([1]Profile!$C$22:$P$35,MATCH($B12,[1]Profile!$B$22:$B$35,0),MATCH(I$6,[1]Profile!$C$22:$P$22,0))</f>
        <v>-989.24703227524003</v>
      </c>
      <c r="J12" s="127">
        <f>INDEX([1]Profile!$C$22:$P$35,MATCH($B12,[1]Profile!$B$22:$B$35,0),MATCH(J$6,[1]Profile!$C$22:$P$22,0))</f>
        <v>-1049.5156586482385</v>
      </c>
      <c r="K12" s="127">
        <f>INDEX([1]Profile!$C$22:$P$35,MATCH($B12,[1]Profile!$B$22:$B$35,0),MATCH(K$6,[1]Profile!$C$22:$P$22,0))</f>
        <v>-687.31638770250561</v>
      </c>
      <c r="L12" s="127">
        <f>INDEX([1]Profile!$C$22:$P$35,MATCH($B12,[1]Profile!$B$22:$B$35,0),MATCH(L$6,[1]Profile!$C$22:$P$22,0))</f>
        <v>-615.82356881537191</v>
      </c>
      <c r="M12" s="127">
        <f>INDEX([1]Profile!$C$22:$P$35,MATCH($B12,[1]Profile!$B$22:$B$35,0),MATCH(M$6,[1]Profile!$C$22:$P$22,0))</f>
        <v>-217.42791584179179</v>
      </c>
      <c r="N12" s="127">
        <f>INDEX([1]Profile!$C$22:$P$35,MATCH($B12,[1]Profile!$B$22:$B$35,0),MATCH(N$6,[1]Profile!$C$22:$P$22,0))</f>
        <v>617.31217924279849</v>
      </c>
      <c r="O12" s="127">
        <f>INDEX([1]Profile!$C$22:$P$35,MATCH($B12,[1]Profile!$B$22:$B$35,0),MATCH(O$6,[1]Profile!$C$22:$P$22,0))</f>
        <v>1182.5842217971672</v>
      </c>
      <c r="P12" s="128">
        <f>INDEX([1]Profile!$C$22:$P$35,MATCH($B12,[1]Profile!$B$22:$B$35,0),MATCH(P$6,[1]Profile!$C$22:$P$22,0))</f>
        <v>1595.5054299429248</v>
      </c>
    </row>
    <row r="13" spans="2:16" x14ac:dyDescent="0.2">
      <c r="B13" s="84">
        <f t="shared" si="0"/>
        <v>2020</v>
      </c>
      <c r="C13" s="124">
        <f>INDEX([1]Profile!$C$22:$P$35,MATCH($B13,[1]Profile!$B$22:$B$35,0),MATCH(C$6,[1]Profile!$C$22:$P$22,0))</f>
        <v>-895.05505800885226</v>
      </c>
      <c r="D13" s="125"/>
      <c r="E13" s="126">
        <f>INDEX([1]Profile!$C$22:$P$35,MATCH($B13,[1]Profile!$B$22:$B$35,0),MATCH(E$6,[1]Profile!$C$22:$P$22,0))</f>
        <v>1680.4083911103005</v>
      </c>
      <c r="F13" s="127">
        <f>INDEX([1]Profile!$C$22:$P$35,MATCH($B13,[1]Profile!$B$22:$B$35,0),MATCH(F$6,[1]Profile!$C$22:$P$22,0))</f>
        <v>1943.7873580472128</v>
      </c>
      <c r="G13" s="127">
        <f>INDEX([1]Profile!$C$22:$P$35,MATCH($B13,[1]Profile!$B$22:$B$35,0),MATCH(G$6,[1]Profile!$C$22:$P$22,0))</f>
        <v>-1166.0930331315051</v>
      </c>
      <c r="H13" s="127">
        <f>INDEX([1]Profile!$C$22:$P$35,MATCH($B13,[1]Profile!$B$22:$B$35,0),MATCH(H$6,[1]Profile!$C$22:$P$22,0))</f>
        <v>-383.07336879938532</v>
      </c>
      <c r="I13" s="127">
        <f>INDEX([1]Profile!$C$22:$P$35,MATCH($B13,[1]Profile!$B$22:$B$35,0),MATCH(I$6,[1]Profile!$C$22:$P$22,0))</f>
        <v>-758.12362530887299</v>
      </c>
      <c r="J13" s="127">
        <f>INDEX([1]Profile!$C$22:$P$35,MATCH($B13,[1]Profile!$B$22:$B$35,0),MATCH(J$6,[1]Profile!$C$22:$P$22,0))</f>
        <v>-1263.9801109151558</v>
      </c>
      <c r="K13" s="127">
        <f>INDEX([1]Profile!$C$22:$P$35,MATCH($B13,[1]Profile!$B$22:$B$35,0),MATCH(K$6,[1]Profile!$C$22:$P$22,0))</f>
        <v>-895.05505800885226</v>
      </c>
      <c r="L13" s="127">
        <f>INDEX([1]Profile!$C$22:$P$35,MATCH($B13,[1]Profile!$B$22:$B$35,0),MATCH(L$6,[1]Profile!$C$22:$P$22,0))</f>
        <v>-842.95053063206319</v>
      </c>
      <c r="M13" s="127">
        <f>INDEX([1]Profile!$C$22:$P$35,MATCH($B13,[1]Profile!$B$22:$B$35,0),MATCH(M$6,[1]Profile!$C$22:$P$22,0))</f>
        <v>-299.00950878719311</v>
      </c>
      <c r="N13" s="127">
        <f>INDEX([1]Profile!$C$22:$P$35,MATCH($B13,[1]Profile!$B$22:$B$35,0),MATCH(N$6,[1]Profile!$C$22:$P$22,0))</f>
        <v>186.98748758732671</v>
      </c>
      <c r="O13" s="127">
        <f>INDEX([1]Profile!$C$22:$P$35,MATCH($B13,[1]Profile!$B$22:$B$35,0),MATCH(O$6,[1]Profile!$C$22:$P$22,0))</f>
        <v>1205.045643649257</v>
      </c>
      <c r="P13" s="128">
        <f>INDEX([1]Profile!$C$22:$P$35,MATCH($B13,[1]Profile!$B$22:$B$35,0),MATCH(P$6,[1]Profile!$C$22:$P$22,0))</f>
        <v>1509.752439013514</v>
      </c>
    </row>
    <row r="14" spans="2:16" x14ac:dyDescent="0.2">
      <c r="B14" s="84">
        <f t="shared" si="0"/>
        <v>2021</v>
      </c>
      <c r="C14" s="124">
        <f>INDEX([1]Profile!$C$22:$P$35,MATCH($B14,[1]Profile!$B$22:$B$35,0),MATCH(C$6,[1]Profile!$C$22:$P$22,0))</f>
        <v>-694.56808507671212</v>
      </c>
      <c r="D14" s="125"/>
      <c r="E14" s="126">
        <f>INDEX([1]Profile!$C$22:$P$35,MATCH($B14,[1]Profile!$B$22:$B$35,0),MATCH(E$6,[1]Profile!$C$22:$P$22,0))</f>
        <v>1441.2567689298282</v>
      </c>
      <c r="F14" s="127">
        <f>INDEX([1]Profile!$C$22:$P$35,MATCH($B14,[1]Profile!$B$22:$B$35,0),MATCH(F$6,[1]Profile!$C$22:$P$22,0))</f>
        <v>1665.6086817392991</v>
      </c>
      <c r="G14" s="127">
        <f>INDEX([1]Profile!$C$22:$P$35,MATCH($B14,[1]Profile!$B$22:$B$35,0),MATCH(G$6,[1]Profile!$C$22:$P$22,0))</f>
        <v>-1387.9365133263573</v>
      </c>
      <c r="H14" s="127">
        <f>INDEX([1]Profile!$C$22:$P$35,MATCH($B14,[1]Profile!$B$22:$B$35,0),MATCH(H$6,[1]Profile!$C$22:$P$22,0))</f>
        <v>-649.91972747254135</v>
      </c>
      <c r="I14" s="127">
        <f>INDEX([1]Profile!$C$22:$P$35,MATCH($B14,[1]Profile!$B$22:$B$35,0),MATCH(I$6,[1]Profile!$C$22:$P$22,0))</f>
        <v>-218.33034116511067</v>
      </c>
      <c r="J14" s="127">
        <f>INDEX([1]Profile!$C$22:$P$35,MATCH($B14,[1]Profile!$B$22:$B$35,0),MATCH(J$6,[1]Profile!$C$22:$P$22,0))</f>
        <v>-1112.0027752878489</v>
      </c>
      <c r="K14" s="127">
        <f>INDEX([1]Profile!$C$22:$P$35,MATCH($B14,[1]Profile!$B$22:$B$35,0),MATCH(K$6,[1]Profile!$C$22:$P$22,0))</f>
        <v>-694.56808507671212</v>
      </c>
      <c r="L14" s="127">
        <f>INDEX([1]Profile!$C$22:$P$35,MATCH($B14,[1]Profile!$B$22:$B$35,0),MATCH(L$6,[1]Profile!$C$22:$P$22,0))</f>
        <v>-664.95481492836257</v>
      </c>
      <c r="M14" s="127">
        <f>INDEX([1]Profile!$C$22:$P$35,MATCH($B14,[1]Profile!$B$22:$B$35,0),MATCH(M$6,[1]Profile!$C$22:$P$22,0))</f>
        <v>-109.14013644646786</v>
      </c>
      <c r="N14" s="127">
        <f>INDEX([1]Profile!$C$22:$P$35,MATCH($B14,[1]Profile!$B$22:$B$35,0),MATCH(N$6,[1]Profile!$C$22:$P$22,0))</f>
        <v>-572.61671188244532</v>
      </c>
      <c r="O14" s="127">
        <f>INDEX([1]Profile!$C$22:$P$35,MATCH($B14,[1]Profile!$B$22:$B$35,0),MATCH(O$6,[1]Profile!$C$22:$P$22,0))</f>
        <v>396.58906508409871</v>
      </c>
      <c r="P14" s="128">
        <f>INDEX([1]Profile!$C$22:$P$35,MATCH($B14,[1]Profile!$B$22:$B$35,0),MATCH(P$6,[1]Profile!$C$22:$P$22,0))</f>
        <v>738.46150147560127</v>
      </c>
    </row>
    <row r="15" spans="2:16" x14ac:dyDescent="0.2">
      <c r="B15" s="84">
        <f t="shared" si="0"/>
        <v>2022</v>
      </c>
      <c r="C15" s="124">
        <f>INDEX([1]Profile!$C$22:$P$35,MATCH($B15,[1]Profile!$B$22:$B$35,0),MATCH(C$6,[1]Profile!$C$22:$P$22,0))</f>
        <v>-810.57498433074215</v>
      </c>
      <c r="D15" s="125"/>
      <c r="E15" s="126">
        <f>INDEX([1]Profile!$C$22:$P$35,MATCH($B15,[1]Profile!$B$22:$B$35,0),MATCH(E$6,[1]Profile!$C$22:$P$22,0))</f>
        <v>817.84663314212207</v>
      </c>
      <c r="F15" s="127">
        <f>INDEX([1]Profile!$C$22:$P$35,MATCH($B15,[1]Profile!$B$22:$B$35,0),MATCH(F$6,[1]Profile!$C$22:$P$22,0))</f>
        <v>1092.7298915431215</v>
      </c>
      <c r="G15" s="127">
        <f>INDEX([1]Profile!$C$22:$P$35,MATCH($B15,[1]Profile!$B$22:$B$35,0),MATCH(G$6,[1]Profile!$C$22:$P$22,0))</f>
        <v>-1569.1989656828498</v>
      </c>
      <c r="H15" s="127">
        <f>INDEX([1]Profile!$C$22:$P$35,MATCH($B15,[1]Profile!$B$22:$B$35,0),MATCH(H$6,[1]Profile!$C$22:$P$22,0))</f>
        <v>-742.42457277057304</v>
      </c>
      <c r="I15" s="127">
        <f>INDEX([1]Profile!$C$22:$P$35,MATCH($B15,[1]Profile!$B$22:$B$35,0),MATCH(I$6,[1]Profile!$C$22:$P$22,0))</f>
        <v>-235.29737274475661</v>
      </c>
      <c r="J15" s="127">
        <f>INDEX([1]Profile!$C$22:$P$35,MATCH($B15,[1]Profile!$B$22:$B$35,0),MATCH(J$6,[1]Profile!$C$22:$P$22,0))</f>
        <v>-1185.7842575623695</v>
      </c>
      <c r="K15" s="127">
        <f>INDEX([1]Profile!$C$22:$P$35,MATCH($B15,[1]Profile!$B$22:$B$35,0),MATCH(K$6,[1]Profile!$C$22:$P$22,0))</f>
        <v>-810.57498433074215</v>
      </c>
      <c r="L15" s="127">
        <f>INDEX([1]Profile!$C$22:$P$35,MATCH($B15,[1]Profile!$B$22:$B$35,0),MATCH(L$6,[1]Profile!$C$22:$P$22,0))</f>
        <v>-716.94622855237571</v>
      </c>
      <c r="M15" s="127">
        <f>INDEX([1]Profile!$C$22:$P$35,MATCH($B15,[1]Profile!$B$22:$B$35,0),MATCH(M$6,[1]Profile!$C$22:$P$22,0))</f>
        <v>-260.70312796338715</v>
      </c>
      <c r="N15" s="127">
        <f>INDEX([1]Profile!$C$22:$P$35,MATCH($B15,[1]Profile!$B$22:$B$35,0),MATCH(N$6,[1]Profile!$C$22:$P$22,0))</f>
        <v>-813.61467141445905</v>
      </c>
      <c r="O15" s="127">
        <f>INDEX([1]Profile!$C$22:$P$35,MATCH($B15,[1]Profile!$B$22:$B$35,0),MATCH(O$6,[1]Profile!$C$22:$P$22,0))</f>
        <v>318.09964086294588</v>
      </c>
      <c r="P15" s="128">
        <f>INDEX([1]Profile!$C$22:$P$35,MATCH($B15,[1]Profile!$B$22:$B$35,0),MATCH(P$6,[1]Profile!$C$22:$P$22,0))</f>
        <v>633.82385326104111</v>
      </c>
    </row>
    <row r="16" spans="2:16" x14ac:dyDescent="0.2">
      <c r="B16" s="84">
        <f t="shared" si="0"/>
        <v>2023</v>
      </c>
      <c r="C16" s="124">
        <f>INDEX([1]Profile!$C$22:$P$35,MATCH($B16,[1]Profile!$B$22:$B$35,0),MATCH(C$6,[1]Profile!$C$22:$P$22,0))</f>
        <v>-810.57498433074215</v>
      </c>
      <c r="D16" s="125"/>
      <c r="E16" s="126">
        <f>INDEX([1]Profile!$C$22:$P$35,MATCH($B16,[1]Profile!$B$22:$B$35,0),MATCH(E$6,[1]Profile!$C$22:$P$22,0))</f>
        <v>756.291171191991</v>
      </c>
      <c r="F16" s="127">
        <f>INDEX([1]Profile!$C$22:$P$35,MATCH($B16,[1]Profile!$B$22:$B$35,0),MATCH(F$6,[1]Profile!$C$22:$P$22,0))</f>
        <v>1060.8482586227512</v>
      </c>
      <c r="G16" s="127">
        <f>INDEX([1]Profile!$C$22:$P$35,MATCH($B16,[1]Profile!$B$22:$B$35,0),MATCH(G$6,[1]Profile!$C$22:$P$22,0))</f>
        <v>-1445.5939968165089</v>
      </c>
      <c r="H16" s="127">
        <f>INDEX([1]Profile!$C$22:$P$35,MATCH($B16,[1]Profile!$B$22:$B$35,0),MATCH(H$6,[1]Profile!$C$22:$P$22,0))</f>
        <v>-1003.4320869273333</v>
      </c>
      <c r="I16" s="127">
        <f>INDEX([1]Profile!$C$22:$P$35,MATCH($B16,[1]Profile!$B$22:$B$35,0),MATCH(I$6,[1]Profile!$C$22:$P$22,0))</f>
        <v>-951.82195091371852</v>
      </c>
      <c r="J16" s="127">
        <f>INDEX([1]Profile!$C$22:$P$35,MATCH($B16,[1]Profile!$B$22:$B$35,0),MATCH(J$6,[1]Profile!$C$22:$P$22,0))</f>
        <v>-1293.6101847624109</v>
      </c>
      <c r="K16" s="127">
        <f>INDEX([1]Profile!$C$22:$P$35,MATCH($B16,[1]Profile!$B$22:$B$35,0),MATCH(K$6,[1]Profile!$C$22:$P$22,0))</f>
        <v>-906.62905298991438</v>
      </c>
      <c r="L16" s="127">
        <f>INDEX([1]Profile!$C$22:$P$35,MATCH($B16,[1]Profile!$B$22:$B$35,0),MATCH(L$6,[1]Profile!$C$22:$P$22,0))</f>
        <v>-815.72309372340158</v>
      </c>
      <c r="M16" s="127">
        <f>INDEX([1]Profile!$C$22:$P$35,MATCH($B16,[1]Profile!$B$22:$B$35,0),MATCH(M$6,[1]Profile!$C$22:$P$22,0))</f>
        <v>-387.84475195130807</v>
      </c>
      <c r="N16" s="127">
        <f>INDEX([1]Profile!$C$22:$P$35,MATCH($B16,[1]Profile!$B$22:$B$35,0),MATCH(N$6,[1]Profile!$C$22:$P$22,0))</f>
        <v>-408.75074988240141</v>
      </c>
      <c r="O16" s="127">
        <f>INDEX([1]Profile!$C$22:$P$35,MATCH($B16,[1]Profile!$B$22:$B$35,0),MATCH(O$6,[1]Profile!$C$22:$P$22,0))</f>
        <v>141.08453694690786</v>
      </c>
      <c r="P16" s="128">
        <f>INDEX([1]Profile!$C$22:$P$35,MATCH($B16,[1]Profile!$B$22:$B$35,0),MATCH(P$6,[1]Profile!$C$22:$P$22,0))</f>
        <v>522.90323704032892</v>
      </c>
    </row>
    <row r="17" spans="2:18" x14ac:dyDescent="0.2">
      <c r="B17" s="84">
        <f t="shared" si="0"/>
        <v>2024</v>
      </c>
      <c r="C17" s="124">
        <f>INDEX([1]Profile!$C$22:$P$35,MATCH($B17,[1]Profile!$B$22:$B$35,0),MATCH(C$6,[1]Profile!$C$22:$P$22,0))</f>
        <v>-948.11775018015362</v>
      </c>
      <c r="D17" s="125"/>
      <c r="E17" s="126">
        <f>INDEX([1]Profile!$C$22:$P$35,MATCH($B17,[1]Profile!$B$22:$B$35,0),MATCH(E$6,[1]Profile!$C$22:$P$22,0))</f>
        <v>707.52441546826105</v>
      </c>
      <c r="F17" s="127">
        <f>INDEX([1]Profile!$C$22:$P$35,MATCH($B17,[1]Profile!$B$22:$B$35,0),MATCH(F$6,[1]Profile!$C$22:$P$22,0))</f>
        <v>970.15838290869488</v>
      </c>
      <c r="G17" s="127">
        <f>INDEX([1]Profile!$C$22:$P$35,MATCH($B17,[1]Profile!$B$22:$B$35,0),MATCH(G$6,[1]Profile!$C$22:$P$22,0))</f>
        <v>-1453.4924648103083</v>
      </c>
      <c r="H17" s="127">
        <f>INDEX([1]Profile!$C$22:$P$35,MATCH($B17,[1]Profile!$B$22:$B$35,0),MATCH(H$6,[1]Profile!$C$22:$P$22,0))</f>
        <v>-1052.4051617328498</v>
      </c>
      <c r="I17" s="127">
        <f>INDEX([1]Profile!$C$22:$P$35,MATCH($B17,[1]Profile!$B$22:$B$35,0),MATCH(I$6,[1]Profile!$C$22:$P$22,0))</f>
        <v>-1043.3621107869167</v>
      </c>
      <c r="J17" s="127">
        <f>INDEX([1]Profile!$C$22:$P$35,MATCH($B17,[1]Profile!$B$22:$B$35,0),MATCH(J$6,[1]Profile!$C$22:$P$22,0))</f>
        <v>-1335.7960024929755</v>
      </c>
      <c r="K17" s="127">
        <f>INDEX([1]Profile!$C$22:$P$35,MATCH($B17,[1]Profile!$B$22:$B$35,0),MATCH(K$6,[1]Profile!$C$22:$P$22,0))</f>
        <v>-948.11775018015362</v>
      </c>
      <c r="L17" s="127">
        <f>INDEX([1]Profile!$C$22:$P$35,MATCH($B17,[1]Profile!$B$22:$B$35,0),MATCH(L$6,[1]Profile!$C$22:$P$22,0))</f>
        <v>-866.1757451762237</v>
      </c>
      <c r="M17" s="127">
        <f>INDEX([1]Profile!$C$22:$P$35,MATCH($B17,[1]Profile!$B$22:$B$35,0),MATCH(M$6,[1]Profile!$C$22:$P$22,0))</f>
        <v>-446.06993742156158</v>
      </c>
      <c r="N17" s="127">
        <f>INDEX([1]Profile!$C$22:$P$35,MATCH($B17,[1]Profile!$B$22:$B$35,0),MATCH(N$6,[1]Profile!$C$22:$P$22,0))</f>
        <v>-610.33004054132232</v>
      </c>
      <c r="O17" s="127">
        <f>INDEX([1]Profile!$C$22:$P$35,MATCH($B17,[1]Profile!$B$22:$B$35,0),MATCH(O$6,[1]Profile!$C$22:$P$22,0))</f>
        <v>38.271796454522928</v>
      </c>
      <c r="P17" s="128">
        <f>INDEX([1]Profile!$C$22:$P$35,MATCH($B17,[1]Profile!$B$22:$B$35,0),MATCH(P$6,[1]Profile!$C$22:$P$22,0))</f>
        <v>441.27540379205709</v>
      </c>
    </row>
    <row r="18" spans="2:18" x14ac:dyDescent="0.2">
      <c r="B18" s="84">
        <f t="shared" si="0"/>
        <v>2025</v>
      </c>
      <c r="C18" s="124">
        <f>INDEX([1]Profile!$C$22:$P$35,MATCH($B18,[1]Profile!$B$22:$B$35,0),MATCH(C$6,[1]Profile!$C$22:$P$22,0))</f>
        <v>-1152.1304580518627</v>
      </c>
      <c r="D18" s="125"/>
      <c r="E18" s="126">
        <f>INDEX([1]Profile!$C$22:$P$35,MATCH($B18,[1]Profile!$B$22:$B$35,0),MATCH(E$6,[1]Profile!$C$22:$P$22,0))</f>
        <v>496.44455740088239</v>
      </c>
      <c r="F18" s="127">
        <f>INDEX([1]Profile!$C$22:$P$35,MATCH($B18,[1]Profile!$B$22:$B$35,0),MATCH(F$6,[1]Profile!$C$22:$P$22,0))</f>
        <v>800.5366163637367</v>
      </c>
      <c r="G18" s="127">
        <f>INDEX([1]Profile!$C$22:$P$35,MATCH($B18,[1]Profile!$B$22:$B$35,0),MATCH(G$6,[1]Profile!$C$22:$P$22,0))</f>
        <v>-1621.7569756014063</v>
      </c>
      <c r="H18" s="127">
        <f>INDEX([1]Profile!$C$22:$P$35,MATCH($B18,[1]Profile!$B$22:$B$35,0),MATCH(H$6,[1]Profile!$C$22:$P$22,0))</f>
        <v>-1052.4367744377432</v>
      </c>
      <c r="I18" s="127">
        <f>INDEX([1]Profile!$C$22:$P$35,MATCH($B18,[1]Profile!$B$22:$B$35,0),MATCH(I$6,[1]Profile!$C$22:$P$22,0))</f>
        <v>-1262.6180846573618</v>
      </c>
      <c r="J18" s="127">
        <f>INDEX([1]Profile!$C$22:$P$35,MATCH($B18,[1]Profile!$B$22:$B$35,0),MATCH(J$6,[1]Profile!$C$22:$P$22,0))</f>
        <v>-1565.9632528961008</v>
      </c>
      <c r="K18" s="127">
        <f>INDEX([1]Profile!$C$22:$P$35,MATCH($B18,[1]Profile!$B$22:$B$35,0),MATCH(K$6,[1]Profile!$C$22:$P$22,0))</f>
        <v>-1152.1304580518627</v>
      </c>
      <c r="L18" s="127">
        <f>INDEX([1]Profile!$C$22:$P$35,MATCH($B18,[1]Profile!$B$22:$B$35,0),MATCH(L$6,[1]Profile!$C$22:$P$22,0))</f>
        <v>-1075.7166126163252</v>
      </c>
      <c r="M18" s="127">
        <f>INDEX([1]Profile!$C$22:$P$35,MATCH($B18,[1]Profile!$B$22:$B$35,0),MATCH(M$6,[1]Profile!$C$22:$P$22,0))</f>
        <v>-485.77327855473703</v>
      </c>
      <c r="N18" s="127">
        <f>INDEX([1]Profile!$C$22:$P$35,MATCH($B18,[1]Profile!$B$22:$B$35,0),MATCH(N$6,[1]Profile!$C$22:$P$22,0))</f>
        <v>-597.48596216487306</v>
      </c>
      <c r="O18" s="127">
        <f>INDEX([1]Profile!$C$22:$P$35,MATCH($B18,[1]Profile!$B$22:$B$35,0),MATCH(O$6,[1]Profile!$C$22:$P$22,0))</f>
        <v>-86.413007756222271</v>
      </c>
      <c r="P18" s="128">
        <f>INDEX([1]Profile!$C$22:$P$35,MATCH($B18,[1]Profile!$B$22:$B$35,0),MATCH(P$6,[1]Profile!$C$22:$P$22,0))</f>
        <v>338.51801421067177</v>
      </c>
    </row>
    <row r="19" spans="2:18" x14ac:dyDescent="0.2">
      <c r="B19" s="84">
        <f t="shared" si="0"/>
        <v>2026</v>
      </c>
      <c r="C19" s="124">
        <f>INDEX([1]Profile!$C$22:$P$35,MATCH($B19,[1]Profile!$B$22:$B$35,0),MATCH(C$6,[1]Profile!$C$22:$P$22,0))</f>
        <v>-1250.8316576038931</v>
      </c>
      <c r="D19" s="125"/>
      <c r="E19" s="126">
        <f>INDEX([1]Profile!$C$22:$P$35,MATCH($B19,[1]Profile!$B$22:$B$35,0),MATCH(E$6,[1]Profile!$C$22:$P$22,0))</f>
        <v>430.45011420708556</v>
      </c>
      <c r="F19" s="127">
        <f>INDEX([1]Profile!$C$22:$P$35,MATCH($B19,[1]Profile!$B$22:$B$35,0),MATCH(F$6,[1]Profile!$C$22:$P$22,0))</f>
        <v>709.99243007247514</v>
      </c>
      <c r="G19" s="127">
        <f>INDEX([1]Profile!$C$22:$P$35,MATCH($B19,[1]Profile!$B$22:$B$35,0),MATCH(G$6,[1]Profile!$C$22:$P$22,0))</f>
        <v>-1948.9202462503074</v>
      </c>
      <c r="H19" s="127">
        <f>INDEX([1]Profile!$C$22:$P$35,MATCH($B19,[1]Profile!$B$22:$B$35,0),MATCH(H$6,[1]Profile!$C$22:$P$22,0))</f>
        <v>-1132.1348503299255</v>
      </c>
      <c r="I19" s="127">
        <f>INDEX([1]Profile!$C$22:$P$35,MATCH($B19,[1]Profile!$B$22:$B$35,0),MATCH(I$6,[1]Profile!$C$22:$P$22,0))</f>
        <v>-1039.2676678716218</v>
      </c>
      <c r="J19" s="127">
        <f>INDEX([1]Profile!$C$22:$P$35,MATCH($B19,[1]Profile!$B$22:$B$35,0),MATCH(J$6,[1]Profile!$C$22:$P$22,0))</f>
        <v>-1647.6348080865</v>
      </c>
      <c r="K19" s="127">
        <f>INDEX([1]Profile!$C$22:$P$35,MATCH($B19,[1]Profile!$B$22:$B$35,0),MATCH(K$6,[1]Profile!$C$22:$P$22,0))</f>
        <v>-1250.8316576038931</v>
      </c>
      <c r="L19" s="127">
        <f>INDEX([1]Profile!$C$22:$P$35,MATCH($B19,[1]Profile!$B$22:$B$35,0),MATCH(L$6,[1]Profile!$C$22:$P$22,0))</f>
        <v>-1180.4436307731403</v>
      </c>
      <c r="M19" s="127">
        <f>INDEX([1]Profile!$C$22:$P$35,MATCH($B19,[1]Profile!$B$22:$B$35,0),MATCH(M$6,[1]Profile!$C$22:$P$22,0))</f>
        <v>-610.48324941010992</v>
      </c>
      <c r="N19" s="127">
        <f>INDEX([1]Profile!$C$22:$P$35,MATCH($B19,[1]Profile!$B$22:$B$35,0),MATCH(N$6,[1]Profile!$C$22:$P$22,0))</f>
        <v>-1060.0914942664665</v>
      </c>
      <c r="O19" s="127">
        <f>INDEX([1]Profile!$C$22:$P$35,MATCH($B19,[1]Profile!$B$22:$B$35,0),MATCH(O$6,[1]Profile!$C$22:$P$22,0))</f>
        <v>-62.610203517953323</v>
      </c>
      <c r="P19" s="128">
        <f>INDEX([1]Profile!$C$22:$P$35,MATCH($B19,[1]Profile!$B$22:$B$35,0),MATCH(P$6,[1]Profile!$C$22:$P$22,0))</f>
        <v>232.13139166008466</v>
      </c>
    </row>
    <row r="20" spans="2:18" ht="10.5" customHeight="1" x14ac:dyDescent="0.2">
      <c r="B20" s="84">
        <f t="shared" si="0"/>
        <v>2027</v>
      </c>
      <c r="C20" s="124"/>
      <c r="D20" s="125"/>
      <c r="E20" s="213" t="s">
        <v>150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</row>
    <row r="21" spans="2:18" s="125" customFormat="1" x14ac:dyDescent="0.2">
      <c r="B21" s="214"/>
      <c r="C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R21" s="117"/>
    </row>
    <row r="22" spans="2:18" s="125" customFormat="1" x14ac:dyDescent="0.2">
      <c r="B22" s="80"/>
      <c r="C22" s="72" t="s">
        <v>124</v>
      </c>
      <c r="E22" s="72" t="s">
        <v>120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R22" s="117"/>
    </row>
    <row r="23" spans="2:18" s="125" customFormat="1" x14ac:dyDescent="0.2">
      <c r="B23" s="72" t="s">
        <v>2</v>
      </c>
      <c r="C23" s="72" t="s">
        <v>125</v>
      </c>
      <c r="E23" s="72" t="s">
        <v>151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R23" s="117"/>
    </row>
    <row r="24" spans="2:18" s="125" customFormat="1" x14ac:dyDescent="0.2">
      <c r="B24" s="85">
        <f>B7</f>
        <v>2014</v>
      </c>
      <c r="C24" s="221">
        <f>COUNTIF(E7:P7,"&lt;0")</f>
        <v>2</v>
      </c>
      <c r="E24" s="221">
        <f>COUNT(E7:P7)</f>
        <v>6</v>
      </c>
      <c r="G24" s="127"/>
      <c r="H24" s="127" t="s">
        <v>149</v>
      </c>
      <c r="I24" s="127"/>
      <c r="J24" s="127"/>
      <c r="K24" s="127"/>
      <c r="L24" s="127"/>
      <c r="M24" s="127"/>
      <c r="N24" s="127"/>
      <c r="O24" s="127"/>
      <c r="P24" s="127"/>
      <c r="R24" s="117"/>
    </row>
    <row r="25" spans="2:18" s="125" customFormat="1" x14ac:dyDescent="0.2">
      <c r="B25" s="86">
        <f>B8</f>
        <v>2015</v>
      </c>
      <c r="C25" s="222">
        <f>COUNTIF(E8:P8,"&lt;0")</f>
        <v>6</v>
      </c>
      <c r="E25" s="222">
        <v>12</v>
      </c>
      <c r="G25" s="127"/>
      <c r="H25" s="127" t="s">
        <v>265</v>
      </c>
      <c r="I25" s="127"/>
      <c r="J25" s="127"/>
      <c r="K25" s="127"/>
      <c r="L25" s="127"/>
      <c r="M25" s="127"/>
      <c r="N25" s="127"/>
      <c r="O25" s="127"/>
      <c r="P25" s="127"/>
      <c r="R25" s="117"/>
    </row>
    <row r="26" spans="2:18" s="125" customFormat="1" x14ac:dyDescent="0.2">
      <c r="B26" s="86">
        <f t="shared" ref="B26:B36" si="1">B9</f>
        <v>2016</v>
      </c>
      <c r="C26" s="222">
        <f t="shared" ref="C26:C36" si="2">COUNTIF(E9:P9,"&lt;0")</f>
        <v>6</v>
      </c>
      <c r="E26" s="222">
        <v>12</v>
      </c>
      <c r="G26" s="127"/>
      <c r="H26" s="127" t="s">
        <v>266</v>
      </c>
      <c r="I26" s="127"/>
      <c r="J26" s="127"/>
      <c r="K26" s="127"/>
      <c r="L26" s="127"/>
      <c r="M26" s="127"/>
      <c r="N26" s="127"/>
      <c r="O26" s="127"/>
      <c r="P26" s="127"/>
      <c r="R26" s="117"/>
    </row>
    <row r="27" spans="2:18" s="125" customFormat="1" x14ac:dyDescent="0.2">
      <c r="B27" s="86">
        <f t="shared" si="1"/>
        <v>2017</v>
      </c>
      <c r="C27" s="222">
        <f t="shared" si="2"/>
        <v>6</v>
      </c>
      <c r="E27" s="222">
        <v>12</v>
      </c>
      <c r="G27" s="127"/>
      <c r="H27" s="127" t="s">
        <v>267</v>
      </c>
      <c r="I27" s="127"/>
      <c r="J27" s="127"/>
      <c r="K27" s="127"/>
      <c r="L27" s="127"/>
      <c r="M27" s="127"/>
      <c r="N27" s="127"/>
      <c r="O27" s="127"/>
      <c r="P27" s="127"/>
      <c r="R27" s="117"/>
    </row>
    <row r="28" spans="2:18" x14ac:dyDescent="0.2">
      <c r="B28" s="86">
        <f t="shared" si="1"/>
        <v>2018</v>
      </c>
      <c r="C28" s="222">
        <f t="shared" si="2"/>
        <v>7</v>
      </c>
      <c r="D28" s="125"/>
      <c r="E28" s="222">
        <v>12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2:18" x14ac:dyDescent="0.2">
      <c r="B29" s="86">
        <f t="shared" si="1"/>
        <v>2019</v>
      </c>
      <c r="C29" s="222">
        <f t="shared" si="2"/>
        <v>7</v>
      </c>
      <c r="D29" s="125"/>
      <c r="E29" s="222">
        <v>12</v>
      </c>
    </row>
    <row r="30" spans="2:18" s="125" customFormat="1" x14ac:dyDescent="0.2">
      <c r="B30" s="86">
        <f t="shared" si="1"/>
        <v>2020</v>
      </c>
      <c r="C30" s="222">
        <f t="shared" si="2"/>
        <v>7</v>
      </c>
      <c r="E30" s="222">
        <v>12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R30" s="117"/>
    </row>
    <row r="31" spans="2:18" x14ac:dyDescent="0.2">
      <c r="B31" s="86">
        <f t="shared" si="1"/>
        <v>2021</v>
      </c>
      <c r="C31" s="222">
        <f t="shared" si="2"/>
        <v>8</v>
      </c>
      <c r="D31" s="125"/>
      <c r="E31" s="222">
        <v>12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  <row r="32" spans="2:18" x14ac:dyDescent="0.2">
      <c r="B32" s="86">
        <f t="shared" si="1"/>
        <v>2022</v>
      </c>
      <c r="C32" s="222">
        <f t="shared" si="2"/>
        <v>8</v>
      </c>
      <c r="D32" s="125"/>
      <c r="E32" s="222">
        <v>12</v>
      </c>
    </row>
    <row r="33" spans="2:5" x14ac:dyDescent="0.2">
      <c r="B33" s="86">
        <f t="shared" si="1"/>
        <v>2023</v>
      </c>
      <c r="C33" s="222">
        <f t="shared" si="2"/>
        <v>8</v>
      </c>
      <c r="D33" s="125"/>
      <c r="E33" s="222">
        <v>12</v>
      </c>
    </row>
    <row r="34" spans="2:5" x14ac:dyDescent="0.2">
      <c r="B34" s="86">
        <f t="shared" si="1"/>
        <v>2024</v>
      </c>
      <c r="C34" s="222">
        <f t="shared" si="2"/>
        <v>8</v>
      </c>
      <c r="D34" s="125"/>
      <c r="E34" s="222">
        <v>12</v>
      </c>
    </row>
    <row r="35" spans="2:5" x14ac:dyDescent="0.2">
      <c r="B35" s="86">
        <f t="shared" si="1"/>
        <v>2025</v>
      </c>
      <c r="C35" s="222">
        <f t="shared" si="2"/>
        <v>9</v>
      </c>
      <c r="D35" s="125"/>
      <c r="E35" s="222">
        <v>12</v>
      </c>
    </row>
    <row r="36" spans="2:5" x14ac:dyDescent="0.2">
      <c r="B36" s="86">
        <f t="shared" si="1"/>
        <v>2026</v>
      </c>
      <c r="C36" s="222">
        <f t="shared" si="2"/>
        <v>9</v>
      </c>
      <c r="D36" s="125"/>
      <c r="E36" s="224">
        <v>12</v>
      </c>
    </row>
    <row r="37" spans="2:5" x14ac:dyDescent="0.2">
      <c r="B37" s="214"/>
      <c r="C37" s="120"/>
    </row>
  </sheetData>
  <pageMargins left="0.7" right="0.7" top="0.75" bottom="0.75" header="0.3" footer="0.3"/>
  <pageSetup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60" zoomScaleNormal="100" workbookViewId="0">
      <selection activeCell="O1" sqref="O1"/>
    </sheetView>
  </sheetViews>
  <sheetFormatPr defaultRowHeight="12.75" x14ac:dyDescent="0.2"/>
  <cols>
    <col min="1" max="1" width="2" customWidth="1"/>
    <col min="2" max="2" width="14.1640625" customWidth="1"/>
    <col min="3" max="5" width="19.6640625" customWidth="1"/>
    <col min="6" max="6" width="1.5" customWidth="1"/>
  </cols>
  <sheetData>
    <row r="1" spans="1:5" ht="15.75" x14ac:dyDescent="0.25">
      <c r="A1" s="56"/>
      <c r="B1" s="24" t="s">
        <v>169</v>
      </c>
      <c r="C1" s="33"/>
      <c r="D1" s="260"/>
      <c r="E1" s="260"/>
    </row>
    <row r="2" spans="1:5" ht="15.75" x14ac:dyDescent="0.25">
      <c r="A2" s="56"/>
      <c r="B2" s="24" t="s">
        <v>163</v>
      </c>
      <c r="C2" s="33"/>
      <c r="D2" s="260"/>
      <c r="E2" s="260"/>
    </row>
    <row r="3" spans="1:5" ht="15.75" x14ac:dyDescent="0.25">
      <c r="A3" s="56"/>
      <c r="B3" s="24" t="s">
        <v>129</v>
      </c>
      <c r="C3" s="129"/>
      <c r="D3" s="260"/>
      <c r="E3" s="260"/>
    </row>
    <row r="4" spans="1:5" ht="15.75" x14ac:dyDescent="0.25">
      <c r="A4" s="56"/>
      <c r="B4" s="24"/>
      <c r="C4" s="129"/>
    </row>
    <row r="5" spans="1:5" ht="25.5" x14ac:dyDescent="0.2">
      <c r="A5" s="56"/>
      <c r="B5" s="25" t="s">
        <v>2</v>
      </c>
      <c r="C5" s="249" t="s">
        <v>162</v>
      </c>
      <c r="D5" s="249" t="s">
        <v>268</v>
      </c>
      <c r="E5" s="249" t="s">
        <v>167</v>
      </c>
    </row>
    <row r="6" spans="1:5" x14ac:dyDescent="0.2">
      <c r="A6" s="56"/>
      <c r="B6" s="130"/>
      <c r="C6" s="250" t="s">
        <v>129</v>
      </c>
      <c r="D6" s="250" t="s">
        <v>129</v>
      </c>
      <c r="E6" s="250" t="s">
        <v>129</v>
      </c>
    </row>
    <row r="7" spans="1:5" x14ac:dyDescent="0.2">
      <c r="A7" s="56"/>
      <c r="B7" s="56"/>
      <c r="C7" s="131" t="s">
        <v>22</v>
      </c>
      <c r="D7" s="131" t="s">
        <v>23</v>
      </c>
      <c r="E7" s="131" t="s">
        <v>168</v>
      </c>
    </row>
    <row r="8" spans="1:5" x14ac:dyDescent="0.2">
      <c r="A8" s="56"/>
      <c r="B8" s="56"/>
      <c r="C8" s="131"/>
    </row>
    <row r="9" spans="1:5" x14ac:dyDescent="0.2">
      <c r="A9" s="56"/>
      <c r="B9" s="132">
        <f>'Tables 3 to 6'!$B$13</f>
        <v>2014</v>
      </c>
      <c r="C9" s="133">
        <v>0.38</v>
      </c>
      <c r="D9" s="133">
        <v>2.82</v>
      </c>
      <c r="E9" s="133">
        <f>C9+D9</f>
        <v>3.1999999999999997</v>
      </c>
    </row>
    <row r="10" spans="1:5" x14ac:dyDescent="0.2">
      <c r="A10" s="56"/>
      <c r="B10" s="132">
        <f>B9+1</f>
        <v>2015</v>
      </c>
      <c r="C10" s="133">
        <v>0.39</v>
      </c>
      <c r="D10" s="133">
        <v>2.88</v>
      </c>
      <c r="E10" s="133">
        <f t="shared" ref="E10:E33" si="0">C10+D10</f>
        <v>3.27</v>
      </c>
    </row>
    <row r="11" spans="1:5" x14ac:dyDescent="0.2">
      <c r="A11" s="56"/>
      <c r="B11" s="132">
        <f t="shared" ref="B11:B33" si="1">B10+1</f>
        <v>2016</v>
      </c>
      <c r="C11" s="133">
        <v>0.4</v>
      </c>
      <c r="D11" s="133">
        <v>2.88</v>
      </c>
      <c r="E11" s="133">
        <f t="shared" si="0"/>
        <v>3.28</v>
      </c>
    </row>
    <row r="12" spans="1:5" x14ac:dyDescent="0.2">
      <c r="A12" s="56"/>
      <c r="B12" s="132">
        <f t="shared" si="1"/>
        <v>2017</v>
      </c>
      <c r="C12" s="133">
        <v>0.41</v>
      </c>
      <c r="D12" s="133">
        <v>2.95</v>
      </c>
      <c r="E12" s="133">
        <f t="shared" si="0"/>
        <v>3.3600000000000003</v>
      </c>
    </row>
    <row r="13" spans="1:5" x14ac:dyDescent="0.2">
      <c r="A13" s="56"/>
      <c r="B13" s="132">
        <f t="shared" si="1"/>
        <v>2018</v>
      </c>
      <c r="C13" s="133">
        <v>0.42</v>
      </c>
      <c r="D13" s="133">
        <v>3.21</v>
      </c>
      <c r="E13" s="133">
        <f t="shared" si="0"/>
        <v>3.63</v>
      </c>
    </row>
    <row r="14" spans="1:5" x14ac:dyDescent="0.2">
      <c r="A14" s="56"/>
      <c r="B14" s="132">
        <f t="shared" si="1"/>
        <v>2019</v>
      </c>
      <c r="C14" s="133">
        <v>0.43</v>
      </c>
      <c r="D14" s="133">
        <v>3.5</v>
      </c>
      <c r="E14" s="133">
        <f t="shared" si="0"/>
        <v>3.93</v>
      </c>
    </row>
    <row r="15" spans="1:5" x14ac:dyDescent="0.2">
      <c r="A15" s="56"/>
      <c r="B15" s="132">
        <f t="shared" si="1"/>
        <v>2020</v>
      </c>
      <c r="C15" s="133">
        <v>0.44</v>
      </c>
      <c r="D15" s="133">
        <v>4.0599999999999996</v>
      </c>
      <c r="E15" s="133">
        <f t="shared" si="0"/>
        <v>4.5</v>
      </c>
    </row>
    <row r="16" spans="1:5" x14ac:dyDescent="0.2">
      <c r="A16" s="56"/>
      <c r="B16" s="132">
        <f t="shared" si="1"/>
        <v>2021</v>
      </c>
      <c r="C16" s="133">
        <v>0.45</v>
      </c>
      <c r="D16" s="133">
        <v>4.75</v>
      </c>
      <c r="E16" s="133">
        <f t="shared" si="0"/>
        <v>5.2</v>
      </c>
    </row>
    <row r="17" spans="1:5" x14ac:dyDescent="0.2">
      <c r="A17" s="56"/>
      <c r="B17" s="132">
        <f t="shared" si="1"/>
        <v>2022</v>
      </c>
      <c r="C17" s="133">
        <v>0.46</v>
      </c>
      <c r="D17" s="133">
        <v>5.66</v>
      </c>
      <c r="E17" s="133">
        <f t="shared" si="0"/>
        <v>6.12</v>
      </c>
    </row>
    <row r="18" spans="1:5" x14ac:dyDescent="0.2">
      <c r="A18" s="56"/>
      <c r="B18" s="132">
        <f t="shared" si="1"/>
        <v>2023</v>
      </c>
      <c r="C18" s="133">
        <v>0.47</v>
      </c>
      <c r="D18" s="133">
        <v>6.57</v>
      </c>
      <c r="E18" s="133">
        <f t="shared" si="0"/>
        <v>7.04</v>
      </c>
    </row>
    <row r="19" spans="1:5" x14ac:dyDescent="0.2">
      <c r="A19" s="56"/>
      <c r="B19" s="132">
        <f t="shared" si="1"/>
        <v>2024</v>
      </c>
      <c r="C19" s="133">
        <v>0.48</v>
      </c>
      <c r="D19" s="133">
        <v>5.64</v>
      </c>
      <c r="E19" s="133">
        <f t="shared" si="0"/>
        <v>6.1199999999999992</v>
      </c>
    </row>
    <row r="20" spans="1:5" x14ac:dyDescent="0.2">
      <c r="A20" s="56"/>
      <c r="B20" s="132">
        <f t="shared" si="1"/>
        <v>2025</v>
      </c>
      <c r="C20" s="133">
        <v>0.49</v>
      </c>
      <c r="D20" s="133">
        <v>5.68</v>
      </c>
      <c r="E20" s="133">
        <f t="shared" si="0"/>
        <v>6.17</v>
      </c>
    </row>
    <row r="21" spans="1:5" x14ac:dyDescent="0.2">
      <c r="A21" s="56"/>
      <c r="B21" s="132">
        <f t="shared" si="1"/>
        <v>2026</v>
      </c>
      <c r="C21" s="133">
        <v>0.5</v>
      </c>
      <c r="D21" s="133">
        <v>6.1</v>
      </c>
      <c r="E21" s="133">
        <f t="shared" si="0"/>
        <v>6.6</v>
      </c>
    </row>
    <row r="22" spans="1:5" x14ac:dyDescent="0.2">
      <c r="A22" s="56"/>
      <c r="B22" s="132">
        <f t="shared" si="1"/>
        <v>2027</v>
      </c>
      <c r="C22" s="133">
        <v>0.51</v>
      </c>
      <c r="D22" s="133">
        <v>6.25</v>
      </c>
      <c r="E22" s="133">
        <f t="shared" si="0"/>
        <v>6.76</v>
      </c>
    </row>
    <row r="23" spans="1:5" x14ac:dyDescent="0.2">
      <c r="A23" s="56"/>
      <c r="B23" s="132">
        <f t="shared" si="1"/>
        <v>2028</v>
      </c>
      <c r="C23" s="133">
        <v>0.52</v>
      </c>
      <c r="D23" s="133">
        <v>6.04</v>
      </c>
      <c r="E23" s="133">
        <f t="shared" si="0"/>
        <v>6.5600000000000005</v>
      </c>
    </row>
    <row r="24" spans="1:5" x14ac:dyDescent="0.2">
      <c r="A24" s="56"/>
      <c r="B24" s="132">
        <f t="shared" si="1"/>
        <v>2029</v>
      </c>
      <c r="C24" s="133">
        <v>0.53</v>
      </c>
      <c r="D24" s="133">
        <v>6.46</v>
      </c>
      <c r="E24" s="133">
        <f t="shared" si="0"/>
        <v>6.99</v>
      </c>
    </row>
    <row r="25" spans="1:5" x14ac:dyDescent="0.2">
      <c r="A25" s="56"/>
      <c r="B25" s="132">
        <f t="shared" si="1"/>
        <v>2030</v>
      </c>
      <c r="C25" s="133">
        <v>0.54</v>
      </c>
      <c r="D25" s="133">
        <v>6.24</v>
      </c>
      <c r="E25" s="133">
        <f t="shared" si="0"/>
        <v>6.78</v>
      </c>
    </row>
    <row r="26" spans="1:5" x14ac:dyDescent="0.2">
      <c r="A26" s="56"/>
      <c r="B26" s="132">
        <f t="shared" si="1"/>
        <v>2031</v>
      </c>
      <c r="C26" s="133">
        <v>0.55000000000000004</v>
      </c>
      <c r="D26" s="133">
        <v>7.03</v>
      </c>
      <c r="E26" s="133">
        <f t="shared" si="0"/>
        <v>7.58</v>
      </c>
    </row>
    <row r="27" spans="1:5" x14ac:dyDescent="0.2">
      <c r="A27" s="56"/>
      <c r="B27" s="132">
        <f t="shared" si="1"/>
        <v>2032</v>
      </c>
      <c r="C27" s="133">
        <v>0.56000000000000005</v>
      </c>
      <c r="D27" s="133">
        <v>7.31</v>
      </c>
      <c r="E27" s="133">
        <f t="shared" si="0"/>
        <v>7.8699999999999992</v>
      </c>
    </row>
    <row r="28" spans="1:5" x14ac:dyDescent="0.2">
      <c r="A28" s="56"/>
      <c r="B28" s="132">
        <f t="shared" si="1"/>
        <v>2033</v>
      </c>
      <c r="C28" s="133">
        <v>0.56999999999999995</v>
      </c>
      <c r="D28" s="133">
        <v>7.77</v>
      </c>
      <c r="E28" s="133">
        <f t="shared" si="0"/>
        <v>8.34</v>
      </c>
    </row>
    <row r="29" spans="1:5" x14ac:dyDescent="0.2">
      <c r="A29" s="56"/>
      <c r="B29" s="132">
        <f t="shared" si="1"/>
        <v>2034</v>
      </c>
      <c r="C29" s="133">
        <v>0.57999999999999996</v>
      </c>
      <c r="D29" s="133">
        <v>7.93</v>
      </c>
      <c r="E29" s="133">
        <f t="shared" si="0"/>
        <v>8.51</v>
      </c>
    </row>
    <row r="30" spans="1:5" x14ac:dyDescent="0.2">
      <c r="A30" s="56"/>
      <c r="B30" s="132">
        <f t="shared" si="1"/>
        <v>2035</v>
      </c>
      <c r="C30" s="133">
        <v>0.59</v>
      </c>
      <c r="D30" s="133">
        <v>8.1</v>
      </c>
      <c r="E30" s="133">
        <f t="shared" si="0"/>
        <v>8.69</v>
      </c>
    </row>
    <row r="31" spans="1:5" x14ac:dyDescent="0.2">
      <c r="A31" s="56"/>
      <c r="B31" s="132">
        <f t="shared" si="1"/>
        <v>2036</v>
      </c>
      <c r="C31" s="133">
        <v>0.6</v>
      </c>
      <c r="D31" s="133">
        <v>8.26</v>
      </c>
      <c r="E31" s="133">
        <f t="shared" si="0"/>
        <v>8.86</v>
      </c>
    </row>
    <row r="32" spans="1:5" x14ac:dyDescent="0.2">
      <c r="A32" s="56"/>
      <c r="B32" s="132">
        <f t="shared" si="1"/>
        <v>2037</v>
      </c>
      <c r="C32" s="133">
        <v>0.61</v>
      </c>
      <c r="D32" s="133">
        <v>8.43</v>
      </c>
      <c r="E32" s="133">
        <f t="shared" si="0"/>
        <v>9.0399999999999991</v>
      </c>
    </row>
    <row r="33" spans="1:5" x14ac:dyDescent="0.2">
      <c r="A33" s="56"/>
      <c r="B33" s="132">
        <f t="shared" si="1"/>
        <v>2038</v>
      </c>
      <c r="C33" s="133">
        <v>0.62</v>
      </c>
      <c r="D33" s="133">
        <v>8.64</v>
      </c>
      <c r="E33" s="133">
        <f t="shared" si="0"/>
        <v>9.26</v>
      </c>
    </row>
    <row r="35" spans="1:5" x14ac:dyDescent="0.2">
      <c r="B35" s="251" t="s">
        <v>83</v>
      </c>
      <c r="C35" s="251"/>
      <c r="D35" s="251"/>
      <c r="E35" s="251"/>
    </row>
    <row r="36" spans="1:5" x14ac:dyDescent="0.2">
      <c r="B36" s="251" t="s">
        <v>280</v>
      </c>
      <c r="C36" s="251"/>
      <c r="D36" s="251"/>
      <c r="E36" s="251"/>
    </row>
    <row r="37" spans="1:5" x14ac:dyDescent="0.2">
      <c r="B37" s="251" t="s">
        <v>279</v>
      </c>
      <c r="C37" s="251"/>
      <c r="D37" s="252"/>
      <c r="E37" s="252"/>
    </row>
    <row r="38" spans="1:5" x14ac:dyDescent="0.2">
      <c r="B38" s="251"/>
      <c r="C38" s="251"/>
      <c r="D38" s="252"/>
      <c r="E38" s="252"/>
    </row>
    <row r="39" spans="1:5" x14ac:dyDescent="0.2">
      <c r="B39" s="251" t="s">
        <v>281</v>
      </c>
      <c r="C39" s="251"/>
      <c r="D39" s="251"/>
      <c r="E39" s="251"/>
    </row>
    <row r="40" spans="1:5" x14ac:dyDescent="0.2">
      <c r="B40" s="251" t="s">
        <v>164</v>
      </c>
      <c r="C40" s="251"/>
      <c r="D40" s="251"/>
      <c r="E40" s="251"/>
    </row>
    <row r="41" spans="1:5" x14ac:dyDescent="0.2">
      <c r="B41" s="251" t="s">
        <v>196</v>
      </c>
      <c r="C41" s="251"/>
      <c r="D41" s="251"/>
      <c r="E41" s="251"/>
    </row>
    <row r="42" spans="1:5" x14ac:dyDescent="0.2">
      <c r="B42" s="251" t="s">
        <v>197</v>
      </c>
      <c r="C42" s="251"/>
      <c r="D42" s="251"/>
      <c r="E42" s="251"/>
    </row>
    <row r="43" spans="1:5" x14ac:dyDescent="0.2">
      <c r="B43" s="251" t="s">
        <v>198</v>
      </c>
      <c r="C43" s="251"/>
      <c r="D43" s="251"/>
      <c r="E43" s="251"/>
    </row>
    <row r="44" spans="1:5" x14ac:dyDescent="0.2">
      <c r="B44" s="251"/>
      <c r="C44" s="251"/>
      <c r="D44" s="251"/>
      <c r="E44" s="251"/>
    </row>
    <row r="45" spans="1:5" x14ac:dyDescent="0.2">
      <c r="B45" s="253">
        <v>2.1800000000000002</v>
      </c>
      <c r="C45" s="251" t="s">
        <v>165</v>
      </c>
      <c r="D45" s="251"/>
      <c r="E45" s="251"/>
    </row>
    <row r="46" spans="1:5" x14ac:dyDescent="0.2">
      <c r="B46" s="253">
        <v>2.83</v>
      </c>
      <c r="C46" s="251" t="s">
        <v>166</v>
      </c>
      <c r="D46" s="251"/>
      <c r="E46" s="251"/>
    </row>
  </sheetData>
  <hyperlinks>
    <hyperlink ref="C38" display="www.pacificorp.com/content/dam/pacificorp/doc/Energy_Sources/Integrated_Resource_Plan/Wind_Integration/PacifiCorp_2010WindIntegrationStudy_090110.pdf"/>
  </hyperlinks>
  <pageMargins left="0.7" right="0.7" top="0.75" bottom="0.75" header="0.3" footer="0.3"/>
  <pageSetup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4"/>
  <sheetViews>
    <sheetView showGridLines="0" zoomScale="90" zoomScaleNormal="90" workbookViewId="0">
      <selection activeCell="C36" sqref="C36"/>
    </sheetView>
  </sheetViews>
  <sheetFormatPr defaultRowHeight="12.75" x14ac:dyDescent="0.2"/>
  <cols>
    <col min="1" max="1" width="2.83203125" style="227" customWidth="1"/>
    <col min="2" max="2" width="19.6640625" style="227" customWidth="1"/>
    <col min="3" max="6" width="18.83203125" style="227" customWidth="1"/>
    <col min="7" max="7" width="17.33203125" style="227" customWidth="1"/>
    <col min="8" max="8" width="8" style="227" customWidth="1"/>
    <col min="9" max="9" width="10.1640625" style="227" customWidth="1"/>
    <col min="10" max="10" width="7.1640625" style="227" customWidth="1"/>
    <col min="11" max="11" width="9.33203125" style="227"/>
    <col min="12" max="12" width="15.33203125" style="227" customWidth="1"/>
    <col min="13" max="13" width="9.33203125" style="227"/>
    <col min="15" max="16384" width="9.33203125" style="227"/>
  </cols>
  <sheetData>
    <row r="1" spans="1:12" x14ac:dyDescent="0.2">
      <c r="A1" s="2"/>
      <c r="B1" s="2"/>
      <c r="C1" s="2"/>
      <c r="D1" s="2"/>
      <c r="E1" s="2"/>
      <c r="F1" s="2"/>
      <c r="G1" s="2"/>
      <c r="H1" s="330"/>
      <c r="I1" s="2"/>
      <c r="L1" s="2"/>
    </row>
    <row r="2" spans="1:12" x14ac:dyDescent="0.2">
      <c r="A2" s="2"/>
      <c r="B2" s="2" t="s">
        <v>108</v>
      </c>
      <c r="C2" s="2"/>
      <c r="D2" s="2"/>
      <c r="E2" s="2"/>
      <c r="F2" s="2"/>
      <c r="G2" s="2"/>
      <c r="H2" s="2"/>
      <c r="I2" s="2"/>
      <c r="L2" s="2"/>
    </row>
    <row r="3" spans="1:12" x14ac:dyDescent="0.2">
      <c r="B3" s="258" t="s">
        <v>180</v>
      </c>
    </row>
    <row r="4" spans="1:12" x14ac:dyDescent="0.2">
      <c r="A4" s="228"/>
      <c r="C4" s="228"/>
      <c r="D4" s="228"/>
      <c r="E4" s="228"/>
      <c r="F4" s="228"/>
      <c r="G4" s="228"/>
      <c r="H4" s="228"/>
    </row>
    <row r="5" spans="1:12" x14ac:dyDescent="0.2">
      <c r="A5" s="228"/>
      <c r="B5" s="228"/>
      <c r="H5" s="332"/>
    </row>
    <row r="6" spans="1:12" x14ac:dyDescent="0.2">
      <c r="A6" s="228"/>
      <c r="B6" s="229" t="s">
        <v>136</v>
      </c>
      <c r="C6" s="230" t="s">
        <v>298</v>
      </c>
      <c r="D6" s="230"/>
      <c r="E6" s="334" t="s">
        <v>135</v>
      </c>
      <c r="F6" s="230"/>
      <c r="G6" s="230"/>
      <c r="H6" s="228"/>
    </row>
    <row r="7" spans="1:12" ht="1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G7" s="231"/>
      <c r="H7" s="228"/>
    </row>
    <row r="8" spans="1:12" hidden="1" x14ac:dyDescent="0.2">
      <c r="A8" s="232"/>
      <c r="B8" s="233">
        <v>2014</v>
      </c>
      <c r="C8" s="234">
        <f>ROUND('Table 2A BaseLoad'!C66/10,3)</f>
        <v>4.4630000000000001</v>
      </c>
      <c r="D8" s="234">
        <f>ROUND('Table 2A BaseLoad'!G66/10,3)</f>
        <v>4.9189999999999996</v>
      </c>
      <c r="E8" s="234">
        <f>ROUND('Table 2A BaseLoad'!D66/10,3)</f>
        <v>2.8079999999999998</v>
      </c>
      <c r="F8" s="234">
        <f>ROUND('Table 2A BaseLoad'!H66/10,3)</f>
        <v>3.2639999999999998</v>
      </c>
      <c r="G8" s="234"/>
      <c r="H8" s="235"/>
      <c r="I8" s="331"/>
      <c r="L8" s="331"/>
    </row>
    <row r="9" spans="1:12" x14ac:dyDescent="0.2">
      <c r="A9" s="232"/>
      <c r="B9" s="233">
        <v>2015</v>
      </c>
      <c r="C9" s="234">
        <f>ROUND('Table 2A BaseLoad'!C67/10,3)</f>
        <v>4.5519999999999996</v>
      </c>
      <c r="D9" s="234">
        <f>ROUND('Table 2A BaseLoad'!G67/10,3)</f>
        <v>4.5060000000000002</v>
      </c>
      <c r="E9" s="234">
        <f>ROUND('Table 2A BaseLoad'!D67/10,3)</f>
        <v>3.2789999999999999</v>
      </c>
      <c r="F9" s="234">
        <f>ROUND('Table 2A BaseLoad'!H67/10,3)</f>
        <v>3.2330000000000001</v>
      </c>
      <c r="G9" s="234"/>
      <c r="H9" s="235"/>
    </row>
    <row r="10" spans="1:12" x14ac:dyDescent="0.2">
      <c r="A10" s="232"/>
      <c r="B10" s="233">
        <v>2016</v>
      </c>
      <c r="C10" s="234">
        <f>ROUND('Table 2A BaseLoad'!C68/10,3)</f>
        <v>4.2720000000000002</v>
      </c>
      <c r="D10" s="234">
        <f>ROUND('Table 2A BaseLoad'!G68/10,3)</f>
        <v>4.41</v>
      </c>
      <c r="E10" s="234">
        <f>ROUND('Table 2A BaseLoad'!D68/10,3)</f>
        <v>2.976</v>
      </c>
      <c r="F10" s="234">
        <f>ROUND('Table 2A BaseLoad'!H68/10,3)</f>
        <v>3.1139999999999999</v>
      </c>
      <c r="G10" s="234"/>
      <c r="H10" s="235"/>
    </row>
    <row r="11" spans="1:12" x14ac:dyDescent="0.2">
      <c r="A11" s="232"/>
      <c r="B11" s="233">
        <v>2017</v>
      </c>
      <c r="C11" s="234">
        <f>ROUND('Table 2A BaseLoad'!C69/10,3)</f>
        <v>4.3609999999999998</v>
      </c>
      <c r="D11" s="234">
        <f>ROUND('Table 2A BaseLoad'!G69/10,3)</f>
        <v>4.6509999999999998</v>
      </c>
      <c r="E11" s="234">
        <f>ROUND('Table 2A BaseLoad'!D69/10,3)</f>
        <v>3.0419999999999998</v>
      </c>
      <c r="F11" s="234">
        <f>ROUND('Table 2A BaseLoad'!H69/10,3)</f>
        <v>3.3319999999999999</v>
      </c>
      <c r="G11" s="234"/>
      <c r="H11" s="235"/>
    </row>
    <row r="12" spans="1:12" x14ac:dyDescent="0.2">
      <c r="A12" s="232"/>
      <c r="B12" s="233">
        <v>2018</v>
      </c>
      <c r="C12" s="234">
        <f>ROUND('Table 2A BaseLoad'!C70/10,3)</f>
        <v>4.8689999999999998</v>
      </c>
      <c r="D12" s="234">
        <f>ROUND('Table 2A BaseLoad'!G70/10,3)</f>
        <v>5.1100000000000003</v>
      </c>
      <c r="E12" s="234">
        <f>ROUND('Table 2A BaseLoad'!D70/10,3)</f>
        <v>3.302</v>
      </c>
      <c r="F12" s="234">
        <f>ROUND('Table 2A BaseLoad'!H70/10,3)</f>
        <v>3.5430000000000001</v>
      </c>
      <c r="G12" s="234"/>
      <c r="H12" s="235"/>
    </row>
    <row r="13" spans="1:12" x14ac:dyDescent="0.2">
      <c r="A13" s="232"/>
      <c r="B13" s="233">
        <v>2019</v>
      </c>
      <c r="C13" s="234">
        <f>ROUND('Table 2A BaseLoad'!C71/10,3)</f>
        <v>5.0410000000000004</v>
      </c>
      <c r="D13" s="234">
        <f>ROUND('Table 2A BaseLoad'!G71/10,3)</f>
        <v>5.3410000000000002</v>
      </c>
      <c r="E13" s="234">
        <f>ROUND('Table 2A BaseLoad'!D71/10,3)</f>
        <v>3.448</v>
      </c>
      <c r="F13" s="234">
        <f>ROUND('Table 2A BaseLoad'!H71/10,3)</f>
        <v>3.7480000000000002</v>
      </c>
      <c r="G13" s="234"/>
      <c r="H13" s="235"/>
    </row>
    <row r="14" spans="1:12" x14ac:dyDescent="0.2">
      <c r="A14" s="232"/>
      <c r="B14" s="233">
        <v>2020</v>
      </c>
      <c r="C14" s="234">
        <f>ROUND('Table 2A BaseLoad'!C72/10,3)</f>
        <v>5.3470000000000004</v>
      </c>
      <c r="D14" s="234">
        <f>ROUND('Table 2A BaseLoad'!G72/10,3)</f>
        <v>5.8579999999999997</v>
      </c>
      <c r="E14" s="234">
        <f>ROUND('Table 2A BaseLoad'!D72/10,3)</f>
        <v>3.7250000000000001</v>
      </c>
      <c r="F14" s="234">
        <f>ROUND('Table 2A BaseLoad'!H72/10,3)</f>
        <v>4.2359999999999998</v>
      </c>
      <c r="G14" s="234"/>
      <c r="H14" s="235"/>
    </row>
    <row r="15" spans="1:12" x14ac:dyDescent="0.2">
      <c r="A15" s="232"/>
      <c r="B15" s="233">
        <v>2021</v>
      </c>
      <c r="C15" s="234">
        <f>ROUND('Table 2A BaseLoad'!C73/10,3)</f>
        <v>6.0209999999999999</v>
      </c>
      <c r="D15" s="234">
        <f>ROUND('Table 2A BaseLoad'!G73/10,3)</f>
        <v>6.298</v>
      </c>
      <c r="E15" s="234">
        <f>ROUND('Table 2A BaseLoad'!D73/10,3)</f>
        <v>4.1319999999999997</v>
      </c>
      <c r="F15" s="234">
        <f>ROUND('Table 2A BaseLoad'!H73/10,3)</f>
        <v>4.4089999999999998</v>
      </c>
      <c r="G15" s="234"/>
      <c r="H15" s="235"/>
    </row>
    <row r="16" spans="1:12" x14ac:dyDescent="0.2">
      <c r="A16" s="232"/>
      <c r="B16" s="233">
        <v>2022</v>
      </c>
      <c r="C16" s="234">
        <f>ROUND('Table 2A BaseLoad'!C74/10,3)</f>
        <v>6.11</v>
      </c>
      <c r="D16" s="234">
        <f>ROUND('Table 2A BaseLoad'!G74/10,3)</f>
        <v>6.452</v>
      </c>
      <c r="E16" s="234">
        <f>ROUND('Table 2A BaseLoad'!D74/10,3)</f>
        <v>4.1870000000000003</v>
      </c>
      <c r="F16" s="234">
        <f>ROUND('Table 2A BaseLoad'!H74/10,3)</f>
        <v>4.5289999999999999</v>
      </c>
      <c r="G16" s="234"/>
      <c r="H16" s="235"/>
    </row>
    <row r="17" spans="1:12" x14ac:dyDescent="0.2">
      <c r="A17" s="232"/>
      <c r="B17" s="233">
        <v>2023</v>
      </c>
      <c r="C17" s="234">
        <f>ROUND('Table 2A BaseLoad'!C75/10,3)</f>
        <v>6.3220000000000001</v>
      </c>
      <c r="D17" s="234">
        <f>ROUND('Table 2A BaseLoad'!G75/10,3)</f>
        <v>6.5750000000000002</v>
      </c>
      <c r="E17" s="234">
        <f>ROUND('Table 2A BaseLoad'!D75/10,3)</f>
        <v>4.3650000000000002</v>
      </c>
      <c r="F17" s="234">
        <f>ROUND('Table 2A BaseLoad'!H75/10,3)</f>
        <v>4.6180000000000003</v>
      </c>
      <c r="G17" s="234"/>
      <c r="H17" s="235"/>
    </row>
    <row r="18" spans="1:12" x14ac:dyDescent="0.2">
      <c r="A18" s="232"/>
      <c r="B18" s="233">
        <v>2024</v>
      </c>
      <c r="C18" s="234">
        <f>ROUND('Table 2A BaseLoad'!C76/10,3)</f>
        <v>6.5339999999999998</v>
      </c>
      <c r="D18" s="234">
        <f>ROUND('Table 2A BaseLoad'!G76/10,3)</f>
        <v>6.8659999999999997</v>
      </c>
      <c r="E18" s="234">
        <f>ROUND('Table 2A BaseLoad'!D76/10,3)</f>
        <v>4.5410000000000004</v>
      </c>
      <c r="F18" s="234">
        <f>ROUND('Table 2A BaseLoad'!H76/10,3)</f>
        <v>4.8730000000000002</v>
      </c>
      <c r="G18" s="234"/>
      <c r="H18" s="235"/>
    </row>
    <row r="19" spans="1:12" x14ac:dyDescent="0.2">
      <c r="A19" s="232"/>
      <c r="B19" s="233">
        <v>2025</v>
      </c>
      <c r="C19" s="234">
        <f>ROUND('Table 2A BaseLoad'!C77/10,3)</f>
        <v>7.0380000000000003</v>
      </c>
      <c r="D19" s="234">
        <f>ROUND('Table 2A BaseLoad'!G77/10,3)</f>
        <v>7.468</v>
      </c>
      <c r="E19" s="234">
        <f>ROUND('Table 2A BaseLoad'!D77/10,3)</f>
        <v>4.7560000000000002</v>
      </c>
      <c r="F19" s="234">
        <f>ROUND('Table 2A BaseLoad'!H77/10,3)</f>
        <v>5.1859999999999999</v>
      </c>
      <c r="G19" s="234"/>
      <c r="H19" s="235"/>
    </row>
    <row r="20" spans="1:12" x14ac:dyDescent="0.2">
      <c r="A20" s="232"/>
      <c r="B20" s="233">
        <v>2026</v>
      </c>
      <c r="C20" s="234">
        <f>ROUND('Table 2A BaseLoad'!C78/10,3)</f>
        <v>7.2779999999999996</v>
      </c>
      <c r="D20" s="234">
        <f>ROUND('Table 2A BaseLoad'!G78/10,3)</f>
        <v>7.7770000000000001</v>
      </c>
      <c r="E20" s="234">
        <f>ROUND('Table 2A BaseLoad'!D78/10,3)</f>
        <v>4.9530000000000003</v>
      </c>
      <c r="F20" s="234">
        <f>ROUND('Table 2A BaseLoad'!H78/10,3)</f>
        <v>5.452</v>
      </c>
      <c r="G20" s="234"/>
      <c r="H20" s="235"/>
      <c r="K20" s="236"/>
    </row>
    <row r="21" spans="1:12" x14ac:dyDescent="0.2">
      <c r="A21" s="232"/>
      <c r="B21" s="233">
        <v>2027</v>
      </c>
      <c r="C21" s="235">
        <f>ROUND(INDEX('Tables 3 to 6'!Y:Y,MATCH(B21,'Tables 3 to 6'!B:B,0))/10,3)</f>
        <v>7.4720000000000004</v>
      </c>
      <c r="D21" s="234">
        <f t="shared" ref="D21:D32" si="0">C21</f>
        <v>7.4720000000000004</v>
      </c>
      <c r="E21" s="235">
        <f>ROUND(INDEX('Tables 3 to 6'!Z:Z,MATCH(B21,'Tables 3 to 6'!B:B,0))/10,3)</f>
        <v>4.2229999999999999</v>
      </c>
      <c r="F21" s="235">
        <f t="shared" ref="F21:F32" si="1">E21</f>
        <v>4.2229999999999999</v>
      </c>
      <c r="G21" s="235"/>
      <c r="H21" s="235"/>
    </row>
    <row r="22" spans="1:12" x14ac:dyDescent="0.2">
      <c r="A22" s="232"/>
      <c r="B22" s="233">
        <v>2028</v>
      </c>
      <c r="C22" s="235">
        <f>ROUND(INDEX('Tables 3 to 6'!Y:Y,MATCH(B22,'Tables 3 to 6'!B:B,0))/10,3)</f>
        <v>7.6929999999999996</v>
      </c>
      <c r="D22" s="234">
        <f t="shared" si="0"/>
        <v>7.6929999999999996</v>
      </c>
      <c r="E22" s="235">
        <f>ROUND(INDEX('Tables 3 to 6'!Z:Z,MATCH(B22,'Tables 3 to 6'!B:B,0))/10,3)</f>
        <v>4.3819999999999997</v>
      </c>
      <c r="F22" s="235">
        <f t="shared" si="1"/>
        <v>4.3819999999999997</v>
      </c>
      <c r="G22" s="235"/>
      <c r="H22" s="235"/>
    </row>
    <row r="23" spans="1:12" x14ac:dyDescent="0.2">
      <c r="A23" s="232"/>
      <c r="B23" s="233">
        <v>2029</v>
      </c>
      <c r="C23" s="235">
        <f>ROUND(INDEX('Tables 3 to 6'!Y:Y,MATCH(B23,'Tables 3 to 6'!B:B,0))/10,3)</f>
        <v>7.9470000000000001</v>
      </c>
      <c r="D23" s="234">
        <f t="shared" si="0"/>
        <v>7.9470000000000001</v>
      </c>
      <c r="E23" s="235">
        <f>ROUND(INDEX('Tables 3 to 6'!Z:Z,MATCH(B23,'Tables 3 to 6'!B:B,0))/10,3)</f>
        <v>4.5730000000000004</v>
      </c>
      <c r="F23" s="235">
        <f t="shared" si="1"/>
        <v>4.5730000000000004</v>
      </c>
      <c r="G23" s="235"/>
      <c r="H23" s="235"/>
    </row>
    <row r="24" spans="1:12" x14ac:dyDescent="0.2">
      <c r="A24" s="232"/>
      <c r="B24" s="233">
        <v>2030</v>
      </c>
      <c r="C24" s="235">
        <f>ROUND(INDEX('Tables 3 to 6'!Y:Y,MATCH(B24,'Tables 3 to 6'!B:B,0))/10,3)</f>
        <v>8.2050000000000001</v>
      </c>
      <c r="D24" s="234">
        <f t="shared" si="0"/>
        <v>8.2050000000000001</v>
      </c>
      <c r="E24" s="235">
        <f>ROUND(INDEX('Tables 3 to 6'!Z:Z,MATCH(B24,'Tables 3 to 6'!B:B,0))/10,3)</f>
        <v>4.766</v>
      </c>
      <c r="F24" s="235">
        <f t="shared" si="1"/>
        <v>4.766</v>
      </c>
      <c r="G24" s="235"/>
      <c r="H24" s="235"/>
    </row>
    <row r="25" spans="1:12" x14ac:dyDescent="0.2">
      <c r="A25" s="232"/>
      <c r="B25" s="233">
        <v>2031</v>
      </c>
      <c r="C25" s="235">
        <f>ROUND(INDEX('Tables 3 to 6'!Y:Y,MATCH(B25,'Tables 3 to 6'!B:B,0))/10,3)</f>
        <v>8.3729999999999993</v>
      </c>
      <c r="D25" s="234">
        <f t="shared" si="0"/>
        <v>8.3729999999999993</v>
      </c>
      <c r="E25" s="235">
        <f>ROUND(INDEX('Tables 3 to 6'!Z:Z,MATCH(B25,'Tables 3 to 6'!B:B,0))/10,3)</f>
        <v>4.8659999999999997</v>
      </c>
      <c r="F25" s="235">
        <f t="shared" si="1"/>
        <v>4.8659999999999997</v>
      </c>
      <c r="G25" s="235"/>
      <c r="H25" s="235"/>
      <c r="I25" s="232"/>
      <c r="L25" s="232"/>
    </row>
    <row r="26" spans="1:12" x14ac:dyDescent="0.2">
      <c r="A26" s="232"/>
      <c r="B26" s="233">
        <v>2032</v>
      </c>
      <c r="C26" s="235">
        <f>ROUND(INDEX('Tables 3 to 6'!Y:Y,MATCH(B26,'Tables 3 to 6'!B:B,0))/10,3)</f>
        <v>8.5370000000000008</v>
      </c>
      <c r="D26" s="234">
        <f t="shared" si="0"/>
        <v>8.5370000000000008</v>
      </c>
      <c r="E26" s="235">
        <f>ROUND(INDEX('Tables 3 to 6'!Z:Z,MATCH(B26,'Tables 3 to 6'!B:B,0))/10,3)</f>
        <v>4.96</v>
      </c>
      <c r="F26" s="235">
        <f t="shared" si="1"/>
        <v>4.96</v>
      </c>
      <c r="G26" s="235"/>
      <c r="H26" s="235"/>
      <c r="I26" s="232"/>
      <c r="L26" s="232"/>
    </row>
    <row r="27" spans="1:12" x14ac:dyDescent="0.2">
      <c r="A27" s="232"/>
      <c r="B27" s="233">
        <v>2033</v>
      </c>
      <c r="C27" s="235">
        <f>ROUND(INDEX('Tables 3 to 6'!Y:Y,MATCH(B27,'Tables 3 to 6'!B:B,0))/10,3)</f>
        <v>8.7089999999999996</v>
      </c>
      <c r="D27" s="234">
        <f t="shared" si="0"/>
        <v>8.7089999999999996</v>
      </c>
      <c r="E27" s="235">
        <f>ROUND(INDEX('Tables 3 to 6'!Z:Z,MATCH(B27,'Tables 3 to 6'!B:B,0))/10,3)</f>
        <v>5.0599999999999996</v>
      </c>
      <c r="F27" s="235">
        <f t="shared" si="1"/>
        <v>5.0599999999999996</v>
      </c>
      <c r="G27" s="235"/>
      <c r="H27" s="235"/>
      <c r="I27" s="232"/>
      <c r="L27" s="232"/>
    </row>
    <row r="28" spans="1:12" x14ac:dyDescent="0.2">
      <c r="A28" s="232"/>
      <c r="B28" s="233">
        <v>2034</v>
      </c>
      <c r="C28" s="235">
        <f>ROUND(INDEX('Tables 3 to 6'!Y:Y,MATCH(B28,'Tables 3 to 6'!B:B,0))/10,3)</f>
        <v>8.8829999999999991</v>
      </c>
      <c r="D28" s="234">
        <f t="shared" si="0"/>
        <v>8.8829999999999991</v>
      </c>
      <c r="E28" s="235">
        <f>ROUND(INDEX('Tables 3 to 6'!Z:Z,MATCH(B28,'Tables 3 to 6'!B:B,0))/10,3)</f>
        <v>5.1609999999999996</v>
      </c>
      <c r="F28" s="235">
        <f t="shared" si="1"/>
        <v>5.1609999999999996</v>
      </c>
      <c r="G28" s="235"/>
      <c r="H28" s="235"/>
      <c r="I28" s="232"/>
      <c r="L28" s="232"/>
    </row>
    <row r="29" spans="1:12" x14ac:dyDescent="0.2">
      <c r="A29" s="232"/>
      <c r="B29" s="233">
        <v>2035</v>
      </c>
      <c r="C29" s="235">
        <f>ROUND(INDEX('Tables 3 to 6'!Y:Y,MATCH(B29,'Tables 3 to 6'!B:B,0))/10,3)</f>
        <v>9.0579999999999998</v>
      </c>
      <c r="D29" s="234">
        <f t="shared" si="0"/>
        <v>9.0579999999999998</v>
      </c>
      <c r="E29" s="235">
        <f>ROUND(INDEX('Tables 3 to 6'!Z:Z,MATCH(B29,'Tables 3 to 6'!B:B,0))/10,3)</f>
        <v>5.2610000000000001</v>
      </c>
      <c r="F29" s="235">
        <f t="shared" si="1"/>
        <v>5.2610000000000001</v>
      </c>
      <c r="G29" s="235"/>
      <c r="H29" s="235"/>
      <c r="I29" s="232"/>
      <c r="K29" s="227" t="s">
        <v>155</v>
      </c>
      <c r="L29" s="232"/>
    </row>
    <row r="30" spans="1:12" x14ac:dyDescent="0.2">
      <c r="A30" s="232"/>
      <c r="B30" s="233">
        <v>2036</v>
      </c>
      <c r="C30" s="235">
        <f>ROUND(INDEX('Tables 3 to 6'!Y:Y,MATCH(B30,'Tables 3 to 6'!B:B,0))/10,3)</f>
        <v>9.2509999999999994</v>
      </c>
      <c r="D30" s="234">
        <f t="shared" si="0"/>
        <v>9.2509999999999994</v>
      </c>
      <c r="E30" s="235">
        <f>ROUND(INDEX('Tables 3 to 6'!Z:Z,MATCH(B30,'Tables 3 to 6'!B:B,0))/10,3)</f>
        <v>5.375</v>
      </c>
      <c r="F30" s="235">
        <f t="shared" si="1"/>
        <v>5.375</v>
      </c>
      <c r="G30" s="235"/>
      <c r="H30" s="235"/>
      <c r="I30" s="232"/>
      <c r="K30" s="237">
        <v>6.8820000000000006E-2</v>
      </c>
      <c r="L30" s="232"/>
    </row>
    <row r="31" spans="1:12" x14ac:dyDescent="0.2">
      <c r="A31" s="232"/>
      <c r="B31" s="233">
        <v>2037</v>
      </c>
      <c r="C31" s="235">
        <f>ROUND(INDEX('Tables 3 to 6'!Y:Y,MATCH(B31,'Tables 3 to 6'!B:B,0))/10,3)</f>
        <v>9.4469999999999992</v>
      </c>
      <c r="D31" s="234">
        <f t="shared" si="0"/>
        <v>9.4469999999999992</v>
      </c>
      <c r="E31" s="235">
        <f>ROUND(INDEX('Tables 3 to 6'!Z:Z,MATCH(B31,'Tables 3 to 6'!B:B,0))/10,3)</f>
        <v>5.4889999999999999</v>
      </c>
      <c r="F31" s="235">
        <f t="shared" si="1"/>
        <v>5.4889999999999999</v>
      </c>
      <c r="G31" s="235"/>
      <c r="H31" s="235"/>
      <c r="I31" s="232"/>
      <c r="L31" s="232"/>
    </row>
    <row r="32" spans="1:12" x14ac:dyDescent="0.2">
      <c r="A32" s="232"/>
      <c r="B32" s="233">
        <v>2038</v>
      </c>
      <c r="C32" s="235">
        <f>ROUND(INDEX('Tables 3 to 6'!Y:Y,MATCH(B32,'Tables 3 to 6'!B:B,0))/10,3)</f>
        <v>9.6440000000000001</v>
      </c>
      <c r="D32" s="234">
        <f t="shared" si="0"/>
        <v>9.6440000000000001</v>
      </c>
      <c r="E32" s="235">
        <f>ROUND(INDEX('Tables 3 to 6'!Z:Z,MATCH(B32,'Tables 3 to 6'!B:B,0))/10,3)</f>
        <v>5.6029999999999998</v>
      </c>
      <c r="F32" s="235">
        <f t="shared" si="1"/>
        <v>5.6029999999999998</v>
      </c>
      <c r="G32" s="235"/>
      <c r="H32" s="235"/>
      <c r="I32" s="232"/>
      <c r="L32" s="232"/>
    </row>
    <row r="33" spans="1:12" x14ac:dyDescent="0.2">
      <c r="A33" s="232"/>
      <c r="B33" s="233"/>
      <c r="C33" s="232"/>
      <c r="D33" s="232"/>
      <c r="E33" s="232"/>
      <c r="F33" s="232"/>
      <c r="G33" s="232"/>
      <c r="H33" s="333"/>
      <c r="I33" s="232"/>
      <c r="L33" s="232"/>
    </row>
    <row r="34" spans="1:12" x14ac:dyDescent="0.2">
      <c r="A34" s="232"/>
      <c r="C34" s="230" t="s">
        <v>298</v>
      </c>
      <c r="D34" s="230"/>
      <c r="E34" s="334" t="s">
        <v>135</v>
      </c>
      <c r="F34" s="334"/>
      <c r="G34" s="230"/>
      <c r="H34" s="230"/>
      <c r="I34" s="232"/>
      <c r="L34" s="232"/>
    </row>
    <row r="35" spans="1:12" ht="1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G35" s="231"/>
      <c r="H35" s="231"/>
      <c r="I35" s="232"/>
      <c r="L35" s="232"/>
    </row>
    <row r="36" spans="1:12" ht="32.25" customHeight="1" x14ac:dyDescent="0.2">
      <c r="B36" s="239" t="s">
        <v>297</v>
      </c>
      <c r="C36" s="240">
        <f>-PMT($K$30,COUNT(C9:C28),NPV($K$30,C9:C28))</f>
        <v>6.1144028161520589</v>
      </c>
      <c r="D36" s="240">
        <f>-PMT($K$30,COUNT(D9:D28),NPV($K$30,D9:D28))</f>
        <v>6.3176759770692463</v>
      </c>
      <c r="E36" s="240">
        <f>-PMT($K$30,COUNT(E9:E28),NPV($K$30,E9:E28))</f>
        <v>3.9894881859521822</v>
      </c>
      <c r="F36" s="240">
        <f>-PMT($K$30,COUNT(F9:F28),NPV($K$30,F9:F28))</f>
        <v>4.1927613468693687</v>
      </c>
      <c r="G36" s="240"/>
      <c r="H36" s="240"/>
      <c r="I36" s="232"/>
      <c r="L36" s="232"/>
    </row>
    <row r="37" spans="1:12" x14ac:dyDescent="0.2">
      <c r="A37" s="238"/>
      <c r="I37" s="232"/>
      <c r="L37" s="232"/>
    </row>
    <row r="38" spans="1:12" x14ac:dyDescent="0.2">
      <c r="A38" s="241"/>
      <c r="I38" s="232"/>
      <c r="L38" s="232"/>
    </row>
    <row r="39" spans="1:12" x14ac:dyDescent="0.2">
      <c r="A39" s="242"/>
    </row>
    <row r="40" spans="1:12" x14ac:dyDescent="0.2">
      <c r="A40" s="242"/>
      <c r="B40" s="60"/>
      <c r="C40" s="60"/>
      <c r="D40" s="60"/>
      <c r="E40" s="60"/>
      <c r="F40" s="243"/>
      <c r="G40" s="243"/>
    </row>
    <row r="41" spans="1:12" x14ac:dyDescent="0.2">
      <c r="A41" s="242"/>
      <c r="B41" s="329"/>
      <c r="C41" s="329"/>
      <c r="D41" s="246"/>
      <c r="E41" s="246"/>
      <c r="F41" s="243"/>
      <c r="G41" s="243"/>
    </row>
    <row r="42" spans="1:12" x14ac:dyDescent="0.2">
      <c r="A42" s="232"/>
      <c r="B42" s="329"/>
      <c r="C42" s="329"/>
      <c r="D42" s="246"/>
      <c r="E42" s="246"/>
      <c r="F42" s="232"/>
      <c r="G42" s="232"/>
    </row>
    <row r="43" spans="1:12" x14ac:dyDescent="0.2">
      <c r="A43" s="241"/>
      <c r="B43" s="329"/>
      <c r="C43" s="329"/>
      <c r="D43" s="246"/>
      <c r="E43" s="246"/>
    </row>
    <row r="44" spans="1:12" x14ac:dyDescent="0.2">
      <c r="A44" s="241"/>
      <c r="B44" s="329"/>
      <c r="C44" s="329"/>
      <c r="D44" s="246"/>
      <c r="E44" s="246"/>
    </row>
  </sheetData>
  <printOptions horizontalCentered="1"/>
  <pageMargins left="0.25" right="0.25" top="0.75" bottom="0.75" header="0.3" footer="0.3"/>
  <pageSetup scale="64" orientation="landscape" copies="3" r:id="rId1"/>
  <headerFooter alignWithMargins="0">
    <oddFooter>&amp;L&amp;8NPC Group - &amp;F   ( &amp;A )&amp;C &amp;R &amp;8&amp;D  &amp;T</oddFooter>
  </headerFooter>
  <ignoredErrors>
    <ignoredError sqref="E21:E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5"/>
  <sheetViews>
    <sheetView showGridLines="0" zoomScale="90" zoomScaleNormal="90" workbookViewId="0">
      <selection activeCell="B2" sqref="B2"/>
    </sheetView>
  </sheetViews>
  <sheetFormatPr defaultRowHeight="12" x14ac:dyDescent="0.2"/>
  <cols>
    <col min="1" max="1" width="2.83203125" style="227" customWidth="1"/>
    <col min="2" max="2" width="19.6640625" style="227" customWidth="1"/>
    <col min="3" max="5" width="18.83203125" style="227" customWidth="1"/>
    <col min="6" max="6" width="15" style="227" customWidth="1"/>
    <col min="7" max="7" width="17.5" style="227" customWidth="1"/>
    <col min="8" max="8" width="8" style="227" customWidth="1"/>
    <col min="9" max="9" width="10.1640625" style="227" customWidth="1"/>
    <col min="10" max="10" width="7.1640625" style="227" customWidth="1"/>
    <col min="11" max="11" width="9.33203125" style="352"/>
    <col min="12" max="12" width="11.6640625" style="352" customWidth="1"/>
    <col min="13" max="13" width="3.5" style="352" customWidth="1"/>
    <col min="14" max="14" width="17.1640625" style="352" customWidth="1"/>
    <col min="15" max="15" width="12.5" style="352" customWidth="1"/>
    <col min="16" max="16" width="11" style="352" customWidth="1"/>
    <col min="17" max="17" width="3.83203125" style="352" customWidth="1"/>
    <col min="18" max="19" width="12.5" style="352" customWidth="1"/>
    <col min="20" max="20" width="3.83203125" style="352" customWidth="1"/>
    <col min="21" max="22" width="12.5" style="352" customWidth="1"/>
    <col min="23" max="23" width="3.33203125" style="352" customWidth="1"/>
    <col min="24" max="25" width="12.5" style="352" customWidth="1"/>
    <col min="26" max="26" width="9.33203125" style="227" customWidth="1"/>
    <col min="27" max="29" width="5" style="336" customWidth="1"/>
    <col min="30" max="30" width="10.5" style="336" customWidth="1"/>
    <col min="31" max="16384" width="9.33203125" style="227"/>
  </cols>
  <sheetData>
    <row r="1" spans="1:29" x14ac:dyDescent="0.2">
      <c r="A1" s="2"/>
      <c r="B1" s="2"/>
      <c r="C1" s="2"/>
      <c r="D1" s="2"/>
      <c r="E1" s="2"/>
      <c r="F1" s="2"/>
      <c r="G1" s="2"/>
      <c r="H1" s="330"/>
      <c r="I1" s="2"/>
      <c r="L1" s="351"/>
      <c r="M1" s="351"/>
      <c r="AA1" s="342"/>
      <c r="AB1" s="342"/>
      <c r="AC1" s="342"/>
    </row>
    <row r="2" spans="1:29" x14ac:dyDescent="0.2">
      <c r="A2" s="2"/>
      <c r="B2" s="2" t="s">
        <v>108</v>
      </c>
      <c r="C2" s="2"/>
      <c r="D2" s="2"/>
      <c r="E2" s="2"/>
      <c r="F2" s="2"/>
      <c r="G2" s="2"/>
      <c r="H2" s="2"/>
      <c r="I2" s="2"/>
      <c r="L2" s="351"/>
      <c r="M2" s="351"/>
      <c r="AA2" s="342"/>
      <c r="AB2" s="342"/>
      <c r="AC2" s="342"/>
    </row>
    <row r="3" spans="1:29" x14ac:dyDescent="0.2">
      <c r="L3" s="351"/>
      <c r="M3" s="351"/>
    </row>
    <row r="4" spans="1:29" x14ac:dyDescent="0.2">
      <c r="A4" s="228"/>
      <c r="B4" s="258" t="s">
        <v>270</v>
      </c>
      <c r="C4" s="228"/>
      <c r="D4" s="228"/>
      <c r="E4" s="228"/>
      <c r="F4" s="228"/>
      <c r="G4" s="228"/>
      <c r="H4" s="228"/>
      <c r="L4" s="353"/>
      <c r="M4" s="353"/>
      <c r="O4" s="354"/>
      <c r="R4" s="354"/>
      <c r="U4" s="354"/>
      <c r="X4" s="354"/>
      <c r="AA4" s="228"/>
      <c r="AB4" s="228"/>
      <c r="AC4" s="228"/>
    </row>
    <row r="5" spans="1:29" x14ac:dyDescent="0.2">
      <c r="A5" s="228"/>
      <c r="B5" s="228"/>
      <c r="H5" s="332"/>
    </row>
    <row r="6" spans="1:29" x14ac:dyDescent="0.2">
      <c r="A6" s="228"/>
      <c r="B6" s="229" t="s">
        <v>136</v>
      </c>
      <c r="C6" s="230" t="s">
        <v>299</v>
      </c>
      <c r="D6" s="230"/>
      <c r="E6" s="334" t="s">
        <v>181</v>
      </c>
      <c r="F6" s="230"/>
      <c r="G6" s="230"/>
      <c r="H6" s="228"/>
      <c r="M6" s="355"/>
      <c r="O6" s="352" t="s">
        <v>291</v>
      </c>
      <c r="R6" s="352" t="s">
        <v>292</v>
      </c>
      <c r="U6" s="352" t="s">
        <v>293</v>
      </c>
      <c r="X6" s="352" t="s">
        <v>294</v>
      </c>
      <c r="AA6" s="230"/>
      <c r="AB6" s="230"/>
      <c r="AC6" s="230"/>
    </row>
    <row r="7" spans="1:29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G7" s="231"/>
      <c r="H7" s="228"/>
      <c r="L7" s="356" t="s">
        <v>295</v>
      </c>
      <c r="M7" s="357"/>
      <c r="N7" s="358" t="s">
        <v>286</v>
      </c>
      <c r="O7" s="358" t="s">
        <v>285</v>
      </c>
      <c r="P7" s="352" t="s">
        <v>287</v>
      </c>
      <c r="R7" s="358" t="s">
        <v>285</v>
      </c>
      <c r="S7" s="352" t="s">
        <v>287</v>
      </c>
      <c r="U7" s="358" t="s">
        <v>285</v>
      </c>
      <c r="V7" s="352" t="s">
        <v>287</v>
      </c>
      <c r="X7" s="358" t="s">
        <v>285</v>
      </c>
      <c r="Y7" s="352" t="s">
        <v>287</v>
      </c>
      <c r="AA7" s="231"/>
      <c r="AB7" s="231"/>
      <c r="AC7" s="231"/>
    </row>
    <row r="8" spans="1:29" hidden="1" x14ac:dyDescent="0.2">
      <c r="A8" s="232"/>
      <c r="B8" s="233">
        <v>2014</v>
      </c>
      <c r="C8" s="234">
        <f>ROUND('Table 2C SolarFixed'!C66/10,3)</f>
        <v>3.65</v>
      </c>
      <c r="D8" s="234">
        <f>ROUND('Table 2C SolarFixed'!G66/10,3)</f>
        <v>4.1059999999999999</v>
      </c>
      <c r="E8" s="234">
        <f>ROUND('Table 2C SolarFixed'!D66/10,3)</f>
        <v>2.5249999999999999</v>
      </c>
      <c r="F8" s="234">
        <f>ROUND('Table 2C SolarFixed'!H66/10,3)</f>
        <v>2.9809999999999999</v>
      </c>
      <c r="G8" s="234"/>
      <c r="H8" s="235"/>
      <c r="I8" s="331"/>
      <c r="L8" s="359">
        <v>1</v>
      </c>
      <c r="M8" s="360"/>
      <c r="N8" s="352">
        <f>1*8760*$L8</f>
        <v>8760</v>
      </c>
      <c r="O8" s="361">
        <f t="shared" ref="O8:O32" si="0">C8*1*8760*$L8</f>
        <v>31974</v>
      </c>
      <c r="P8" s="352">
        <f t="shared" ref="P8:P32" si="1">N8*$P$36</f>
        <v>44693.55155703186</v>
      </c>
      <c r="R8" s="361">
        <f t="shared" ref="R8:R32" si="2">D8*1*8760*$L8</f>
        <v>35968.559999999998</v>
      </c>
      <c r="S8" s="352">
        <f>N8*$S$36</f>
        <v>46492.551944766725</v>
      </c>
      <c r="U8" s="361">
        <f t="shared" ref="U8:U32" si="3">E8*1*8760*$L8</f>
        <v>22119</v>
      </c>
      <c r="V8" s="352">
        <f>N8*$V$36</f>
        <v>32233.805987987223</v>
      </c>
      <c r="X8" s="361">
        <f t="shared" ref="X8:X32" si="4">F8*1*8760*$L8</f>
        <v>26113.559999999998</v>
      </c>
      <c r="Y8" s="352">
        <f>N8*$Y$36</f>
        <v>34030.414513968484</v>
      </c>
      <c r="AA8" s="235"/>
      <c r="AB8" s="235"/>
      <c r="AC8" s="235"/>
    </row>
    <row r="9" spans="1:29" x14ac:dyDescent="0.2">
      <c r="A9" s="232"/>
      <c r="B9" s="233">
        <v>2015</v>
      </c>
      <c r="C9" s="234">
        <f>ROUND('Table 2C SolarFixed'!C67/10,3)</f>
        <v>3.8610000000000002</v>
      </c>
      <c r="D9" s="234">
        <f>ROUND('Table 2C SolarFixed'!G67/10,3)</f>
        <v>3.8159999999999998</v>
      </c>
      <c r="E9" s="234">
        <f>ROUND('Table 2C SolarFixed'!D67/10,3)</f>
        <v>2.996</v>
      </c>
      <c r="F9" s="234">
        <f>ROUND('Table 2C SolarFixed'!H67/10,3)</f>
        <v>2.95</v>
      </c>
      <c r="G9" s="234"/>
      <c r="H9" s="235"/>
      <c r="L9" s="360">
        <f>L8-0.007</f>
        <v>0.99299999999999999</v>
      </c>
      <c r="M9" s="360"/>
      <c r="N9" s="352">
        <f t="shared" ref="N9:N32" si="5">1*8760*$L9</f>
        <v>8698.68</v>
      </c>
      <c r="O9" s="361">
        <f t="shared" si="0"/>
        <v>33585.603479999998</v>
      </c>
      <c r="P9" s="352">
        <f t="shared" si="1"/>
        <v>44380.69669613264</v>
      </c>
      <c r="R9" s="361">
        <f t="shared" si="2"/>
        <v>33194.162879999996</v>
      </c>
      <c r="S9" s="352">
        <f t="shared" ref="S9:S32" si="6">N9*$S$36</f>
        <v>46167.10408115336</v>
      </c>
      <c r="U9" s="361">
        <f t="shared" si="3"/>
        <v>26061.245279999999</v>
      </c>
      <c r="V9" s="352">
        <f t="shared" ref="V9:V32" si="7">N9*$V$36</f>
        <v>32008.169346071314</v>
      </c>
      <c r="X9" s="361">
        <f t="shared" si="4"/>
        <v>25661.106</v>
      </c>
      <c r="Y9" s="352">
        <f t="shared" ref="Y9:Y32" si="8">N9*$Y$36</f>
        <v>33792.201612370707</v>
      </c>
      <c r="AA9" s="235"/>
      <c r="AB9" s="235"/>
      <c r="AC9" s="235"/>
    </row>
    <row r="10" spans="1:29" x14ac:dyDescent="0.2">
      <c r="A10" s="232"/>
      <c r="B10" s="233">
        <v>2016</v>
      </c>
      <c r="C10" s="234">
        <f>ROUND('Table 2C SolarFixed'!C68/10,3)</f>
        <v>3.5739999999999998</v>
      </c>
      <c r="D10" s="234">
        <f>ROUND('Table 2C SolarFixed'!G68/10,3)</f>
        <v>3.7120000000000002</v>
      </c>
      <c r="E10" s="234">
        <f>ROUND('Table 2C SolarFixed'!D68/10,3)</f>
        <v>2.6930000000000001</v>
      </c>
      <c r="F10" s="234">
        <f>ROUND('Table 2C SolarFixed'!H68/10,3)</f>
        <v>2.831</v>
      </c>
      <c r="G10" s="234"/>
      <c r="H10" s="235"/>
      <c r="L10" s="360">
        <f t="shared" ref="L10:L32" si="9">L9-0.007</f>
        <v>0.98599999999999999</v>
      </c>
      <c r="M10" s="360"/>
      <c r="N10" s="352">
        <f t="shared" si="5"/>
        <v>8637.36</v>
      </c>
      <c r="O10" s="361">
        <f t="shared" si="0"/>
        <v>30869.924639999997</v>
      </c>
      <c r="P10" s="352">
        <f t="shared" si="1"/>
        <v>44067.841835233412</v>
      </c>
      <c r="R10" s="361">
        <f t="shared" si="2"/>
        <v>32061.880320000004</v>
      </c>
      <c r="S10" s="352">
        <f t="shared" si="6"/>
        <v>45841.656217539996</v>
      </c>
      <c r="U10" s="361">
        <f t="shared" si="3"/>
        <v>23260.410479999999</v>
      </c>
      <c r="V10" s="352">
        <f t="shared" si="7"/>
        <v>31782.532704155405</v>
      </c>
      <c r="X10" s="361">
        <f t="shared" si="4"/>
        <v>24452.366160000001</v>
      </c>
      <c r="Y10" s="352">
        <f t="shared" si="8"/>
        <v>33553.98871077293</v>
      </c>
      <c r="AA10" s="235"/>
      <c r="AB10" s="235"/>
      <c r="AC10" s="235"/>
    </row>
    <row r="11" spans="1:29" x14ac:dyDescent="0.2">
      <c r="A11" s="232"/>
      <c r="B11" s="233">
        <v>2017</v>
      </c>
      <c r="C11" s="234">
        <f>ROUND('Table 2C SolarFixed'!C69/10,3)</f>
        <v>3.6560000000000001</v>
      </c>
      <c r="D11" s="234">
        <f>ROUND('Table 2C SolarFixed'!G69/10,3)</f>
        <v>3.9460000000000002</v>
      </c>
      <c r="E11" s="234">
        <f>ROUND('Table 2C SolarFixed'!D69/10,3)</f>
        <v>2.7589999999999999</v>
      </c>
      <c r="F11" s="234">
        <f>ROUND('Table 2C SolarFixed'!H69/10,3)</f>
        <v>3.0489999999999999</v>
      </c>
      <c r="G11" s="234"/>
      <c r="H11" s="235"/>
      <c r="L11" s="360">
        <f t="shared" si="9"/>
        <v>0.97899999999999998</v>
      </c>
      <c r="M11" s="360"/>
      <c r="N11" s="352">
        <f t="shared" si="5"/>
        <v>8576.0399999999991</v>
      </c>
      <c r="O11" s="361">
        <f t="shared" si="0"/>
        <v>31354.002240000002</v>
      </c>
      <c r="P11" s="352">
        <f t="shared" si="1"/>
        <v>43754.986974334184</v>
      </c>
      <c r="R11" s="361">
        <f t="shared" si="2"/>
        <v>33841.05384</v>
      </c>
      <c r="S11" s="352">
        <f t="shared" si="6"/>
        <v>45516.208353926617</v>
      </c>
      <c r="U11" s="361">
        <f t="shared" si="3"/>
        <v>23661.29436</v>
      </c>
      <c r="V11" s="352">
        <f t="shared" si="7"/>
        <v>31556.896062239488</v>
      </c>
      <c r="X11" s="361">
        <f t="shared" si="4"/>
        <v>26148.345959999999</v>
      </c>
      <c r="Y11" s="352">
        <f t="shared" si="8"/>
        <v>33315.775809175146</v>
      </c>
      <c r="AA11" s="235"/>
      <c r="AB11" s="235"/>
      <c r="AC11" s="235"/>
    </row>
    <row r="12" spans="1:29" x14ac:dyDescent="0.2">
      <c r="A12" s="232"/>
      <c r="B12" s="233">
        <v>2018</v>
      </c>
      <c r="C12" s="234">
        <f>ROUND('Table 2C SolarFixed'!C70/10,3)</f>
        <v>4.0839999999999996</v>
      </c>
      <c r="D12" s="234">
        <f>ROUND('Table 2C SolarFixed'!G70/10,3)</f>
        <v>4.3259999999999996</v>
      </c>
      <c r="E12" s="234">
        <f>ROUND('Table 2C SolarFixed'!D70/10,3)</f>
        <v>3.0190000000000001</v>
      </c>
      <c r="F12" s="234">
        <f>ROUND('Table 2C SolarFixed'!H70/10,3)</f>
        <v>3.26</v>
      </c>
      <c r="G12" s="234"/>
      <c r="H12" s="235"/>
      <c r="L12" s="360">
        <f t="shared" si="9"/>
        <v>0.97199999999999998</v>
      </c>
      <c r="M12" s="360"/>
      <c r="N12" s="352">
        <f t="shared" si="5"/>
        <v>8514.7199999999993</v>
      </c>
      <c r="O12" s="361">
        <f t="shared" si="0"/>
        <v>34774.116479999997</v>
      </c>
      <c r="P12" s="352">
        <f t="shared" si="1"/>
        <v>43442.132113434964</v>
      </c>
      <c r="R12" s="361">
        <f t="shared" si="2"/>
        <v>36834.678719999996</v>
      </c>
      <c r="S12" s="352">
        <f t="shared" si="6"/>
        <v>45190.760490313252</v>
      </c>
      <c r="U12" s="361">
        <f t="shared" si="3"/>
        <v>25705.939680000003</v>
      </c>
      <c r="V12" s="352">
        <f t="shared" si="7"/>
        <v>31331.259420323579</v>
      </c>
      <c r="X12" s="361">
        <f t="shared" si="4"/>
        <v>27757.9872</v>
      </c>
      <c r="Y12" s="352">
        <f t="shared" si="8"/>
        <v>33077.562907577369</v>
      </c>
      <c r="AA12" s="235"/>
      <c r="AB12" s="235"/>
      <c r="AC12" s="235"/>
    </row>
    <row r="13" spans="1:29" x14ac:dyDescent="0.2">
      <c r="A13" s="232"/>
      <c r="B13" s="233">
        <v>2019</v>
      </c>
      <c r="C13" s="234">
        <f>ROUND('Table 2C SolarFixed'!C71/10,3)</f>
        <v>4.2480000000000002</v>
      </c>
      <c r="D13" s="234">
        <f>ROUND('Table 2C SolarFixed'!G71/10,3)</f>
        <v>4.548</v>
      </c>
      <c r="E13" s="234">
        <f>ROUND('Table 2C SolarFixed'!D71/10,3)</f>
        <v>3.165</v>
      </c>
      <c r="F13" s="234">
        <f>ROUND('Table 2C SolarFixed'!H71/10,3)</f>
        <v>3.4649999999999999</v>
      </c>
      <c r="G13" s="234"/>
      <c r="H13" s="235"/>
      <c r="L13" s="360">
        <f t="shared" si="9"/>
        <v>0.96499999999999997</v>
      </c>
      <c r="M13" s="360"/>
      <c r="N13" s="352">
        <f t="shared" si="5"/>
        <v>8453.4</v>
      </c>
      <c r="O13" s="361">
        <f t="shared" si="0"/>
        <v>35910.0432</v>
      </c>
      <c r="P13" s="352">
        <f t="shared" si="1"/>
        <v>43129.277252535743</v>
      </c>
      <c r="R13" s="361">
        <f t="shared" si="2"/>
        <v>38446.063200000004</v>
      </c>
      <c r="S13" s="352">
        <f t="shared" si="6"/>
        <v>44865.312626699888</v>
      </c>
      <c r="U13" s="361">
        <f t="shared" si="3"/>
        <v>26755.011000000002</v>
      </c>
      <c r="V13" s="352">
        <f t="shared" si="7"/>
        <v>31105.622778407669</v>
      </c>
      <c r="X13" s="361">
        <f t="shared" si="4"/>
        <v>29291.030999999995</v>
      </c>
      <c r="Y13" s="352">
        <f t="shared" si="8"/>
        <v>32839.350005979592</v>
      </c>
      <c r="AA13" s="235"/>
      <c r="AB13" s="235"/>
      <c r="AC13" s="235"/>
    </row>
    <row r="14" spans="1:29" x14ac:dyDescent="0.2">
      <c r="A14" s="232"/>
      <c r="B14" s="233">
        <v>2020</v>
      </c>
      <c r="C14" s="234">
        <f>ROUND('Table 2C SolarFixed'!C72/10,3)</f>
        <v>4.5449999999999999</v>
      </c>
      <c r="D14" s="234">
        <f>ROUND('Table 2C SolarFixed'!G72/10,3)</f>
        <v>5.056</v>
      </c>
      <c r="E14" s="234">
        <f>ROUND('Table 2C SolarFixed'!D72/10,3)</f>
        <v>3.4420000000000002</v>
      </c>
      <c r="F14" s="234">
        <f>ROUND('Table 2C SolarFixed'!H72/10,3)</f>
        <v>3.9529999999999998</v>
      </c>
      <c r="G14" s="234"/>
      <c r="H14" s="235"/>
      <c r="L14" s="360">
        <f t="shared" si="9"/>
        <v>0.95799999999999996</v>
      </c>
      <c r="M14" s="360"/>
      <c r="N14" s="352">
        <f t="shared" si="5"/>
        <v>8392.08</v>
      </c>
      <c r="O14" s="361">
        <f t="shared" si="0"/>
        <v>38142.003599999996</v>
      </c>
      <c r="P14" s="352">
        <f t="shared" si="1"/>
        <v>42816.422391636523</v>
      </c>
      <c r="R14" s="361">
        <f t="shared" si="2"/>
        <v>42430.356479999995</v>
      </c>
      <c r="S14" s="352">
        <f t="shared" si="6"/>
        <v>44539.864763086523</v>
      </c>
      <c r="U14" s="361">
        <f t="shared" si="3"/>
        <v>28885.539360000002</v>
      </c>
      <c r="V14" s="352">
        <f t="shared" si="7"/>
        <v>30879.98613649176</v>
      </c>
      <c r="X14" s="361">
        <f t="shared" si="4"/>
        <v>33173.892240000001</v>
      </c>
      <c r="Y14" s="352">
        <f t="shared" si="8"/>
        <v>32601.137104381811</v>
      </c>
      <c r="AA14" s="235"/>
      <c r="AB14" s="235"/>
      <c r="AC14" s="235"/>
    </row>
    <row r="15" spans="1:29" x14ac:dyDescent="0.2">
      <c r="A15" s="232"/>
      <c r="B15" s="233">
        <v>2021</v>
      </c>
      <c r="C15" s="234">
        <f>ROUND('Table 2C SolarFixed'!C73/10,3)</f>
        <v>5.133</v>
      </c>
      <c r="D15" s="234">
        <f>ROUND('Table 2C SolarFixed'!G73/10,3)</f>
        <v>5.4109999999999996</v>
      </c>
      <c r="E15" s="234">
        <f>ROUND('Table 2C SolarFixed'!D73/10,3)</f>
        <v>3.8490000000000002</v>
      </c>
      <c r="F15" s="234">
        <f>ROUND('Table 2C SolarFixed'!H73/10,3)</f>
        <v>4.1260000000000003</v>
      </c>
      <c r="G15" s="234"/>
      <c r="H15" s="235"/>
      <c r="L15" s="360">
        <f t="shared" si="9"/>
        <v>0.95099999999999996</v>
      </c>
      <c r="M15" s="360"/>
      <c r="N15" s="352">
        <f t="shared" si="5"/>
        <v>8330.76</v>
      </c>
      <c r="O15" s="361">
        <f t="shared" si="0"/>
        <v>42761.791080000003</v>
      </c>
      <c r="P15" s="352">
        <f t="shared" si="1"/>
        <v>42503.567530737295</v>
      </c>
      <c r="R15" s="361">
        <f t="shared" si="2"/>
        <v>45077.742359999989</v>
      </c>
      <c r="S15" s="352">
        <f t="shared" si="6"/>
        <v>44214.416899473159</v>
      </c>
      <c r="U15" s="361">
        <f t="shared" si="3"/>
        <v>32065.095240000002</v>
      </c>
      <c r="V15" s="352">
        <f t="shared" si="7"/>
        <v>30654.34949457585</v>
      </c>
      <c r="X15" s="361">
        <f t="shared" si="4"/>
        <v>34372.715759999999</v>
      </c>
      <c r="Y15" s="352">
        <f t="shared" si="8"/>
        <v>32362.92420278403</v>
      </c>
      <c r="AA15" s="235"/>
      <c r="AB15" s="235"/>
      <c r="AC15" s="235"/>
    </row>
    <row r="16" spans="1:29" x14ac:dyDescent="0.2">
      <c r="A16" s="232"/>
      <c r="B16" s="233">
        <v>2022</v>
      </c>
      <c r="C16" s="234">
        <f>ROUND('Table 2C SolarFixed'!C74/10,3)</f>
        <v>5.2119999999999997</v>
      </c>
      <c r="D16" s="234">
        <f>ROUND('Table 2C SolarFixed'!G74/10,3)</f>
        <v>5.5540000000000003</v>
      </c>
      <c r="E16" s="234">
        <f>ROUND('Table 2C SolarFixed'!D74/10,3)</f>
        <v>3.9039999999999999</v>
      </c>
      <c r="F16" s="234">
        <f>ROUND('Table 2C SolarFixed'!H74/10,3)</f>
        <v>4.2460000000000004</v>
      </c>
      <c r="G16" s="234"/>
      <c r="H16" s="235"/>
      <c r="L16" s="360">
        <f t="shared" si="9"/>
        <v>0.94399999999999995</v>
      </c>
      <c r="M16" s="360"/>
      <c r="N16" s="352">
        <f t="shared" si="5"/>
        <v>8269.4399999999987</v>
      </c>
      <c r="O16" s="361">
        <f t="shared" si="0"/>
        <v>43100.321279999996</v>
      </c>
      <c r="P16" s="352">
        <f t="shared" si="1"/>
        <v>42190.712669838067</v>
      </c>
      <c r="R16" s="361">
        <f t="shared" si="2"/>
        <v>45928.46976</v>
      </c>
      <c r="S16" s="352">
        <f t="shared" si="6"/>
        <v>43888.96903585978</v>
      </c>
      <c r="U16" s="361">
        <f t="shared" si="3"/>
        <v>32283.893759999999</v>
      </c>
      <c r="V16" s="352">
        <f t="shared" si="7"/>
        <v>30428.712852659934</v>
      </c>
      <c r="X16" s="361">
        <f t="shared" si="4"/>
        <v>35112.042240000002</v>
      </c>
      <c r="Y16" s="352">
        <f t="shared" si="8"/>
        <v>32124.711301186246</v>
      </c>
      <c r="AA16" s="235"/>
      <c r="AB16" s="235"/>
      <c r="AC16" s="235"/>
    </row>
    <row r="17" spans="1:29" x14ac:dyDescent="0.2">
      <c r="A17" s="232"/>
      <c r="B17" s="233">
        <v>2023</v>
      </c>
      <c r="C17" s="234">
        <f>ROUND('Table 2C SolarFixed'!C75/10,3)</f>
        <v>5.4130000000000003</v>
      </c>
      <c r="D17" s="234">
        <f>ROUND('Table 2C SolarFixed'!G75/10,3)</f>
        <v>5.6660000000000004</v>
      </c>
      <c r="E17" s="234">
        <f>ROUND('Table 2C SolarFixed'!D75/10,3)</f>
        <v>4.0819999999999999</v>
      </c>
      <c r="F17" s="234">
        <f>ROUND('Table 2C SolarFixed'!H75/10,3)</f>
        <v>4.335</v>
      </c>
      <c r="G17" s="234"/>
      <c r="H17" s="235"/>
      <c r="L17" s="360">
        <f t="shared" si="9"/>
        <v>0.93699999999999994</v>
      </c>
      <c r="M17" s="360"/>
      <c r="N17" s="352">
        <f t="shared" si="5"/>
        <v>8208.119999999999</v>
      </c>
      <c r="O17" s="361">
        <f t="shared" si="0"/>
        <v>44430.55356</v>
      </c>
      <c r="P17" s="352">
        <f t="shared" si="1"/>
        <v>41877.857808938847</v>
      </c>
      <c r="R17" s="361">
        <f t="shared" si="2"/>
        <v>46507.207920000001</v>
      </c>
      <c r="S17" s="352">
        <f t="shared" si="6"/>
        <v>43563.521172246416</v>
      </c>
      <c r="U17" s="361">
        <f t="shared" si="3"/>
        <v>33505.545839999999</v>
      </c>
      <c r="V17" s="352">
        <f t="shared" si="7"/>
        <v>30203.076210744024</v>
      </c>
      <c r="X17" s="361">
        <f t="shared" si="4"/>
        <v>35582.200199999999</v>
      </c>
      <c r="Y17" s="352">
        <f t="shared" si="8"/>
        <v>31886.498399588469</v>
      </c>
      <c r="AA17" s="235"/>
      <c r="AB17" s="235"/>
      <c r="AC17" s="235"/>
    </row>
    <row r="18" spans="1:29" x14ac:dyDescent="0.2">
      <c r="A18" s="232"/>
      <c r="B18" s="233">
        <v>2024</v>
      </c>
      <c r="C18" s="234">
        <f>ROUND('Table 2C SolarFixed'!C76/10,3)</f>
        <v>5.6130000000000004</v>
      </c>
      <c r="D18" s="234">
        <f>ROUND('Table 2C SolarFixed'!G76/10,3)</f>
        <v>5.9459999999999997</v>
      </c>
      <c r="E18" s="234">
        <f>ROUND('Table 2C SolarFixed'!D76/10,3)</f>
        <v>4.258</v>
      </c>
      <c r="F18" s="234">
        <f>ROUND('Table 2C SolarFixed'!H76/10,3)</f>
        <v>4.59</v>
      </c>
      <c r="G18" s="234"/>
      <c r="H18" s="235"/>
      <c r="L18" s="360">
        <f t="shared" si="9"/>
        <v>0.92999999999999994</v>
      </c>
      <c r="M18" s="360"/>
      <c r="N18" s="352">
        <f t="shared" si="5"/>
        <v>8146.7999999999993</v>
      </c>
      <c r="O18" s="361">
        <f t="shared" si="0"/>
        <v>45727.988400000002</v>
      </c>
      <c r="P18" s="352">
        <f t="shared" si="1"/>
        <v>41565.002948039626</v>
      </c>
      <c r="R18" s="361">
        <f t="shared" si="2"/>
        <v>48440.872799999997</v>
      </c>
      <c r="S18" s="352">
        <f t="shared" si="6"/>
        <v>43238.073308633051</v>
      </c>
      <c r="U18" s="361">
        <f t="shared" si="3"/>
        <v>34689.074399999998</v>
      </c>
      <c r="V18" s="352">
        <f t="shared" si="7"/>
        <v>29977.439568828115</v>
      </c>
      <c r="X18" s="361">
        <f t="shared" si="4"/>
        <v>37393.811999999998</v>
      </c>
      <c r="Y18" s="352">
        <f t="shared" si="8"/>
        <v>31648.285497990692</v>
      </c>
      <c r="AA18" s="235"/>
      <c r="AB18" s="235"/>
      <c r="AC18" s="235"/>
    </row>
    <row r="19" spans="1:29" x14ac:dyDescent="0.2">
      <c r="A19" s="232"/>
      <c r="B19" s="233">
        <v>2025</v>
      </c>
      <c r="C19" s="234">
        <f>ROUND('Table 2C SolarFixed'!C77/10,3)</f>
        <v>6.024</v>
      </c>
      <c r="D19" s="234">
        <f>ROUND('Table 2C SolarFixed'!G77/10,3)</f>
        <v>6.4539999999999997</v>
      </c>
      <c r="E19" s="234">
        <f>ROUND('Table 2C SolarFixed'!D77/10,3)</f>
        <v>4.4729999999999999</v>
      </c>
      <c r="F19" s="234">
        <f>ROUND('Table 2C SolarFixed'!H77/10,3)</f>
        <v>4.9029999999999996</v>
      </c>
      <c r="G19" s="234"/>
      <c r="H19" s="235"/>
      <c r="L19" s="360">
        <f t="shared" si="9"/>
        <v>0.92299999999999993</v>
      </c>
      <c r="M19" s="360"/>
      <c r="N19" s="352">
        <f t="shared" si="5"/>
        <v>8085.48</v>
      </c>
      <c r="O19" s="361">
        <f t="shared" si="0"/>
        <v>48706.931519999991</v>
      </c>
      <c r="P19" s="352">
        <f t="shared" si="1"/>
        <v>41252.148087140406</v>
      </c>
      <c r="R19" s="361">
        <f t="shared" si="2"/>
        <v>52183.687919999997</v>
      </c>
      <c r="S19" s="352">
        <f t="shared" si="6"/>
        <v>42912.625445019687</v>
      </c>
      <c r="U19" s="361">
        <f t="shared" si="3"/>
        <v>36166.352039999991</v>
      </c>
      <c r="V19" s="352">
        <f t="shared" si="7"/>
        <v>29751.802926912205</v>
      </c>
      <c r="X19" s="361">
        <f t="shared" si="4"/>
        <v>39643.108439999996</v>
      </c>
      <c r="Y19" s="352">
        <f t="shared" si="8"/>
        <v>31410.072596392911</v>
      </c>
      <c r="AA19" s="235"/>
      <c r="AB19" s="235"/>
      <c r="AC19" s="235"/>
    </row>
    <row r="20" spans="1:29" x14ac:dyDescent="0.2">
      <c r="A20" s="232"/>
      <c r="B20" s="233">
        <v>2026</v>
      </c>
      <c r="C20" s="234">
        <f>ROUND('Table 2C SolarFixed'!C78/10,3)</f>
        <v>6.2510000000000003</v>
      </c>
      <c r="D20" s="234">
        <f>ROUND('Table 2C SolarFixed'!G78/10,3)</f>
        <v>6.75</v>
      </c>
      <c r="E20" s="234">
        <f>ROUND('Table 2C SolarFixed'!D78/10,3)</f>
        <v>4.67</v>
      </c>
      <c r="F20" s="234">
        <f>ROUND('Table 2C SolarFixed'!H78/10,3)</f>
        <v>5.1689999999999996</v>
      </c>
      <c r="G20" s="234"/>
      <c r="H20" s="235"/>
      <c r="K20" s="362"/>
      <c r="L20" s="360">
        <f t="shared" si="9"/>
        <v>0.91599999999999993</v>
      </c>
      <c r="M20" s="360"/>
      <c r="N20" s="352">
        <f t="shared" si="5"/>
        <v>8024.1599999999989</v>
      </c>
      <c r="O20" s="361">
        <f t="shared" si="0"/>
        <v>50159.024160000001</v>
      </c>
      <c r="P20" s="352">
        <f t="shared" si="1"/>
        <v>40939.293226241178</v>
      </c>
      <c r="R20" s="361">
        <f t="shared" si="2"/>
        <v>54163.079999999994</v>
      </c>
      <c r="S20" s="352">
        <f t="shared" si="6"/>
        <v>42587.177581406315</v>
      </c>
      <c r="U20" s="361">
        <f t="shared" si="3"/>
        <v>37472.827199999992</v>
      </c>
      <c r="V20" s="352">
        <f t="shared" si="7"/>
        <v>29526.166284996292</v>
      </c>
      <c r="X20" s="361">
        <f t="shared" si="4"/>
        <v>41476.883039999993</v>
      </c>
      <c r="Y20" s="352">
        <f t="shared" si="8"/>
        <v>31171.85969479513</v>
      </c>
      <c r="Z20" s="236"/>
      <c r="AA20" s="235"/>
      <c r="AB20" s="235"/>
      <c r="AC20" s="235"/>
    </row>
    <row r="21" spans="1:29" x14ac:dyDescent="0.2">
      <c r="A21" s="232"/>
      <c r="B21" s="233">
        <v>2027</v>
      </c>
      <c r="C21" s="235">
        <f>ROUND(INDEX('Tables 3 to 6'!AM:AM,MATCH(B21,'Tables 3 to 6'!B:B,0))/10,3)</f>
        <v>6.149</v>
      </c>
      <c r="D21" s="234">
        <f t="shared" ref="D21:D32" si="10">C21</f>
        <v>6.149</v>
      </c>
      <c r="E21" s="235">
        <f>ROUND(INDEX('Tables 3 to 6'!AN:AN,MATCH(B21,'Tables 3 to 6'!B:B,0))/10,3)</f>
        <v>3.94</v>
      </c>
      <c r="F21" s="235">
        <f t="shared" ref="F21:F32" si="11">E21</f>
        <v>3.94</v>
      </c>
      <c r="G21" s="235"/>
      <c r="H21" s="235"/>
      <c r="L21" s="360">
        <f t="shared" si="9"/>
        <v>0.90899999999999992</v>
      </c>
      <c r="M21" s="360"/>
      <c r="N21" s="352">
        <f t="shared" si="5"/>
        <v>7962.8399999999992</v>
      </c>
      <c r="O21" s="361">
        <f t="shared" si="0"/>
        <v>48963.503159999993</v>
      </c>
      <c r="P21" s="352">
        <f t="shared" si="1"/>
        <v>40626.438365341957</v>
      </c>
      <c r="R21" s="361">
        <f t="shared" si="2"/>
        <v>48963.503159999993</v>
      </c>
      <c r="S21" s="352">
        <f t="shared" si="6"/>
        <v>42261.72971779295</v>
      </c>
      <c r="U21" s="361">
        <f t="shared" si="3"/>
        <v>31373.589599999999</v>
      </c>
      <c r="V21" s="352">
        <f t="shared" si="7"/>
        <v>29300.529643080383</v>
      </c>
      <c r="X21" s="361">
        <f t="shared" si="4"/>
        <v>31373.589599999999</v>
      </c>
      <c r="Y21" s="352">
        <f t="shared" si="8"/>
        <v>30933.646793197353</v>
      </c>
      <c r="AA21" s="235"/>
      <c r="AB21" s="235"/>
      <c r="AC21" s="235"/>
    </row>
    <row r="22" spans="1:29" x14ac:dyDescent="0.2">
      <c r="A22" s="232"/>
      <c r="B22" s="233">
        <v>2028</v>
      </c>
      <c r="C22" s="235">
        <f>ROUND(INDEX('Tables 3 to 6'!AM:AM,MATCH(B22,'Tables 3 to 6'!B:B,0))/10,3)</f>
        <v>6.351</v>
      </c>
      <c r="D22" s="234">
        <f t="shared" si="10"/>
        <v>6.351</v>
      </c>
      <c r="E22" s="235">
        <f>ROUND(INDEX('Tables 3 to 6'!AN:AN,MATCH(B22,'Tables 3 to 6'!B:B,0))/10,3)</f>
        <v>4.0990000000000002</v>
      </c>
      <c r="F22" s="235">
        <f t="shared" si="11"/>
        <v>4.0990000000000002</v>
      </c>
      <c r="G22" s="235"/>
      <c r="H22" s="235"/>
      <c r="L22" s="360">
        <f t="shared" si="9"/>
        <v>0.90199999999999991</v>
      </c>
      <c r="M22" s="360"/>
      <c r="N22" s="352">
        <f t="shared" si="5"/>
        <v>7901.5199999999995</v>
      </c>
      <c r="O22" s="361">
        <f t="shared" si="0"/>
        <v>50182.553519999994</v>
      </c>
      <c r="P22" s="352">
        <f t="shared" si="1"/>
        <v>40313.583504442737</v>
      </c>
      <c r="R22" s="361">
        <f t="shared" si="2"/>
        <v>50182.553519999994</v>
      </c>
      <c r="S22" s="352">
        <f t="shared" si="6"/>
        <v>41936.281854179586</v>
      </c>
      <c r="U22" s="361">
        <f t="shared" si="3"/>
        <v>32388.330480000001</v>
      </c>
      <c r="V22" s="352">
        <f t="shared" si="7"/>
        <v>29074.893001164473</v>
      </c>
      <c r="X22" s="361">
        <f t="shared" si="4"/>
        <v>32388.330480000001</v>
      </c>
      <c r="Y22" s="352">
        <f t="shared" si="8"/>
        <v>30695.433891599572</v>
      </c>
      <c r="AA22" s="235"/>
      <c r="AB22" s="235"/>
      <c r="AC22" s="235"/>
    </row>
    <row r="23" spans="1:29" x14ac:dyDescent="0.2">
      <c r="A23" s="232"/>
      <c r="B23" s="233">
        <v>2029</v>
      </c>
      <c r="C23" s="235">
        <f>ROUND(INDEX('Tables 3 to 6'!AM:AM,MATCH(B23,'Tables 3 to 6'!B:B,0))/10,3)</f>
        <v>6.585</v>
      </c>
      <c r="D23" s="234">
        <f t="shared" si="10"/>
        <v>6.585</v>
      </c>
      <c r="E23" s="235">
        <f>ROUND(INDEX('Tables 3 to 6'!AN:AN,MATCH(B23,'Tables 3 to 6'!B:B,0))/10,3)</f>
        <v>4.29</v>
      </c>
      <c r="F23" s="235">
        <f t="shared" si="11"/>
        <v>4.29</v>
      </c>
      <c r="G23" s="235"/>
      <c r="H23" s="235"/>
      <c r="L23" s="360">
        <f t="shared" si="9"/>
        <v>0.89499999999999991</v>
      </c>
      <c r="M23" s="360"/>
      <c r="N23" s="352">
        <f t="shared" si="5"/>
        <v>7840.1999999999989</v>
      </c>
      <c r="O23" s="361">
        <f t="shared" si="0"/>
        <v>51627.716999999997</v>
      </c>
      <c r="P23" s="352">
        <f t="shared" si="1"/>
        <v>40000.728643543509</v>
      </c>
      <c r="R23" s="361">
        <f t="shared" si="2"/>
        <v>51627.716999999997</v>
      </c>
      <c r="S23" s="352">
        <f t="shared" si="6"/>
        <v>41610.833990566214</v>
      </c>
      <c r="U23" s="361">
        <f t="shared" si="3"/>
        <v>33634.457999999999</v>
      </c>
      <c r="V23" s="352">
        <f t="shared" si="7"/>
        <v>28849.25635924856</v>
      </c>
      <c r="X23" s="361">
        <f t="shared" si="4"/>
        <v>33634.457999999999</v>
      </c>
      <c r="Y23" s="352">
        <f t="shared" si="8"/>
        <v>30457.220990001792</v>
      </c>
      <c r="AA23" s="235"/>
      <c r="AB23" s="235"/>
      <c r="AC23" s="235"/>
    </row>
    <row r="24" spans="1:29" x14ac:dyDescent="0.2">
      <c r="A24" s="232"/>
      <c r="B24" s="233">
        <v>2030</v>
      </c>
      <c r="C24" s="235">
        <f>ROUND(INDEX('Tables 3 to 6'!AM:AM,MATCH(B24,'Tables 3 to 6'!B:B,0))/10,3)</f>
        <v>6.8209999999999997</v>
      </c>
      <c r="D24" s="234">
        <f t="shared" si="10"/>
        <v>6.8209999999999997</v>
      </c>
      <c r="E24" s="235">
        <f>ROUND(INDEX('Tables 3 to 6'!AN:AN,MATCH(B24,'Tables 3 to 6'!B:B,0))/10,3)</f>
        <v>4.4829999999999997</v>
      </c>
      <c r="F24" s="235">
        <f t="shared" si="11"/>
        <v>4.4829999999999997</v>
      </c>
      <c r="G24" s="235"/>
      <c r="H24" s="235"/>
      <c r="L24" s="360">
        <f t="shared" si="9"/>
        <v>0.8879999999999999</v>
      </c>
      <c r="M24" s="360"/>
      <c r="N24" s="352">
        <f t="shared" si="5"/>
        <v>7778.8799999999992</v>
      </c>
      <c r="O24" s="361">
        <f t="shared" si="0"/>
        <v>53059.740479999993</v>
      </c>
      <c r="P24" s="352">
        <f t="shared" si="1"/>
        <v>39687.873782644288</v>
      </c>
      <c r="R24" s="361">
        <f t="shared" si="2"/>
        <v>53059.740479999993</v>
      </c>
      <c r="S24" s="352">
        <f t="shared" si="6"/>
        <v>41285.38612695285</v>
      </c>
      <c r="U24" s="361">
        <f t="shared" si="3"/>
        <v>34872.719039999989</v>
      </c>
      <c r="V24" s="352">
        <f t="shared" si="7"/>
        <v>28623.619717332651</v>
      </c>
      <c r="X24" s="361">
        <f t="shared" si="4"/>
        <v>34872.719039999989</v>
      </c>
      <c r="Y24" s="352">
        <f t="shared" si="8"/>
        <v>30219.008088404014</v>
      </c>
      <c r="AA24" s="235"/>
      <c r="AB24" s="235"/>
      <c r="AC24" s="235"/>
    </row>
    <row r="25" spans="1:29" x14ac:dyDescent="0.2">
      <c r="A25" s="232"/>
      <c r="B25" s="233">
        <v>2031</v>
      </c>
      <c r="C25" s="235">
        <f>ROUND(INDEX('Tables 3 to 6'!AM:AM,MATCH(B25,'Tables 3 to 6'!B:B,0))/10,3)</f>
        <v>6.968</v>
      </c>
      <c r="D25" s="234">
        <f t="shared" si="10"/>
        <v>6.968</v>
      </c>
      <c r="E25" s="235">
        <f>ROUND(INDEX('Tables 3 to 6'!AN:AN,MATCH(B25,'Tables 3 to 6'!B:B,0))/10,3)</f>
        <v>4.5830000000000002</v>
      </c>
      <c r="F25" s="235">
        <f t="shared" si="11"/>
        <v>4.5830000000000002</v>
      </c>
      <c r="G25" s="235"/>
      <c r="H25" s="235"/>
      <c r="I25" s="232"/>
      <c r="L25" s="360">
        <f t="shared" si="9"/>
        <v>0.88099999999999989</v>
      </c>
      <c r="M25" s="360"/>
      <c r="N25" s="352">
        <f t="shared" si="5"/>
        <v>7717.5599999999995</v>
      </c>
      <c r="O25" s="361">
        <f t="shared" si="0"/>
        <v>53775.958079999997</v>
      </c>
      <c r="P25" s="352">
        <f t="shared" si="1"/>
        <v>39375.018921745061</v>
      </c>
      <c r="R25" s="361">
        <f t="shared" si="2"/>
        <v>53775.958079999997</v>
      </c>
      <c r="S25" s="352">
        <f t="shared" si="6"/>
        <v>40959.938263339485</v>
      </c>
      <c r="U25" s="361">
        <f t="shared" si="3"/>
        <v>35369.57748</v>
      </c>
      <c r="V25" s="352">
        <f t="shared" si="7"/>
        <v>28397.983075416741</v>
      </c>
      <c r="X25" s="361">
        <f t="shared" si="4"/>
        <v>35369.57748</v>
      </c>
      <c r="Y25" s="352">
        <f t="shared" si="8"/>
        <v>29980.795186806234</v>
      </c>
      <c r="AA25" s="235"/>
      <c r="AB25" s="235"/>
      <c r="AC25" s="235"/>
    </row>
    <row r="26" spans="1:29" x14ac:dyDescent="0.2">
      <c r="A26" s="232"/>
      <c r="B26" s="233">
        <v>2032</v>
      </c>
      <c r="C26" s="235">
        <f>ROUND(INDEX('Tables 3 to 6'!AM:AM,MATCH(B26,'Tables 3 to 6'!B:B,0))/10,3)</f>
        <v>7.109</v>
      </c>
      <c r="D26" s="234">
        <f t="shared" si="10"/>
        <v>7.109</v>
      </c>
      <c r="E26" s="235">
        <f>ROUND(INDEX('Tables 3 to 6'!AN:AN,MATCH(B26,'Tables 3 to 6'!B:B,0))/10,3)</f>
        <v>4.6769999999999996</v>
      </c>
      <c r="F26" s="235">
        <f>E26</f>
        <v>4.6769999999999996</v>
      </c>
      <c r="G26" s="235"/>
      <c r="H26" s="235"/>
      <c r="I26" s="232"/>
      <c r="L26" s="360">
        <f t="shared" si="9"/>
        <v>0.87399999999999989</v>
      </c>
      <c r="M26" s="360"/>
      <c r="N26" s="352">
        <f t="shared" si="5"/>
        <v>7656.2399999999989</v>
      </c>
      <c r="O26" s="361">
        <f t="shared" si="0"/>
        <v>54428.210159999988</v>
      </c>
      <c r="P26" s="352">
        <f t="shared" si="1"/>
        <v>39062.16406084584</v>
      </c>
      <c r="R26" s="361">
        <f t="shared" si="2"/>
        <v>54428.210159999988</v>
      </c>
      <c r="S26" s="352">
        <f t="shared" si="6"/>
        <v>40634.490399726114</v>
      </c>
      <c r="U26" s="361">
        <f t="shared" si="3"/>
        <v>35808.234479999992</v>
      </c>
      <c r="V26" s="352">
        <f t="shared" si="7"/>
        <v>28172.346433500828</v>
      </c>
      <c r="X26" s="361">
        <f t="shared" si="4"/>
        <v>35808.234479999992</v>
      </c>
      <c r="Y26" s="352">
        <f t="shared" si="8"/>
        <v>29742.582285208453</v>
      </c>
      <c r="AA26" s="235"/>
      <c r="AB26" s="235"/>
      <c r="AC26" s="235"/>
    </row>
    <row r="27" spans="1:29" x14ac:dyDescent="0.2">
      <c r="A27" s="232"/>
      <c r="B27" s="233">
        <v>2033</v>
      </c>
      <c r="C27" s="235">
        <f>ROUND(INDEX('Tables 3 to 6'!AM:AM,MATCH(B27,'Tables 3 to 6'!B:B,0))/10,3)</f>
        <v>7.2590000000000003</v>
      </c>
      <c r="D27" s="234">
        <f t="shared" si="10"/>
        <v>7.2590000000000003</v>
      </c>
      <c r="E27" s="235">
        <f>ROUND(INDEX('Tables 3 to 6'!AN:AN,MATCH(B27,'Tables 3 to 6'!B:B,0))/10,3)</f>
        <v>4.7770000000000001</v>
      </c>
      <c r="F27" s="235">
        <f t="shared" si="11"/>
        <v>4.7770000000000001</v>
      </c>
      <c r="G27" s="235"/>
      <c r="H27" s="235"/>
      <c r="I27" s="232"/>
      <c r="L27" s="360">
        <f t="shared" si="9"/>
        <v>0.86699999999999988</v>
      </c>
      <c r="M27" s="360"/>
      <c r="N27" s="352">
        <f t="shared" si="5"/>
        <v>7594.9199999999992</v>
      </c>
      <c r="O27" s="361">
        <f t="shared" si="0"/>
        <v>55131.524279999998</v>
      </c>
      <c r="P27" s="352">
        <f t="shared" si="1"/>
        <v>38749.30919994662</v>
      </c>
      <c r="R27" s="361">
        <f t="shared" si="2"/>
        <v>55131.524279999998</v>
      </c>
      <c r="S27" s="352">
        <f t="shared" si="6"/>
        <v>40309.042536112749</v>
      </c>
      <c r="U27" s="361">
        <f t="shared" si="3"/>
        <v>36280.932840000001</v>
      </c>
      <c r="V27" s="352">
        <f t="shared" si="7"/>
        <v>27946.709791584919</v>
      </c>
      <c r="X27" s="361">
        <f t="shared" si="4"/>
        <v>36280.932840000001</v>
      </c>
      <c r="Y27" s="352">
        <f t="shared" si="8"/>
        <v>29504.369383610676</v>
      </c>
      <c r="AA27" s="235"/>
      <c r="AB27" s="235"/>
      <c r="AC27" s="235"/>
    </row>
    <row r="28" spans="1:29" x14ac:dyDescent="0.2">
      <c r="A28" s="232"/>
      <c r="B28" s="233">
        <v>2034</v>
      </c>
      <c r="C28" s="235">
        <f>ROUND(INDEX('Tables 3 to 6'!AM:AM,MATCH(B28,'Tables 3 to 6'!B:B,0))/10,3)</f>
        <v>7.4089999999999998</v>
      </c>
      <c r="D28" s="234">
        <f t="shared" si="10"/>
        <v>7.4089999999999998</v>
      </c>
      <c r="E28" s="235">
        <f>ROUND(INDEX('Tables 3 to 6'!AN:AN,MATCH(B28,'Tables 3 to 6'!B:B,0))/10,3)</f>
        <v>4.8780000000000001</v>
      </c>
      <c r="F28" s="235">
        <f t="shared" si="11"/>
        <v>4.8780000000000001</v>
      </c>
      <c r="G28" s="235"/>
      <c r="H28" s="235"/>
      <c r="I28" s="232"/>
      <c r="L28" s="360">
        <f t="shared" si="9"/>
        <v>0.85999999999999988</v>
      </c>
      <c r="M28" s="360"/>
      <c r="N28" s="352">
        <f t="shared" si="5"/>
        <v>7533.5999999999985</v>
      </c>
      <c r="O28" s="361">
        <f t="shared" si="0"/>
        <v>55816.442399999985</v>
      </c>
      <c r="P28" s="352">
        <f t="shared" si="1"/>
        <v>38436.454339047392</v>
      </c>
      <c r="R28" s="361">
        <f t="shared" si="2"/>
        <v>55816.442399999985</v>
      </c>
      <c r="S28" s="352">
        <f t="shared" si="6"/>
        <v>39983.594672499377</v>
      </c>
      <c r="U28" s="361">
        <f t="shared" si="3"/>
        <v>36748.900799999996</v>
      </c>
      <c r="V28" s="352">
        <f t="shared" si="7"/>
        <v>27721.073149669006</v>
      </c>
      <c r="X28" s="361">
        <f t="shared" si="4"/>
        <v>36748.900799999996</v>
      </c>
      <c r="Y28" s="352">
        <f t="shared" si="8"/>
        <v>29266.156482012892</v>
      </c>
      <c r="AA28" s="235"/>
      <c r="AB28" s="235"/>
      <c r="AC28" s="235"/>
    </row>
    <row r="29" spans="1:29" x14ac:dyDescent="0.2">
      <c r="A29" s="232"/>
      <c r="B29" s="233">
        <v>2035</v>
      </c>
      <c r="C29" s="235">
        <f>ROUND(INDEX('Tables 3 to 6'!AM:AM,MATCH(B29,'Tables 3 to 6'!B:B,0))/10,3)</f>
        <v>7.56</v>
      </c>
      <c r="D29" s="234">
        <f t="shared" si="10"/>
        <v>7.56</v>
      </c>
      <c r="E29" s="235">
        <f>ROUND(INDEX('Tables 3 to 6'!AN:AN,MATCH(B29,'Tables 3 to 6'!B:B,0))/10,3)</f>
        <v>4.9779999999999998</v>
      </c>
      <c r="F29" s="235">
        <f t="shared" si="11"/>
        <v>4.9779999999999998</v>
      </c>
      <c r="G29" s="235"/>
      <c r="H29" s="235"/>
      <c r="I29" s="232"/>
      <c r="K29" s="352" t="str">
        <f>'Tariff Page'!K29</f>
        <v>Discount Rate - 2013 IRP Update Page 39</v>
      </c>
      <c r="L29" s="360">
        <f t="shared" si="9"/>
        <v>0.85299999999999987</v>
      </c>
      <c r="M29" s="360"/>
      <c r="N29" s="352">
        <f t="shared" si="5"/>
        <v>7472.2799999999988</v>
      </c>
      <c r="O29" s="361">
        <f t="shared" si="0"/>
        <v>56490.436799999981</v>
      </c>
      <c r="P29" s="352">
        <f t="shared" si="1"/>
        <v>38123.599478148171</v>
      </c>
      <c r="R29" s="361">
        <f t="shared" si="2"/>
        <v>56490.436799999981</v>
      </c>
      <c r="S29" s="352">
        <f t="shared" si="6"/>
        <v>39658.146808886013</v>
      </c>
      <c r="U29" s="361">
        <f t="shared" si="3"/>
        <v>37197.009839999992</v>
      </c>
      <c r="V29" s="352">
        <f t="shared" si="7"/>
        <v>27495.436507753097</v>
      </c>
      <c r="X29" s="361">
        <f t="shared" si="4"/>
        <v>37197.009839999992</v>
      </c>
      <c r="Y29" s="352">
        <f t="shared" si="8"/>
        <v>29027.943580415114</v>
      </c>
      <c r="AA29" s="235"/>
      <c r="AB29" s="235"/>
      <c r="AC29" s="235"/>
    </row>
    <row r="30" spans="1:29" x14ac:dyDescent="0.2">
      <c r="A30" s="232"/>
      <c r="B30" s="233">
        <v>2036</v>
      </c>
      <c r="C30" s="235">
        <f>ROUND(INDEX('Tables 3 to 6'!AM:AM,MATCH(B30,'Tables 3 to 6'!B:B,0))/10,3)</f>
        <v>7.7270000000000003</v>
      </c>
      <c r="D30" s="234">
        <f t="shared" si="10"/>
        <v>7.7270000000000003</v>
      </c>
      <c r="E30" s="235">
        <f>ROUND(INDEX('Tables 3 to 6'!AN:AN,MATCH(B30,'Tables 3 to 6'!B:B,0))/10,3)</f>
        <v>5.0919999999999996</v>
      </c>
      <c r="F30" s="235">
        <f t="shared" si="11"/>
        <v>5.0919999999999996</v>
      </c>
      <c r="G30" s="235"/>
      <c r="H30" s="235"/>
      <c r="I30" s="232"/>
      <c r="K30" s="363">
        <f>'Tariff Page'!K30</f>
        <v>6.8820000000000006E-2</v>
      </c>
      <c r="L30" s="360">
        <f t="shared" si="9"/>
        <v>0.84599999999999986</v>
      </c>
      <c r="M30" s="360"/>
      <c r="N30" s="352">
        <f t="shared" si="5"/>
        <v>7410.9599999999991</v>
      </c>
      <c r="O30" s="361">
        <f t="shared" si="0"/>
        <v>57264.487919999992</v>
      </c>
      <c r="P30" s="352">
        <f t="shared" si="1"/>
        <v>37810.744617248951</v>
      </c>
      <c r="R30" s="361">
        <f t="shared" si="2"/>
        <v>57264.487919999992</v>
      </c>
      <c r="S30" s="352">
        <f t="shared" si="6"/>
        <v>39332.698945272648</v>
      </c>
      <c r="U30" s="361">
        <f t="shared" si="3"/>
        <v>37736.608319999992</v>
      </c>
      <c r="V30" s="352">
        <f t="shared" si="7"/>
        <v>27269.799865837187</v>
      </c>
      <c r="X30" s="361">
        <f t="shared" si="4"/>
        <v>37736.608319999992</v>
      </c>
      <c r="Y30" s="352">
        <f t="shared" si="8"/>
        <v>28789.730678817337</v>
      </c>
      <c r="Z30" s="237"/>
      <c r="AA30" s="235"/>
      <c r="AB30" s="235"/>
      <c r="AC30" s="235"/>
    </row>
    <row r="31" spans="1:29" x14ac:dyDescent="0.2">
      <c r="A31" s="232"/>
      <c r="B31" s="233">
        <v>2037</v>
      </c>
      <c r="C31" s="235">
        <f>ROUND(INDEX('Tables 3 to 6'!AM:AM,MATCH(B31,'Tables 3 to 6'!B:B,0))/10,3)</f>
        <v>7.8979999999999997</v>
      </c>
      <c r="D31" s="234">
        <f t="shared" si="10"/>
        <v>7.8979999999999997</v>
      </c>
      <c r="E31" s="235">
        <f>ROUND(INDEX('Tables 3 to 6'!AN:AN,MATCH(B31,'Tables 3 to 6'!B:B,0))/10,3)</f>
        <v>5.2060000000000004</v>
      </c>
      <c r="F31" s="235">
        <f t="shared" si="11"/>
        <v>5.2060000000000004</v>
      </c>
      <c r="G31" s="235"/>
      <c r="H31" s="235"/>
      <c r="I31" s="232"/>
      <c r="L31" s="360">
        <f t="shared" si="9"/>
        <v>0.83899999999999986</v>
      </c>
      <c r="M31" s="360"/>
      <c r="N31" s="352">
        <f t="shared" si="5"/>
        <v>7349.6399999999985</v>
      </c>
      <c r="O31" s="361">
        <f t="shared" si="0"/>
        <v>58047.456719999987</v>
      </c>
      <c r="P31" s="352">
        <f t="shared" si="1"/>
        <v>37497.889756349723</v>
      </c>
      <c r="R31" s="361">
        <f t="shared" si="2"/>
        <v>58047.456719999987</v>
      </c>
      <c r="S31" s="352">
        <f t="shared" si="6"/>
        <v>39007.251081659277</v>
      </c>
      <c r="U31" s="361">
        <f t="shared" si="3"/>
        <v>38262.225839999999</v>
      </c>
      <c r="V31" s="352">
        <f t="shared" si="7"/>
        <v>27044.163223921274</v>
      </c>
      <c r="X31" s="361">
        <f t="shared" si="4"/>
        <v>38262.225839999999</v>
      </c>
      <c r="Y31" s="352">
        <f t="shared" si="8"/>
        <v>28551.517777219553</v>
      </c>
      <c r="AA31" s="235"/>
      <c r="AB31" s="235"/>
      <c r="AC31" s="235"/>
    </row>
    <row r="32" spans="1:29" x14ac:dyDescent="0.2">
      <c r="A32" s="232"/>
      <c r="B32" s="233">
        <v>2038</v>
      </c>
      <c r="C32" s="235">
        <f>ROUND(INDEX('Tables 3 to 6'!AM:AM,MATCH(B32,'Tables 3 to 6'!B:B,0))/10,3)</f>
        <v>8.0679999999999996</v>
      </c>
      <c r="D32" s="234">
        <f t="shared" si="10"/>
        <v>8.0679999999999996</v>
      </c>
      <c r="E32" s="235">
        <f>ROUND(INDEX('Tables 3 to 6'!AN:AN,MATCH(B32,'Tables 3 to 6'!B:B,0))/10,3)</f>
        <v>5.32</v>
      </c>
      <c r="F32" s="235">
        <f t="shared" si="11"/>
        <v>5.32</v>
      </c>
      <c r="G32" s="235"/>
      <c r="H32" s="235"/>
      <c r="I32" s="232"/>
      <c r="L32" s="360">
        <f t="shared" si="9"/>
        <v>0.83199999999999985</v>
      </c>
      <c r="M32" s="360"/>
      <c r="N32" s="352">
        <f t="shared" si="5"/>
        <v>7288.3199999999988</v>
      </c>
      <c r="O32" s="361">
        <f t="shared" si="0"/>
        <v>58802.165759999982</v>
      </c>
      <c r="P32" s="352">
        <f t="shared" si="1"/>
        <v>37185.034895450503</v>
      </c>
      <c r="R32" s="361">
        <f t="shared" si="2"/>
        <v>58802.165759999982</v>
      </c>
      <c r="S32" s="352">
        <f t="shared" si="6"/>
        <v>38681.803218045912</v>
      </c>
      <c r="U32" s="361">
        <f t="shared" si="3"/>
        <v>38773.862399999998</v>
      </c>
      <c r="V32" s="352">
        <f t="shared" si="7"/>
        <v>26818.526582005365</v>
      </c>
      <c r="X32" s="361">
        <f t="shared" si="4"/>
        <v>38773.862399999998</v>
      </c>
      <c r="Y32" s="352">
        <f t="shared" si="8"/>
        <v>28313.304875621776</v>
      </c>
      <c r="AA32" s="235"/>
      <c r="AB32" s="235"/>
      <c r="AC32" s="235"/>
    </row>
    <row r="33" spans="1:30" x14ac:dyDescent="0.2">
      <c r="A33" s="232"/>
      <c r="B33" s="233"/>
      <c r="C33" s="232"/>
      <c r="D33" s="232"/>
      <c r="E33" s="232"/>
      <c r="F33" s="232"/>
      <c r="G33" s="232"/>
      <c r="H33" s="333"/>
      <c r="I33" s="232"/>
      <c r="O33" s="361"/>
      <c r="R33" s="361"/>
      <c r="U33" s="361"/>
      <c r="X33" s="361"/>
      <c r="AA33" s="333"/>
      <c r="AB33" s="333"/>
      <c r="AC33" s="333"/>
    </row>
    <row r="34" spans="1:30" x14ac:dyDescent="0.2">
      <c r="A34" s="232"/>
      <c r="C34" s="230" t="s">
        <v>298</v>
      </c>
      <c r="D34" s="230"/>
      <c r="E34" s="230" t="s">
        <v>135</v>
      </c>
      <c r="F34" s="230"/>
      <c r="G34" s="230"/>
      <c r="H34" s="230"/>
      <c r="I34" s="232"/>
      <c r="L34" s="364"/>
      <c r="M34" s="365" t="s">
        <v>288</v>
      </c>
      <c r="N34" s="366">
        <f>NPV($K$30,N9:N28)</f>
        <v>88186.401549293907</v>
      </c>
      <c r="O34" s="361">
        <f>NPV($K$30,O9:O28)</f>
        <v>449927.33838726953</v>
      </c>
      <c r="P34" s="361">
        <f>NPV($K$30,P9:P28)</f>
        <v>449927.33838726953</v>
      </c>
      <c r="R34" s="361">
        <f>NPV($K$30,R9:R28)</f>
        <v>468037.76881879044</v>
      </c>
      <c r="S34" s="361">
        <f>NPV($K$30,S9:S28)</f>
        <v>468037.76881879044</v>
      </c>
      <c r="U34" s="361">
        <f>NPV($K$30,U9:U28)</f>
        <v>324495.81715966616</v>
      </c>
      <c r="V34" s="361">
        <f>NPV($K$30,V9:V28)</f>
        <v>324495.81715966621</v>
      </c>
      <c r="X34" s="361">
        <f>NPV($K$30,X9:X28)</f>
        <v>342582.16886047309</v>
      </c>
      <c r="Y34" s="361">
        <f>NPV($K$30,Y9:Y28)</f>
        <v>342582.16886047303</v>
      </c>
      <c r="AA34" s="230"/>
      <c r="AB34" s="230"/>
      <c r="AC34" s="230"/>
    </row>
    <row r="35" spans="1:30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G35" s="231"/>
      <c r="H35" s="231"/>
      <c r="I35" s="232"/>
      <c r="L35" s="367"/>
      <c r="M35" s="367"/>
      <c r="N35" s="365"/>
      <c r="AA35" s="231"/>
      <c r="AB35" s="231"/>
      <c r="AC35" s="231"/>
    </row>
    <row r="36" spans="1:30" ht="36" customHeight="1" x14ac:dyDescent="0.2">
      <c r="B36" s="239" t="s">
        <v>297</v>
      </c>
      <c r="C36" s="240">
        <f>-PMT($K$30,COUNT(C9:C28),NPV($K$30,C9:C28))</f>
        <v>5.1512887254329049</v>
      </c>
      <c r="D36" s="240">
        <f>-PMT($K$30,COUNT(D9:D28),NPV($K$30,D9:D28))</f>
        <v>5.3548278312219253</v>
      </c>
      <c r="E36" s="240">
        <f>-PMT($K$30,COUNT(E9:E28),NPV($K$30,E9:E28))</f>
        <v>3.7064881859521837</v>
      </c>
      <c r="F36" s="240">
        <f>-PMT($K$30,COUNT(F9:F28),NPV($K$30,F9:F28))</f>
        <v>3.9097613468693688</v>
      </c>
      <c r="G36" s="240"/>
      <c r="H36" s="240"/>
      <c r="I36" s="232"/>
      <c r="L36" s="368"/>
      <c r="M36" s="368" t="s">
        <v>289</v>
      </c>
      <c r="N36" s="369">
        <f>-PMT($K$30,COUNT(N9:N28),NPV($K$30,N9:N28))</f>
        <v>8247.9838032258922</v>
      </c>
      <c r="O36" s="370">
        <f>-PMT($K$30,COUNT(O9:O28),NPV($K$30,O9:O28))</f>
        <v>42081.243076602754</v>
      </c>
      <c r="P36" s="371">
        <f>O36/N36</f>
        <v>5.102003602400897</v>
      </c>
      <c r="Q36" s="370"/>
      <c r="R36" s="370">
        <f>-PMT($K$30,COUNT(R9:R28),NPV($K$30,R9:R28))</f>
        <v>43775.093083455984</v>
      </c>
      <c r="S36" s="371">
        <f>R36/N36</f>
        <v>5.3073689434665212</v>
      </c>
      <c r="T36" s="370"/>
      <c r="U36" s="370">
        <f>-PMT($K$30,COUNT(U9:U28),NPV($K$30,U9:U28))</f>
        <v>30349.761381877212</v>
      </c>
      <c r="V36" s="371">
        <f>U36/N36</f>
        <v>3.6796582178067605</v>
      </c>
      <c r="W36" s="370"/>
      <c r="X36" s="370">
        <f>-PMT($K$30,COUNT(X9:X28),NPV($K$30,X9:X28))</f>
        <v>32041.359329711802</v>
      </c>
      <c r="Y36" s="371">
        <f>X36/N36</f>
        <v>3.8847505152932063</v>
      </c>
      <c r="AA36" s="240"/>
      <c r="AB36" s="240"/>
      <c r="AC36" s="240"/>
    </row>
    <row r="37" spans="1:30" x14ac:dyDescent="0.2">
      <c r="A37" s="238"/>
      <c r="I37" s="232"/>
      <c r="N37" s="372"/>
      <c r="O37" s="373"/>
      <c r="P37" s="374"/>
      <c r="R37" s="373"/>
      <c r="S37" s="374"/>
      <c r="U37" s="373"/>
      <c r="V37" s="374"/>
      <c r="X37" s="373"/>
      <c r="Y37" s="374"/>
    </row>
    <row r="38" spans="1:30" x14ac:dyDescent="0.2">
      <c r="I38" s="232"/>
      <c r="O38" s="375"/>
      <c r="R38" s="375"/>
      <c r="U38" s="375"/>
      <c r="X38" s="375"/>
    </row>
    <row r="39" spans="1:30" x14ac:dyDescent="0.2">
      <c r="C39" s="230" t="s">
        <v>134</v>
      </c>
      <c r="D39" s="230"/>
      <c r="E39" s="230" t="s">
        <v>135</v>
      </c>
      <c r="F39" s="230"/>
    </row>
    <row r="40" spans="1:30" ht="31.5" customHeight="1" x14ac:dyDescent="0.35">
      <c r="A40" s="242"/>
      <c r="B40" s="239" t="s">
        <v>297</v>
      </c>
      <c r="C40" s="231" t="s">
        <v>62</v>
      </c>
      <c r="D40" s="231" t="s">
        <v>63</v>
      </c>
      <c r="E40" s="231" t="s">
        <v>62</v>
      </c>
      <c r="F40" s="231" t="s">
        <v>63</v>
      </c>
      <c r="G40" s="240"/>
      <c r="AA40" s="240"/>
      <c r="AB40" s="240"/>
      <c r="AC40" s="240"/>
    </row>
    <row r="41" spans="1:30" x14ac:dyDescent="0.2">
      <c r="A41" s="242"/>
      <c r="B41" s="240"/>
      <c r="C41" s="240">
        <f>P36</f>
        <v>5.102003602400897</v>
      </c>
      <c r="D41" s="240">
        <f>S36</f>
        <v>5.3073689434665212</v>
      </c>
      <c r="E41" s="240">
        <f>V36</f>
        <v>3.6796582178067605</v>
      </c>
      <c r="F41" s="240">
        <f>Y36</f>
        <v>3.8847505152932063</v>
      </c>
    </row>
    <row r="42" spans="1:30" x14ac:dyDescent="0.2">
      <c r="A42" s="232"/>
      <c r="AD42" s="339"/>
    </row>
    <row r="43" spans="1:30" x14ac:dyDescent="0.2">
      <c r="A43" s="241"/>
      <c r="B43" s="259" t="s">
        <v>282</v>
      </c>
      <c r="G43" s="230"/>
      <c r="AA43" s="230"/>
      <c r="AB43" s="230"/>
      <c r="AC43" s="230"/>
    </row>
    <row r="44" spans="1:30" ht="14.25" x14ac:dyDescent="0.35">
      <c r="A44" s="242"/>
      <c r="B44" s="259" t="s">
        <v>269</v>
      </c>
      <c r="G44" s="231"/>
      <c r="AA44" s="231"/>
      <c r="AB44" s="231"/>
      <c r="AC44" s="231"/>
    </row>
    <row r="45" spans="1:30" x14ac:dyDescent="0.2">
      <c r="B45" s="259" t="s">
        <v>290</v>
      </c>
    </row>
  </sheetData>
  <printOptions horizontalCentered="1"/>
  <pageMargins left="0.25" right="0.25" top="0.75" bottom="0.75" header="0.3" footer="0.3"/>
  <pageSetup scale="67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45"/>
  <sheetViews>
    <sheetView showGridLines="0" zoomScale="90" zoomScaleNormal="90" workbookViewId="0">
      <selection activeCell="C2" sqref="C2"/>
    </sheetView>
  </sheetViews>
  <sheetFormatPr defaultRowHeight="12" x14ac:dyDescent="0.2"/>
  <cols>
    <col min="1" max="1" width="2.83203125" style="227" customWidth="1"/>
    <col min="2" max="2" width="19.6640625" style="227" customWidth="1"/>
    <col min="3" max="6" width="18.83203125" style="227" customWidth="1"/>
    <col min="7" max="7" width="16.83203125" style="227" customWidth="1"/>
    <col min="8" max="8" width="8" style="227" customWidth="1"/>
    <col min="9" max="9" width="10.1640625" style="227" customWidth="1"/>
    <col min="10" max="10" width="7.1640625" style="227" customWidth="1"/>
    <col min="11" max="11" width="9.33203125" style="376"/>
    <col min="12" max="12" width="11.6640625" style="352" customWidth="1"/>
    <col min="13" max="13" width="3.5" style="352" customWidth="1"/>
    <col min="14" max="14" width="17.1640625" style="352" customWidth="1"/>
    <col min="15" max="15" width="12.5" style="352" customWidth="1"/>
    <col min="16" max="16" width="11" style="352" customWidth="1"/>
    <col min="17" max="17" width="3.83203125" style="352" customWidth="1"/>
    <col min="18" max="19" width="12.5" style="352" customWidth="1"/>
    <col min="20" max="20" width="3.83203125" style="352" customWidth="1"/>
    <col min="21" max="22" width="12.5" style="352" customWidth="1"/>
    <col min="23" max="23" width="3.33203125" style="352" customWidth="1"/>
    <col min="24" max="25" width="12.5" style="352" customWidth="1"/>
    <col min="26" max="28" width="4.6640625" style="336" customWidth="1"/>
    <col min="29" max="37" width="5.83203125" style="336" customWidth="1"/>
    <col min="38" max="38" width="9.33203125" style="336"/>
    <col min="39" max="16384" width="9.33203125" style="227"/>
  </cols>
  <sheetData>
    <row r="1" spans="1:34" x14ac:dyDescent="0.2">
      <c r="A1" s="2"/>
      <c r="B1" s="2"/>
      <c r="C1" s="2"/>
      <c r="D1" s="2"/>
      <c r="E1" s="2"/>
      <c r="F1" s="2"/>
      <c r="G1" s="229"/>
      <c r="H1" s="330"/>
      <c r="I1" s="2"/>
      <c r="L1" s="351"/>
      <c r="M1" s="351"/>
      <c r="Z1" s="228"/>
      <c r="AA1" s="228"/>
      <c r="AB1" s="228"/>
      <c r="AC1" s="228"/>
      <c r="AD1" s="228"/>
    </row>
    <row r="2" spans="1:34" x14ac:dyDescent="0.2">
      <c r="A2" s="2"/>
      <c r="B2" s="2" t="s">
        <v>108</v>
      </c>
      <c r="C2" s="2"/>
      <c r="D2" s="2"/>
      <c r="E2" s="2"/>
      <c r="F2" s="2"/>
      <c r="G2" s="229"/>
      <c r="H2" s="2"/>
      <c r="I2" s="2"/>
      <c r="L2" s="351"/>
      <c r="M2" s="351"/>
      <c r="Z2" s="228"/>
      <c r="AA2" s="228"/>
      <c r="AB2" s="228"/>
      <c r="AC2" s="228"/>
      <c r="AD2" s="228"/>
    </row>
    <row r="3" spans="1:34" x14ac:dyDescent="0.2">
      <c r="G3" s="229"/>
      <c r="L3" s="351"/>
      <c r="M3" s="351"/>
      <c r="Z3" s="228"/>
      <c r="AA3" s="228"/>
      <c r="AB3" s="228"/>
      <c r="AC3" s="228"/>
      <c r="AD3" s="228"/>
    </row>
    <row r="4" spans="1:34" x14ac:dyDescent="0.2">
      <c r="A4" s="228"/>
      <c r="B4" s="258" t="s">
        <v>272</v>
      </c>
      <c r="C4" s="228"/>
      <c r="D4" s="228"/>
      <c r="E4" s="228"/>
      <c r="F4" s="228"/>
      <c r="G4" s="229"/>
      <c r="H4" s="228"/>
      <c r="L4" s="353"/>
      <c r="M4" s="353"/>
      <c r="O4" s="354"/>
      <c r="R4" s="354"/>
      <c r="U4" s="354"/>
      <c r="X4" s="354"/>
      <c r="Z4" s="228"/>
      <c r="AA4" s="228"/>
      <c r="AB4" s="228"/>
      <c r="AC4" s="344"/>
      <c r="AD4" s="344"/>
    </row>
    <row r="5" spans="1:34" x14ac:dyDescent="0.2">
      <c r="A5" s="228"/>
      <c r="B5" s="228"/>
      <c r="H5" s="332"/>
    </row>
    <row r="6" spans="1:34" x14ac:dyDescent="0.2">
      <c r="A6" s="228"/>
      <c r="B6" s="229" t="s">
        <v>136</v>
      </c>
      <c r="C6" s="230" t="s">
        <v>299</v>
      </c>
      <c r="D6" s="230"/>
      <c r="E6" s="230" t="s">
        <v>181</v>
      </c>
      <c r="F6" s="230"/>
      <c r="H6" s="228"/>
      <c r="M6" s="355"/>
      <c r="O6" s="352" t="s">
        <v>291</v>
      </c>
      <c r="R6" s="352" t="s">
        <v>292</v>
      </c>
      <c r="U6" s="352" t="s">
        <v>293</v>
      </c>
      <c r="X6" s="352" t="s">
        <v>294</v>
      </c>
      <c r="AD6" s="230"/>
      <c r="AE6" s="230"/>
    </row>
    <row r="7" spans="1:34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H7" s="228"/>
      <c r="L7" s="356" t="s">
        <v>295</v>
      </c>
      <c r="M7" s="357"/>
      <c r="N7" s="358" t="s">
        <v>286</v>
      </c>
      <c r="O7" s="358" t="s">
        <v>285</v>
      </c>
      <c r="P7" s="352" t="s">
        <v>287</v>
      </c>
      <c r="R7" s="358" t="s">
        <v>285</v>
      </c>
      <c r="S7" s="352" t="s">
        <v>287</v>
      </c>
      <c r="U7" s="358" t="s">
        <v>285</v>
      </c>
      <c r="V7" s="352" t="s">
        <v>287</v>
      </c>
      <c r="X7" s="358" t="s">
        <v>285</v>
      </c>
      <c r="Y7" s="352" t="s">
        <v>287</v>
      </c>
      <c r="AD7" s="231"/>
      <c r="AF7" s="335"/>
      <c r="AG7" s="335"/>
      <c r="AH7" s="335"/>
    </row>
    <row r="8" spans="1:34" hidden="1" x14ac:dyDescent="0.2">
      <c r="A8" s="232"/>
      <c r="B8" s="233">
        <v>2014</v>
      </c>
      <c r="C8" s="234">
        <f>ROUND('Table 2D SolarTracking'!C66/10,3)</f>
        <v>3.98</v>
      </c>
      <c r="D8" s="234">
        <f>ROUND('Table 2D SolarTracking'!G66/10,3)</f>
        <v>4.4359999999999999</v>
      </c>
      <c r="E8" s="234">
        <f>ROUND('Table 2D SolarTracking'!D66/10,3)</f>
        <v>2.59</v>
      </c>
      <c r="F8" s="234">
        <f>ROUND('Table 2D SolarTracking'!H66/10,3)</f>
        <v>3.0459999999999998</v>
      </c>
      <c r="H8" s="235"/>
      <c r="I8" s="331"/>
      <c r="L8" s="359">
        <v>1</v>
      </c>
      <c r="M8" s="360"/>
      <c r="N8" s="352">
        <f>1*8760*$L8</f>
        <v>8760</v>
      </c>
      <c r="O8" s="361">
        <f t="shared" ref="O8:O32" si="0">C8*1*8760*$L8</f>
        <v>34864.800000000003</v>
      </c>
      <c r="P8" s="352">
        <f>N8*$P$36</f>
        <v>48195.319088973978</v>
      </c>
      <c r="R8" s="361">
        <f t="shared" ref="R8:R32" si="1">D8*1*8760*$L8</f>
        <v>38859.360000000001</v>
      </c>
      <c r="S8" s="352">
        <f>N8*$S$36</f>
        <v>49993.547242641805</v>
      </c>
      <c r="U8" s="361">
        <f t="shared" ref="U8:U32" si="2">E8*1*8760*$L8</f>
        <v>22688.399999999998</v>
      </c>
      <c r="V8" s="352">
        <f>N8*$V$36</f>
        <v>32803.205987987232</v>
      </c>
      <c r="X8" s="361">
        <f t="shared" ref="X8:X32" si="3">F8*1*8760*$L8</f>
        <v>26682.959999999999</v>
      </c>
      <c r="Y8" s="352">
        <f>N8*$Y$36</f>
        <v>34599.814513968478</v>
      </c>
      <c r="AC8" s="345"/>
      <c r="AD8" s="346"/>
      <c r="AE8" s="347"/>
      <c r="AF8" s="347"/>
    </row>
    <row r="9" spans="1:34" x14ac:dyDescent="0.2">
      <c r="A9" s="232"/>
      <c r="B9" s="233">
        <v>2015</v>
      </c>
      <c r="C9" s="234">
        <f>ROUND('Table 2D SolarTracking'!C67/10,3)</f>
        <v>4.13</v>
      </c>
      <c r="D9" s="234">
        <f>ROUND('Table 2D SolarTracking'!G67/10,3)</f>
        <v>4.0839999999999996</v>
      </c>
      <c r="E9" s="234">
        <f>ROUND('Table 2D SolarTracking'!D67/10,3)</f>
        <v>3.0609999999999999</v>
      </c>
      <c r="F9" s="234">
        <f>ROUND('Table 2D SolarTracking'!H67/10,3)</f>
        <v>3.0150000000000001</v>
      </c>
      <c r="H9" s="235"/>
      <c r="L9" s="360">
        <f>L8-0.007</f>
        <v>0.99299999999999999</v>
      </c>
      <c r="M9" s="360"/>
      <c r="N9" s="352">
        <f t="shared" ref="N9:N32" si="4">1*8760*$L9</f>
        <v>8698.68</v>
      </c>
      <c r="O9" s="361">
        <f t="shared" si="0"/>
        <v>35925.548399999992</v>
      </c>
      <c r="P9" s="352">
        <f t="shared" ref="P9:P32" si="5">N9*$P$36</f>
        <v>47857.951855351166</v>
      </c>
      <c r="R9" s="361">
        <f t="shared" si="1"/>
        <v>35525.409119999997</v>
      </c>
      <c r="S9" s="352">
        <f t="shared" ref="S9:S32" si="6">N9*$S$36</f>
        <v>49643.592411943311</v>
      </c>
      <c r="U9" s="361">
        <f t="shared" si="2"/>
        <v>26626.659480000002</v>
      </c>
      <c r="V9" s="352">
        <f t="shared" ref="V9:V32" si="7">N9*$V$36</f>
        <v>32573.583546071321</v>
      </c>
      <c r="X9" s="361">
        <f t="shared" si="3"/>
        <v>26226.520200000003</v>
      </c>
      <c r="Y9" s="352">
        <f t="shared" ref="Y9:Y32" si="8">N9*$Y$36</f>
        <v>34357.615812370699</v>
      </c>
      <c r="AC9" s="346"/>
      <c r="AD9" s="346"/>
      <c r="AE9" s="347"/>
      <c r="AF9" s="347"/>
    </row>
    <row r="10" spans="1:34" x14ac:dyDescent="0.2">
      <c r="A10" s="232"/>
      <c r="B10" s="233">
        <v>2016</v>
      </c>
      <c r="C10" s="234">
        <f>ROUND('Table 2D SolarTracking'!C68/10,3)</f>
        <v>3.8460000000000001</v>
      </c>
      <c r="D10" s="234">
        <f>ROUND('Table 2D SolarTracking'!G68/10,3)</f>
        <v>3.9849999999999999</v>
      </c>
      <c r="E10" s="234">
        <f>ROUND('Table 2D SolarTracking'!D68/10,3)</f>
        <v>2.758</v>
      </c>
      <c r="F10" s="234">
        <f>ROUND('Table 2D SolarTracking'!H68/10,3)</f>
        <v>2.8959999999999999</v>
      </c>
      <c r="H10" s="235"/>
      <c r="L10" s="360">
        <f t="shared" ref="L10:L32" si="9">L9-0.007</f>
        <v>0.98599999999999999</v>
      </c>
      <c r="M10" s="360"/>
      <c r="N10" s="352">
        <f t="shared" si="4"/>
        <v>8637.36</v>
      </c>
      <c r="O10" s="361">
        <f t="shared" si="0"/>
        <v>33219.28656</v>
      </c>
      <c r="P10" s="352">
        <f t="shared" si="5"/>
        <v>47520.584621728347</v>
      </c>
      <c r="R10" s="361">
        <f t="shared" si="1"/>
        <v>34419.8796</v>
      </c>
      <c r="S10" s="352">
        <f t="shared" si="6"/>
        <v>49293.637581244824</v>
      </c>
      <c r="U10" s="361">
        <f t="shared" si="2"/>
        <v>23821.838880000003</v>
      </c>
      <c r="V10" s="352">
        <f t="shared" si="7"/>
        <v>32343.961104155409</v>
      </c>
      <c r="X10" s="361">
        <f t="shared" si="3"/>
        <v>25013.794559999998</v>
      </c>
      <c r="Y10" s="352">
        <f t="shared" si="8"/>
        <v>34115.41711077292</v>
      </c>
      <c r="AC10" s="346"/>
      <c r="AD10" s="346"/>
      <c r="AE10" s="347"/>
      <c r="AF10" s="347"/>
    </row>
    <row r="11" spans="1:34" x14ac:dyDescent="0.2">
      <c r="A11" s="232"/>
      <c r="B11" s="233">
        <v>2017</v>
      </c>
      <c r="C11" s="234">
        <f>ROUND('Table 2D SolarTracking'!C69/10,3)</f>
        <v>3.9319999999999999</v>
      </c>
      <c r="D11" s="234">
        <f>ROUND('Table 2D SolarTracking'!G69/10,3)</f>
        <v>4.2220000000000004</v>
      </c>
      <c r="E11" s="234">
        <f>ROUND('Table 2D SolarTracking'!D69/10,3)</f>
        <v>2.8239999999999998</v>
      </c>
      <c r="F11" s="234">
        <f>ROUND('Table 2D SolarTracking'!H69/10,3)</f>
        <v>3.1139999999999999</v>
      </c>
      <c r="H11" s="235"/>
      <c r="L11" s="360">
        <f t="shared" si="9"/>
        <v>0.97899999999999998</v>
      </c>
      <c r="M11" s="360"/>
      <c r="N11" s="352">
        <f t="shared" si="4"/>
        <v>8576.0399999999991</v>
      </c>
      <c r="O11" s="361">
        <f t="shared" si="0"/>
        <v>33720.989280000002</v>
      </c>
      <c r="P11" s="352">
        <f t="shared" si="5"/>
        <v>47183.217388105521</v>
      </c>
      <c r="R11" s="361">
        <f t="shared" si="1"/>
        <v>36208.04088</v>
      </c>
      <c r="S11" s="352">
        <f t="shared" si="6"/>
        <v>48943.682750546322</v>
      </c>
      <c r="U11" s="361">
        <f t="shared" si="2"/>
        <v>24218.736959999998</v>
      </c>
      <c r="V11" s="352">
        <f t="shared" si="7"/>
        <v>32114.338662239494</v>
      </c>
      <c r="X11" s="361">
        <f t="shared" si="3"/>
        <v>26705.788559999997</v>
      </c>
      <c r="Y11" s="352">
        <f t="shared" si="8"/>
        <v>33873.218409175133</v>
      </c>
      <c r="AC11" s="346"/>
      <c r="AD11" s="346"/>
      <c r="AE11" s="347"/>
      <c r="AF11" s="347"/>
    </row>
    <row r="12" spans="1:34" x14ac:dyDescent="0.2">
      <c r="A12" s="232"/>
      <c r="B12" s="233">
        <v>2018</v>
      </c>
      <c r="C12" s="234">
        <f>ROUND('Table 2D SolarTracking'!C70/10,3)</f>
        <v>4.4000000000000004</v>
      </c>
      <c r="D12" s="234">
        <f>ROUND('Table 2D SolarTracking'!G70/10,3)</f>
        <v>4.641</v>
      </c>
      <c r="E12" s="234">
        <f>ROUND('Table 2D SolarTracking'!D70/10,3)</f>
        <v>3.0840000000000001</v>
      </c>
      <c r="F12" s="234">
        <f>ROUND('Table 2D SolarTracking'!H70/10,3)</f>
        <v>3.3250000000000002</v>
      </c>
      <c r="H12" s="235"/>
      <c r="L12" s="360">
        <f t="shared" si="9"/>
        <v>0.97199999999999998</v>
      </c>
      <c r="M12" s="360"/>
      <c r="N12" s="352">
        <f t="shared" si="4"/>
        <v>8514.7199999999993</v>
      </c>
      <c r="O12" s="361">
        <f t="shared" si="0"/>
        <v>37464.767999999996</v>
      </c>
      <c r="P12" s="352">
        <f t="shared" si="5"/>
        <v>46845.850154482709</v>
      </c>
      <c r="R12" s="361">
        <f t="shared" si="1"/>
        <v>39516.815520000004</v>
      </c>
      <c r="S12" s="352">
        <f t="shared" si="6"/>
        <v>48593.727919847828</v>
      </c>
      <c r="U12" s="361">
        <f t="shared" si="2"/>
        <v>26259.396479999999</v>
      </c>
      <c r="V12" s="352">
        <f t="shared" si="7"/>
        <v>31884.716220323586</v>
      </c>
      <c r="X12" s="361">
        <f t="shared" si="3"/>
        <v>28311.444</v>
      </c>
      <c r="Y12" s="352">
        <f t="shared" si="8"/>
        <v>33631.019707577361</v>
      </c>
      <c r="AC12" s="346"/>
      <c r="AD12" s="346"/>
      <c r="AE12" s="347"/>
      <c r="AF12" s="347"/>
    </row>
    <row r="13" spans="1:34" x14ac:dyDescent="0.2">
      <c r="A13" s="232"/>
      <c r="B13" s="233">
        <v>2019</v>
      </c>
      <c r="C13" s="234">
        <f>ROUND('Table 2D SolarTracking'!C71/10,3)</f>
        <v>4.5679999999999996</v>
      </c>
      <c r="D13" s="234">
        <f>ROUND('Table 2D SolarTracking'!G71/10,3)</f>
        <v>4.8680000000000003</v>
      </c>
      <c r="E13" s="234">
        <f>ROUND('Table 2D SolarTracking'!D71/10,3)</f>
        <v>3.23</v>
      </c>
      <c r="F13" s="234">
        <f>ROUND('Table 2D SolarTracking'!H71/10,3)</f>
        <v>3.53</v>
      </c>
      <c r="H13" s="235"/>
      <c r="L13" s="360">
        <f t="shared" si="9"/>
        <v>0.96499999999999997</v>
      </c>
      <c r="M13" s="360"/>
      <c r="N13" s="352">
        <f t="shared" si="4"/>
        <v>8453.4</v>
      </c>
      <c r="O13" s="361">
        <f t="shared" si="0"/>
        <v>38615.131199999989</v>
      </c>
      <c r="P13" s="352">
        <f t="shared" si="5"/>
        <v>46508.482920859889</v>
      </c>
      <c r="R13" s="361">
        <f t="shared" si="1"/>
        <v>41151.1512</v>
      </c>
      <c r="S13" s="352">
        <f t="shared" si="6"/>
        <v>48243.773089149334</v>
      </c>
      <c r="U13" s="361">
        <f t="shared" si="2"/>
        <v>27304.482</v>
      </c>
      <c r="V13" s="352">
        <f t="shared" si="7"/>
        <v>31655.093778407674</v>
      </c>
      <c r="X13" s="361">
        <f t="shared" si="3"/>
        <v>29840.501999999997</v>
      </c>
      <c r="Y13" s="352">
        <f t="shared" si="8"/>
        <v>33388.821005979582</v>
      </c>
      <c r="AC13" s="346"/>
      <c r="AD13" s="346"/>
      <c r="AE13" s="347"/>
      <c r="AF13" s="347"/>
    </row>
    <row r="14" spans="1:34" x14ac:dyDescent="0.2">
      <c r="A14" s="232"/>
      <c r="B14" s="233">
        <v>2020</v>
      </c>
      <c r="C14" s="234">
        <f>ROUND('Table 2D SolarTracking'!C72/10,3)</f>
        <v>4.87</v>
      </c>
      <c r="D14" s="234">
        <f>ROUND('Table 2D SolarTracking'!G72/10,3)</f>
        <v>5.3810000000000002</v>
      </c>
      <c r="E14" s="234">
        <f>ROUND('Table 2D SolarTracking'!D72/10,3)</f>
        <v>3.5070000000000001</v>
      </c>
      <c r="F14" s="234">
        <f>ROUND('Table 2D SolarTracking'!H72/10,3)</f>
        <v>4.0179999999999998</v>
      </c>
      <c r="H14" s="235"/>
      <c r="L14" s="360">
        <f t="shared" si="9"/>
        <v>0.95799999999999996</v>
      </c>
      <c r="M14" s="360"/>
      <c r="N14" s="352">
        <f t="shared" si="4"/>
        <v>8392.08</v>
      </c>
      <c r="O14" s="361">
        <f t="shared" si="0"/>
        <v>40869.429600000003</v>
      </c>
      <c r="P14" s="352">
        <f t="shared" si="5"/>
        <v>46171.11568723707</v>
      </c>
      <c r="R14" s="361">
        <f t="shared" si="1"/>
        <v>45157.782480000002</v>
      </c>
      <c r="S14" s="352">
        <f t="shared" si="6"/>
        <v>47893.818258450847</v>
      </c>
      <c r="U14" s="361">
        <f t="shared" si="2"/>
        <v>29431.024559999998</v>
      </c>
      <c r="V14" s="352">
        <f t="shared" si="7"/>
        <v>31425.471336491766</v>
      </c>
      <c r="X14" s="361">
        <f t="shared" si="3"/>
        <v>33719.377439999997</v>
      </c>
      <c r="Y14" s="352">
        <f t="shared" si="8"/>
        <v>33146.622304381803</v>
      </c>
      <c r="AC14" s="346"/>
      <c r="AD14" s="346"/>
      <c r="AE14" s="347"/>
      <c r="AF14" s="347"/>
    </row>
    <row r="15" spans="1:34" x14ac:dyDescent="0.2">
      <c r="A15" s="232"/>
      <c r="B15" s="233">
        <v>2021</v>
      </c>
      <c r="C15" s="234">
        <f>ROUND('Table 2D SolarTracking'!C73/10,3)</f>
        <v>5.5010000000000003</v>
      </c>
      <c r="D15" s="234">
        <f>ROUND('Table 2D SolarTracking'!G73/10,3)</f>
        <v>5.7779999999999996</v>
      </c>
      <c r="E15" s="234">
        <f>ROUND('Table 2D SolarTracking'!D73/10,3)</f>
        <v>3.9140000000000001</v>
      </c>
      <c r="F15" s="234">
        <f>ROUND('Table 2D SolarTracking'!H73/10,3)</f>
        <v>4.1909999999999998</v>
      </c>
      <c r="H15" s="235"/>
      <c r="L15" s="360">
        <f t="shared" si="9"/>
        <v>0.95099999999999996</v>
      </c>
      <c r="M15" s="360"/>
      <c r="N15" s="352">
        <f t="shared" si="4"/>
        <v>8330.76</v>
      </c>
      <c r="O15" s="361">
        <f t="shared" si="0"/>
        <v>45827.510759999997</v>
      </c>
      <c r="P15" s="352">
        <f t="shared" si="5"/>
        <v>45833.748453614258</v>
      </c>
      <c r="R15" s="361">
        <f t="shared" si="1"/>
        <v>48135.131279999994</v>
      </c>
      <c r="S15" s="352">
        <f t="shared" si="6"/>
        <v>47543.863427752352</v>
      </c>
      <c r="U15" s="361">
        <f t="shared" si="2"/>
        <v>32606.594639999999</v>
      </c>
      <c r="V15" s="352">
        <f t="shared" si="7"/>
        <v>31195.848894575855</v>
      </c>
      <c r="X15" s="361">
        <f t="shared" si="3"/>
        <v>34914.215159999992</v>
      </c>
      <c r="Y15" s="352">
        <f t="shared" si="8"/>
        <v>32904.423602784023</v>
      </c>
      <c r="AC15" s="346"/>
      <c r="AD15" s="346"/>
      <c r="AE15" s="347"/>
      <c r="AF15" s="347"/>
    </row>
    <row r="16" spans="1:34" x14ac:dyDescent="0.2">
      <c r="A16" s="232"/>
      <c r="B16" s="233">
        <v>2022</v>
      </c>
      <c r="C16" s="234">
        <f>ROUND('Table 2D SolarTracking'!C74/10,3)</f>
        <v>5.5839999999999996</v>
      </c>
      <c r="D16" s="234">
        <f>ROUND('Table 2D SolarTracking'!G74/10,3)</f>
        <v>5.9269999999999996</v>
      </c>
      <c r="E16" s="234">
        <f>ROUND('Table 2D SolarTracking'!D74/10,3)</f>
        <v>3.9689999999999999</v>
      </c>
      <c r="F16" s="234">
        <f>ROUND('Table 2D SolarTracking'!H74/10,3)</f>
        <v>4.3109999999999999</v>
      </c>
      <c r="H16" s="235"/>
      <c r="L16" s="360">
        <f t="shared" si="9"/>
        <v>0.94399999999999995</v>
      </c>
      <c r="M16" s="360"/>
      <c r="N16" s="352">
        <f t="shared" si="4"/>
        <v>8269.4399999999987</v>
      </c>
      <c r="O16" s="361">
        <f t="shared" si="0"/>
        <v>46176.552959999994</v>
      </c>
      <c r="P16" s="352">
        <f t="shared" si="5"/>
        <v>45496.381219991432</v>
      </c>
      <c r="R16" s="361">
        <f t="shared" si="1"/>
        <v>49012.970879999993</v>
      </c>
      <c r="S16" s="352">
        <f t="shared" si="6"/>
        <v>47193.908597053851</v>
      </c>
      <c r="U16" s="361">
        <f t="shared" si="2"/>
        <v>32821.407359999997</v>
      </c>
      <c r="V16" s="352">
        <f t="shared" si="7"/>
        <v>30966.226452659939</v>
      </c>
      <c r="X16" s="361">
        <f t="shared" si="3"/>
        <v>35649.555840000001</v>
      </c>
      <c r="Y16" s="352">
        <f t="shared" si="8"/>
        <v>32662.224901186237</v>
      </c>
      <c r="AC16" s="346"/>
      <c r="AD16" s="346"/>
      <c r="AE16" s="347"/>
      <c r="AF16" s="347"/>
    </row>
    <row r="17" spans="1:32" x14ac:dyDescent="0.2">
      <c r="A17" s="232"/>
      <c r="B17" s="233">
        <v>2023</v>
      </c>
      <c r="C17" s="234">
        <f>ROUND('Table 2D SolarTracking'!C75/10,3)</f>
        <v>5.7910000000000004</v>
      </c>
      <c r="D17" s="234">
        <f>ROUND('Table 2D SolarTracking'!G75/10,3)</f>
        <v>6.0439999999999996</v>
      </c>
      <c r="E17" s="234">
        <f>ROUND('Table 2D SolarTracking'!D75/10,3)</f>
        <v>4.1470000000000002</v>
      </c>
      <c r="F17" s="234">
        <f>ROUND('Table 2D SolarTracking'!H75/10,3)</f>
        <v>4.4000000000000004</v>
      </c>
      <c r="H17" s="235"/>
      <c r="L17" s="360">
        <f t="shared" si="9"/>
        <v>0.93699999999999994</v>
      </c>
      <c r="M17" s="360"/>
      <c r="N17" s="352">
        <f t="shared" si="4"/>
        <v>8208.119999999999</v>
      </c>
      <c r="O17" s="361">
        <f t="shared" si="0"/>
        <v>47533.22292</v>
      </c>
      <c r="P17" s="352">
        <f t="shared" si="5"/>
        <v>45159.013986368613</v>
      </c>
      <c r="R17" s="361">
        <f t="shared" si="1"/>
        <v>49609.877279999993</v>
      </c>
      <c r="S17" s="352">
        <f t="shared" si="6"/>
        <v>46843.953766355364</v>
      </c>
      <c r="U17" s="361">
        <f t="shared" si="2"/>
        <v>34039.073640000002</v>
      </c>
      <c r="V17" s="352">
        <f t="shared" si="7"/>
        <v>30736.604010744031</v>
      </c>
      <c r="X17" s="361">
        <f t="shared" si="3"/>
        <v>36115.727999999996</v>
      </c>
      <c r="Y17" s="352">
        <f t="shared" si="8"/>
        <v>32420.026199588461</v>
      </c>
      <c r="AC17" s="346"/>
      <c r="AD17" s="346"/>
      <c r="AE17" s="347"/>
      <c r="AF17" s="347"/>
    </row>
    <row r="18" spans="1:32" x14ac:dyDescent="0.2">
      <c r="A18" s="232"/>
      <c r="B18" s="233">
        <v>2024</v>
      </c>
      <c r="C18" s="234">
        <f>ROUND('Table 2D SolarTracking'!C76/10,3)</f>
        <v>5.9969999999999999</v>
      </c>
      <c r="D18" s="234">
        <f>ROUND('Table 2D SolarTracking'!G76/10,3)</f>
        <v>6.3289999999999997</v>
      </c>
      <c r="E18" s="234">
        <f>ROUND('Table 2D SolarTracking'!D76/10,3)</f>
        <v>4.3230000000000004</v>
      </c>
      <c r="F18" s="234">
        <f>ROUND('Table 2D SolarTracking'!H76/10,3)</f>
        <v>4.6550000000000002</v>
      </c>
      <c r="H18" s="235"/>
      <c r="L18" s="360">
        <f t="shared" si="9"/>
        <v>0.92999999999999994</v>
      </c>
      <c r="M18" s="360"/>
      <c r="N18" s="352">
        <f t="shared" si="4"/>
        <v>8146.7999999999993</v>
      </c>
      <c r="O18" s="361">
        <f t="shared" si="0"/>
        <v>48856.359599999996</v>
      </c>
      <c r="P18" s="352">
        <f t="shared" si="5"/>
        <v>44821.646752745801</v>
      </c>
      <c r="R18" s="361">
        <f t="shared" si="1"/>
        <v>51561.097199999997</v>
      </c>
      <c r="S18" s="352">
        <f t="shared" si="6"/>
        <v>46493.998935656869</v>
      </c>
      <c r="U18" s="361">
        <f t="shared" si="2"/>
        <v>35218.616399999999</v>
      </c>
      <c r="V18" s="352">
        <f t="shared" si="7"/>
        <v>30506.98156882812</v>
      </c>
      <c r="X18" s="361">
        <f t="shared" si="3"/>
        <v>37923.353999999999</v>
      </c>
      <c r="Y18" s="352">
        <f t="shared" si="8"/>
        <v>32177.827497990682</v>
      </c>
      <c r="AC18" s="346"/>
      <c r="AD18" s="346"/>
      <c r="AE18" s="347"/>
      <c r="AF18" s="347"/>
    </row>
    <row r="19" spans="1:32" x14ac:dyDescent="0.2">
      <c r="A19" s="232"/>
      <c r="B19" s="233">
        <v>2025</v>
      </c>
      <c r="C19" s="234">
        <f>ROUND('Table 2D SolarTracking'!C77/10,3)</f>
        <v>6.4539999999999997</v>
      </c>
      <c r="D19" s="234">
        <f>ROUND('Table 2D SolarTracking'!G77/10,3)</f>
        <v>6.8849999999999998</v>
      </c>
      <c r="E19" s="234">
        <f>ROUND('Table 2D SolarTracking'!D77/10,3)</f>
        <v>4.5380000000000003</v>
      </c>
      <c r="F19" s="234">
        <f>ROUND('Table 2D SolarTracking'!H77/10,3)</f>
        <v>4.968</v>
      </c>
      <c r="H19" s="235"/>
      <c r="L19" s="360">
        <f t="shared" si="9"/>
        <v>0.92299999999999993</v>
      </c>
      <c r="M19" s="360"/>
      <c r="N19" s="352">
        <f t="shared" si="4"/>
        <v>8085.48</v>
      </c>
      <c r="O19" s="361">
        <f t="shared" si="0"/>
        <v>52183.687919999997</v>
      </c>
      <c r="P19" s="352">
        <f t="shared" si="5"/>
        <v>44484.279519122982</v>
      </c>
      <c r="R19" s="361">
        <f t="shared" si="1"/>
        <v>55668.529799999997</v>
      </c>
      <c r="S19" s="352">
        <f t="shared" si="6"/>
        <v>46144.044104958382</v>
      </c>
      <c r="U19" s="361">
        <f t="shared" si="2"/>
        <v>36691.908240000004</v>
      </c>
      <c r="V19" s="352">
        <f t="shared" si="7"/>
        <v>30277.359126912212</v>
      </c>
      <c r="X19" s="361">
        <f t="shared" si="3"/>
        <v>40168.664639999995</v>
      </c>
      <c r="Y19" s="352">
        <f t="shared" si="8"/>
        <v>31935.628796392903</v>
      </c>
      <c r="AC19" s="346"/>
      <c r="AD19" s="346"/>
      <c r="AE19" s="347"/>
      <c r="AF19" s="347"/>
    </row>
    <row r="20" spans="1:32" x14ac:dyDescent="0.2">
      <c r="A20" s="232"/>
      <c r="B20" s="233">
        <v>2026</v>
      </c>
      <c r="C20" s="234">
        <f>ROUND('Table 2D SolarTracking'!C78/10,3)</f>
        <v>6.6879999999999997</v>
      </c>
      <c r="D20" s="234">
        <f>ROUND('Table 2D SolarTracking'!G78/10,3)</f>
        <v>7.1870000000000003</v>
      </c>
      <c r="E20" s="234">
        <f>ROUND('Table 2D SolarTracking'!D78/10,3)</f>
        <v>4.7350000000000003</v>
      </c>
      <c r="F20" s="234">
        <f>ROUND('Table 2D SolarTracking'!H78/10,3)</f>
        <v>5.234</v>
      </c>
      <c r="H20" s="235"/>
      <c r="L20" s="360">
        <f t="shared" si="9"/>
        <v>0.91599999999999993</v>
      </c>
      <c r="M20" s="360"/>
      <c r="N20" s="352">
        <f t="shared" si="4"/>
        <v>8024.1599999999989</v>
      </c>
      <c r="O20" s="361">
        <f t="shared" si="0"/>
        <v>53665.582079999993</v>
      </c>
      <c r="P20" s="352">
        <f t="shared" si="5"/>
        <v>44146.912285500162</v>
      </c>
      <c r="R20" s="361">
        <f t="shared" si="1"/>
        <v>57669.637920000001</v>
      </c>
      <c r="S20" s="352">
        <f t="shared" si="6"/>
        <v>45794.089274259888</v>
      </c>
      <c r="U20" s="361">
        <f t="shared" si="2"/>
        <v>37994.397600000004</v>
      </c>
      <c r="V20" s="352">
        <f t="shared" si="7"/>
        <v>30047.736684996296</v>
      </c>
      <c r="X20" s="361">
        <f t="shared" si="3"/>
        <v>41998.45343999999</v>
      </c>
      <c r="Y20" s="352">
        <f t="shared" si="8"/>
        <v>31693.430094795123</v>
      </c>
      <c r="AC20" s="346"/>
      <c r="AD20" s="346"/>
      <c r="AE20" s="347"/>
      <c r="AF20" s="347"/>
    </row>
    <row r="21" spans="1:32" x14ac:dyDescent="0.2">
      <c r="A21" s="232"/>
      <c r="B21" s="233">
        <v>2027</v>
      </c>
      <c r="C21" s="235">
        <f>ROUND(INDEX('Tables 3 to 6'!AT:AT,MATCH(B21,'Tables 3 to 6'!B:B,0))/10,3)</f>
        <v>6.734</v>
      </c>
      <c r="D21" s="234">
        <f t="shared" ref="D21:D32" si="10">C21</f>
        <v>6.734</v>
      </c>
      <c r="E21" s="235">
        <f>ROUND(INDEX('Tables 3 to 6'!AU:AU,MATCH(B21,'Tables 3 to 6'!B:B,0))/10,3)</f>
        <v>4.0049999999999999</v>
      </c>
      <c r="F21" s="235">
        <f t="shared" ref="F21:F32" si="11">E21</f>
        <v>4.0049999999999999</v>
      </c>
      <c r="H21" s="235"/>
      <c r="L21" s="360">
        <f t="shared" si="9"/>
        <v>0.90899999999999992</v>
      </c>
      <c r="M21" s="360"/>
      <c r="N21" s="352">
        <f t="shared" si="4"/>
        <v>7962.8399999999992</v>
      </c>
      <c r="O21" s="361">
        <f t="shared" si="0"/>
        <v>53621.764559999989</v>
      </c>
      <c r="P21" s="352">
        <f t="shared" si="5"/>
        <v>43809.545051877343</v>
      </c>
      <c r="R21" s="361">
        <f t="shared" si="1"/>
        <v>53621.764559999989</v>
      </c>
      <c r="S21" s="352">
        <f t="shared" si="6"/>
        <v>45444.134443561394</v>
      </c>
      <c r="U21" s="361">
        <f t="shared" si="2"/>
        <v>31891.174199999994</v>
      </c>
      <c r="V21" s="352">
        <f t="shared" si="7"/>
        <v>29818.114243080388</v>
      </c>
      <c r="X21" s="361">
        <f t="shared" si="3"/>
        <v>31891.174199999994</v>
      </c>
      <c r="Y21" s="352">
        <f t="shared" si="8"/>
        <v>31451.231393197344</v>
      </c>
      <c r="AC21" s="346"/>
      <c r="AD21" s="346"/>
      <c r="AE21" s="347"/>
      <c r="AF21" s="347"/>
    </row>
    <row r="22" spans="1:32" x14ac:dyDescent="0.2">
      <c r="A22" s="232"/>
      <c r="B22" s="233">
        <v>2028</v>
      </c>
      <c r="C22" s="235">
        <f>ROUND(INDEX('Tables 3 to 6'!AT:AT,MATCH(B22,'Tables 3 to 6'!B:B,0))/10,3)</f>
        <v>6.9450000000000003</v>
      </c>
      <c r="D22" s="234">
        <f t="shared" si="10"/>
        <v>6.9450000000000003</v>
      </c>
      <c r="E22" s="235">
        <f>ROUND(INDEX('Tables 3 to 6'!AU:AU,MATCH(B22,'Tables 3 to 6'!B:B,0))/10,3)</f>
        <v>4.1639999999999997</v>
      </c>
      <c r="F22" s="235">
        <f t="shared" si="11"/>
        <v>4.1639999999999997</v>
      </c>
      <c r="H22" s="235"/>
      <c r="L22" s="360">
        <f t="shared" si="9"/>
        <v>0.90199999999999991</v>
      </c>
      <c r="M22" s="360"/>
      <c r="N22" s="352">
        <f t="shared" si="4"/>
        <v>7901.5199999999995</v>
      </c>
      <c r="O22" s="361">
        <f t="shared" si="0"/>
        <v>54876.056400000001</v>
      </c>
      <c r="P22" s="352">
        <f t="shared" si="5"/>
        <v>43472.177818254531</v>
      </c>
      <c r="R22" s="361">
        <f t="shared" si="1"/>
        <v>54876.056400000001</v>
      </c>
      <c r="S22" s="352">
        <f t="shared" si="6"/>
        <v>45094.179612862907</v>
      </c>
      <c r="U22" s="361">
        <f t="shared" si="2"/>
        <v>32901.929279999997</v>
      </c>
      <c r="V22" s="352">
        <f t="shared" si="7"/>
        <v>29588.49180116448</v>
      </c>
      <c r="X22" s="361">
        <f t="shared" si="3"/>
        <v>32901.929279999997</v>
      </c>
      <c r="Y22" s="352">
        <f t="shared" si="8"/>
        <v>31209.032691599565</v>
      </c>
      <c r="AC22" s="346"/>
      <c r="AD22" s="346"/>
      <c r="AE22" s="347"/>
      <c r="AF22" s="347"/>
    </row>
    <row r="23" spans="1:32" x14ac:dyDescent="0.2">
      <c r="A23" s="232"/>
      <c r="B23" s="233">
        <v>2029</v>
      </c>
      <c r="C23" s="235">
        <f>ROUND(INDEX('Tables 3 to 6'!AT:AT,MATCH(B23,'Tables 3 to 6'!B:B,0))/10,3)</f>
        <v>7.19</v>
      </c>
      <c r="D23" s="234">
        <f t="shared" si="10"/>
        <v>7.19</v>
      </c>
      <c r="E23" s="235">
        <f>ROUND(INDEX('Tables 3 to 6'!AU:AU,MATCH(B23,'Tables 3 to 6'!B:B,0))/10,3)</f>
        <v>4.3550000000000004</v>
      </c>
      <c r="F23" s="235">
        <f t="shared" si="11"/>
        <v>4.3550000000000004</v>
      </c>
      <c r="H23" s="235"/>
      <c r="L23" s="360">
        <f t="shared" si="9"/>
        <v>0.89499999999999991</v>
      </c>
      <c r="M23" s="360"/>
      <c r="N23" s="352">
        <f t="shared" si="4"/>
        <v>7840.1999999999989</v>
      </c>
      <c r="O23" s="361">
        <f t="shared" si="0"/>
        <v>56371.037999999993</v>
      </c>
      <c r="P23" s="352">
        <f t="shared" si="5"/>
        <v>43134.810584631705</v>
      </c>
      <c r="R23" s="361">
        <f t="shared" si="1"/>
        <v>56371.037999999993</v>
      </c>
      <c r="S23" s="352">
        <f t="shared" si="6"/>
        <v>44744.224782164405</v>
      </c>
      <c r="U23" s="361">
        <f t="shared" si="2"/>
        <v>34144.070999999996</v>
      </c>
      <c r="V23" s="352">
        <f t="shared" si="7"/>
        <v>29358.869359248565</v>
      </c>
      <c r="X23" s="361">
        <f t="shared" si="3"/>
        <v>34144.070999999996</v>
      </c>
      <c r="Y23" s="352">
        <f t="shared" si="8"/>
        <v>30966.833990001785</v>
      </c>
      <c r="AC23" s="346"/>
      <c r="AD23" s="346"/>
      <c r="AE23" s="347"/>
      <c r="AF23" s="347"/>
    </row>
    <row r="24" spans="1:32" x14ac:dyDescent="0.2">
      <c r="A24" s="232"/>
      <c r="B24" s="233">
        <v>2030</v>
      </c>
      <c r="C24" s="235">
        <f>ROUND(INDEX('Tables 3 to 6'!AT:AT,MATCH(B24,'Tables 3 to 6'!B:B,0))/10,3)</f>
        <v>7.4359999999999999</v>
      </c>
      <c r="D24" s="234">
        <f t="shared" si="10"/>
        <v>7.4359999999999999</v>
      </c>
      <c r="E24" s="235">
        <f>ROUND(INDEX('Tables 3 to 6'!AU:AU,MATCH(B24,'Tables 3 to 6'!B:B,0))/10,3)</f>
        <v>4.548</v>
      </c>
      <c r="F24" s="235">
        <f t="shared" si="11"/>
        <v>4.548</v>
      </c>
      <c r="H24" s="235"/>
      <c r="L24" s="360">
        <f t="shared" si="9"/>
        <v>0.8879999999999999</v>
      </c>
      <c r="M24" s="360"/>
      <c r="N24" s="352">
        <f t="shared" si="4"/>
        <v>7778.8799999999992</v>
      </c>
      <c r="O24" s="361">
        <f t="shared" si="0"/>
        <v>57843.751679999994</v>
      </c>
      <c r="P24" s="352">
        <f t="shared" si="5"/>
        <v>42797.443351008893</v>
      </c>
      <c r="R24" s="361">
        <f t="shared" si="1"/>
        <v>57843.751679999994</v>
      </c>
      <c r="S24" s="352">
        <f t="shared" si="6"/>
        <v>44394.269951465918</v>
      </c>
      <c r="U24" s="361">
        <f t="shared" si="2"/>
        <v>35378.346239999999</v>
      </c>
      <c r="V24" s="352">
        <f t="shared" si="7"/>
        <v>29129.246917332657</v>
      </c>
      <c r="X24" s="361">
        <f t="shared" si="3"/>
        <v>35378.346239999999</v>
      </c>
      <c r="Y24" s="352">
        <f t="shared" si="8"/>
        <v>30724.635288404006</v>
      </c>
      <c r="AC24" s="346"/>
      <c r="AD24" s="346"/>
      <c r="AE24" s="347"/>
      <c r="AF24" s="347"/>
    </row>
    <row r="25" spans="1:32" x14ac:dyDescent="0.2">
      <c r="A25" s="232"/>
      <c r="B25" s="233">
        <v>2031</v>
      </c>
      <c r="C25" s="235">
        <f>ROUND(INDEX('Tables 3 to 6'!AT:AT,MATCH(B25,'Tables 3 to 6'!B:B,0))/10,3)</f>
        <v>7.5940000000000003</v>
      </c>
      <c r="D25" s="234">
        <f t="shared" si="10"/>
        <v>7.5940000000000003</v>
      </c>
      <c r="E25" s="235">
        <f>ROUND(INDEX('Tables 3 to 6'!AU:AU,MATCH(B25,'Tables 3 to 6'!B:B,0))/10,3)</f>
        <v>4.6479999999999997</v>
      </c>
      <c r="F25" s="235">
        <f t="shared" si="11"/>
        <v>4.6479999999999997</v>
      </c>
      <c r="H25" s="235"/>
      <c r="I25" s="232"/>
      <c r="L25" s="360">
        <f t="shared" si="9"/>
        <v>0.88099999999999989</v>
      </c>
      <c r="M25" s="360"/>
      <c r="N25" s="352">
        <f t="shared" si="4"/>
        <v>7717.5599999999995</v>
      </c>
      <c r="O25" s="361">
        <f t="shared" si="0"/>
        <v>58607.150639999993</v>
      </c>
      <c r="P25" s="352">
        <f t="shared" si="5"/>
        <v>42460.076117386074</v>
      </c>
      <c r="R25" s="361">
        <f t="shared" si="1"/>
        <v>58607.150639999993</v>
      </c>
      <c r="S25" s="352">
        <f t="shared" si="6"/>
        <v>44044.315120767424</v>
      </c>
      <c r="U25" s="361">
        <f t="shared" si="2"/>
        <v>35871.218879999993</v>
      </c>
      <c r="V25" s="352">
        <f t="shared" si="7"/>
        <v>28899.624475416746</v>
      </c>
      <c r="X25" s="361">
        <f t="shared" si="3"/>
        <v>35871.218879999993</v>
      </c>
      <c r="Y25" s="352">
        <f t="shared" si="8"/>
        <v>30482.436586806227</v>
      </c>
      <c r="AC25" s="346"/>
      <c r="AD25" s="346"/>
      <c r="AE25" s="347"/>
      <c r="AF25" s="347"/>
    </row>
    <row r="26" spans="1:32" x14ac:dyDescent="0.2">
      <c r="A26" s="232"/>
      <c r="B26" s="233">
        <v>2032</v>
      </c>
      <c r="C26" s="235">
        <f>ROUND(INDEX('Tables 3 to 6'!AT:AT,MATCH(B26,'Tables 3 to 6'!B:B,0))/10,3)</f>
        <v>7.7469999999999999</v>
      </c>
      <c r="D26" s="234">
        <f t="shared" si="10"/>
        <v>7.7469999999999999</v>
      </c>
      <c r="E26" s="235">
        <f>ROUND(INDEX('Tables 3 to 6'!AU:AU,MATCH(B26,'Tables 3 to 6'!B:B,0))/10,3)</f>
        <v>4.742</v>
      </c>
      <c r="F26" s="235">
        <f t="shared" si="11"/>
        <v>4.742</v>
      </c>
      <c r="H26" s="235"/>
      <c r="I26" s="232"/>
      <c r="L26" s="360">
        <f t="shared" si="9"/>
        <v>0.87399999999999989</v>
      </c>
      <c r="M26" s="360"/>
      <c r="N26" s="352">
        <f t="shared" si="4"/>
        <v>7656.2399999999989</v>
      </c>
      <c r="O26" s="361">
        <f t="shared" si="0"/>
        <v>59312.891279999996</v>
      </c>
      <c r="P26" s="352">
        <f t="shared" si="5"/>
        <v>42122.708883763255</v>
      </c>
      <c r="R26" s="361">
        <f t="shared" si="1"/>
        <v>59312.891279999996</v>
      </c>
      <c r="S26" s="352">
        <f t="shared" si="6"/>
        <v>43694.360290068929</v>
      </c>
      <c r="U26" s="361">
        <f t="shared" si="2"/>
        <v>36305.890079999997</v>
      </c>
      <c r="V26" s="352">
        <f t="shared" si="7"/>
        <v>28670.002033500834</v>
      </c>
      <c r="X26" s="361">
        <f t="shared" si="3"/>
        <v>36305.890079999997</v>
      </c>
      <c r="Y26" s="352">
        <f t="shared" si="8"/>
        <v>30240.237885208448</v>
      </c>
      <c r="AC26" s="346"/>
      <c r="AD26" s="346"/>
      <c r="AE26" s="347"/>
      <c r="AF26" s="347"/>
    </row>
    <row r="27" spans="1:32" x14ac:dyDescent="0.2">
      <c r="A27" s="232"/>
      <c r="B27" s="233">
        <v>2033</v>
      </c>
      <c r="C27" s="235">
        <f>ROUND(INDEX('Tables 3 to 6'!AT:AT,MATCH(B27,'Tables 3 to 6'!B:B,0))/10,3)</f>
        <v>7.9080000000000004</v>
      </c>
      <c r="D27" s="234">
        <f t="shared" si="10"/>
        <v>7.9080000000000004</v>
      </c>
      <c r="E27" s="235">
        <f>ROUND(INDEX('Tables 3 to 6'!AU:AU,MATCH(B27,'Tables 3 to 6'!B:B,0))/10,3)</f>
        <v>4.8419999999999996</v>
      </c>
      <c r="F27" s="235">
        <f t="shared" si="11"/>
        <v>4.8419999999999996</v>
      </c>
      <c r="H27" s="235"/>
      <c r="I27" s="232"/>
      <c r="L27" s="360">
        <f t="shared" si="9"/>
        <v>0.86699999999999988</v>
      </c>
      <c r="M27" s="360"/>
      <c r="N27" s="352">
        <f t="shared" si="4"/>
        <v>7594.9199999999992</v>
      </c>
      <c r="O27" s="361">
        <f t="shared" si="0"/>
        <v>60060.627359999991</v>
      </c>
      <c r="P27" s="352">
        <f t="shared" si="5"/>
        <v>41785.341650140435</v>
      </c>
      <c r="R27" s="361">
        <f t="shared" si="1"/>
        <v>60060.627359999991</v>
      </c>
      <c r="S27" s="352">
        <f t="shared" si="6"/>
        <v>43344.405459370435</v>
      </c>
      <c r="U27" s="361">
        <f t="shared" si="2"/>
        <v>36774.60263999999</v>
      </c>
      <c r="V27" s="352">
        <f t="shared" si="7"/>
        <v>28440.379591584926</v>
      </c>
      <c r="X27" s="361">
        <f t="shared" si="3"/>
        <v>36774.60263999999</v>
      </c>
      <c r="Y27" s="352">
        <f t="shared" si="8"/>
        <v>29998.039183610668</v>
      </c>
      <c r="AC27" s="346"/>
      <c r="AD27" s="346"/>
      <c r="AE27" s="347"/>
      <c r="AF27" s="347"/>
    </row>
    <row r="28" spans="1:32" x14ac:dyDescent="0.2">
      <c r="A28" s="232"/>
      <c r="B28" s="233">
        <v>2034</v>
      </c>
      <c r="C28" s="235">
        <f>ROUND(INDEX('Tables 3 to 6'!AT:AT,MATCH(B28,'Tables 3 to 6'!B:B,0))/10,3)</f>
        <v>8.0690000000000008</v>
      </c>
      <c r="D28" s="234">
        <f t="shared" si="10"/>
        <v>8.0690000000000008</v>
      </c>
      <c r="E28" s="235">
        <f>ROUND(INDEX('Tables 3 to 6'!AU:AU,MATCH(B28,'Tables 3 to 6'!B:B,0))/10,3)</f>
        <v>4.9429999999999996</v>
      </c>
      <c r="F28" s="235">
        <f t="shared" si="11"/>
        <v>4.9429999999999996</v>
      </c>
      <c r="H28" s="235"/>
      <c r="I28" s="232"/>
      <c r="L28" s="360">
        <f t="shared" si="9"/>
        <v>0.85999999999999988</v>
      </c>
      <c r="M28" s="360"/>
      <c r="N28" s="352">
        <f t="shared" si="4"/>
        <v>7533.5999999999985</v>
      </c>
      <c r="O28" s="361">
        <f t="shared" si="0"/>
        <v>60788.618399999992</v>
      </c>
      <c r="P28" s="352">
        <f t="shared" si="5"/>
        <v>41447.974416517616</v>
      </c>
      <c r="R28" s="361">
        <f t="shared" si="1"/>
        <v>60788.618399999992</v>
      </c>
      <c r="S28" s="352">
        <f t="shared" si="6"/>
        <v>42994.450628671941</v>
      </c>
      <c r="U28" s="361">
        <f t="shared" si="2"/>
        <v>37238.58479999999</v>
      </c>
      <c r="V28" s="352">
        <f t="shared" si="7"/>
        <v>28210.757149669011</v>
      </c>
      <c r="X28" s="361">
        <f t="shared" si="3"/>
        <v>37238.58479999999</v>
      </c>
      <c r="Y28" s="352">
        <f t="shared" si="8"/>
        <v>29755.840482012885</v>
      </c>
      <c r="AC28" s="346"/>
      <c r="AD28" s="346"/>
      <c r="AE28" s="347"/>
      <c r="AF28" s="347"/>
    </row>
    <row r="29" spans="1:32" x14ac:dyDescent="0.2">
      <c r="A29" s="232"/>
      <c r="B29" s="233">
        <v>2035</v>
      </c>
      <c r="C29" s="235">
        <f>ROUND(INDEX('Tables 3 to 6'!AT:AT,MATCH(B29,'Tables 3 to 6'!B:B,0))/10,3)</f>
        <v>8.2330000000000005</v>
      </c>
      <c r="D29" s="234">
        <f t="shared" si="10"/>
        <v>8.2330000000000005</v>
      </c>
      <c r="E29" s="235">
        <f>ROUND(INDEX('Tables 3 to 6'!AU:AU,MATCH(B29,'Tables 3 to 6'!B:B,0))/10,3)</f>
        <v>5.0430000000000001</v>
      </c>
      <c r="F29" s="235">
        <f t="shared" si="11"/>
        <v>5.0430000000000001</v>
      </c>
      <c r="H29" s="235"/>
      <c r="I29" s="232"/>
      <c r="K29" s="352" t="str">
        <f>'Tariff Page'!K29</f>
        <v>Discount Rate - 2013 IRP Update Page 39</v>
      </c>
      <c r="L29" s="360">
        <f t="shared" si="9"/>
        <v>0.85299999999999987</v>
      </c>
      <c r="M29" s="360"/>
      <c r="N29" s="352">
        <f t="shared" si="4"/>
        <v>7472.2799999999988</v>
      </c>
      <c r="O29" s="361">
        <f t="shared" si="0"/>
        <v>61519.281239999989</v>
      </c>
      <c r="P29" s="352">
        <f t="shared" si="5"/>
        <v>41110.607182894797</v>
      </c>
      <c r="R29" s="361">
        <f t="shared" si="1"/>
        <v>61519.281239999989</v>
      </c>
      <c r="S29" s="352">
        <f t="shared" si="6"/>
        <v>42644.495797973454</v>
      </c>
      <c r="U29" s="361">
        <f t="shared" si="2"/>
        <v>37682.708039999998</v>
      </c>
      <c r="V29" s="352">
        <f t="shared" si="7"/>
        <v>27981.134707753103</v>
      </c>
      <c r="X29" s="361">
        <f t="shared" si="3"/>
        <v>37682.708039999998</v>
      </c>
      <c r="Y29" s="352">
        <f t="shared" si="8"/>
        <v>29513.641780415106</v>
      </c>
      <c r="AC29" s="346"/>
      <c r="AD29" s="346"/>
      <c r="AE29" s="347"/>
      <c r="AF29" s="347"/>
    </row>
    <row r="30" spans="1:32" x14ac:dyDescent="0.2">
      <c r="A30" s="232"/>
      <c r="B30" s="233">
        <v>2036</v>
      </c>
      <c r="C30" s="235">
        <f>ROUND(INDEX('Tables 3 to 6'!AT:AT,MATCH(B30,'Tables 3 to 6'!B:B,0))/10,3)</f>
        <v>8.4130000000000003</v>
      </c>
      <c r="D30" s="234">
        <f t="shared" si="10"/>
        <v>8.4130000000000003</v>
      </c>
      <c r="E30" s="235">
        <f>ROUND(INDEX('Tables 3 to 6'!AU:AU,MATCH(B30,'Tables 3 to 6'!B:B,0))/10,3)</f>
        <v>5.157</v>
      </c>
      <c r="F30" s="235">
        <f t="shared" si="11"/>
        <v>5.157</v>
      </c>
      <c r="H30" s="235"/>
      <c r="I30" s="232"/>
      <c r="K30" s="363">
        <f>'Tariff Page'!K30</f>
        <v>6.8820000000000006E-2</v>
      </c>
      <c r="L30" s="360">
        <f t="shared" si="9"/>
        <v>0.84599999999999986</v>
      </c>
      <c r="M30" s="360"/>
      <c r="N30" s="352">
        <f t="shared" si="4"/>
        <v>7410.9599999999991</v>
      </c>
      <c r="O30" s="361">
        <f t="shared" si="0"/>
        <v>62348.406479999991</v>
      </c>
      <c r="P30" s="352">
        <f t="shared" si="5"/>
        <v>40773.239949271985</v>
      </c>
      <c r="R30" s="361">
        <f t="shared" si="1"/>
        <v>62348.406479999991</v>
      </c>
      <c r="S30" s="352">
        <f t="shared" si="6"/>
        <v>42294.540967274959</v>
      </c>
      <c r="U30" s="361">
        <f t="shared" si="2"/>
        <v>38218.320719999996</v>
      </c>
      <c r="V30" s="352">
        <f t="shared" si="7"/>
        <v>27751.512265837191</v>
      </c>
      <c r="X30" s="361">
        <f t="shared" si="3"/>
        <v>38218.320719999996</v>
      </c>
      <c r="Y30" s="352">
        <f t="shared" si="8"/>
        <v>29271.44307881733</v>
      </c>
      <c r="AC30" s="346"/>
      <c r="AD30" s="346"/>
      <c r="AE30" s="347"/>
      <c r="AF30" s="347"/>
    </row>
    <row r="31" spans="1:32" x14ac:dyDescent="0.2">
      <c r="A31" s="232"/>
      <c r="B31" s="233">
        <v>2037</v>
      </c>
      <c r="C31" s="235">
        <f>ROUND(INDEX('Tables 3 to 6'!AT:AT,MATCH(B31,'Tables 3 to 6'!B:B,0))/10,3)</f>
        <v>8.5960000000000001</v>
      </c>
      <c r="D31" s="234">
        <f t="shared" si="10"/>
        <v>8.5960000000000001</v>
      </c>
      <c r="E31" s="235">
        <f>ROUND(INDEX('Tables 3 to 6'!AU:AU,MATCH(B31,'Tables 3 to 6'!B:B,0))/10,3)</f>
        <v>5.2709999999999999</v>
      </c>
      <c r="F31" s="235">
        <f t="shared" si="11"/>
        <v>5.2709999999999999</v>
      </c>
      <c r="H31" s="235"/>
      <c r="I31" s="232"/>
      <c r="L31" s="360">
        <f t="shared" si="9"/>
        <v>0.83899999999999986</v>
      </c>
      <c r="M31" s="360"/>
      <c r="N31" s="352">
        <f t="shared" si="4"/>
        <v>7349.6399999999985</v>
      </c>
      <c r="O31" s="361">
        <f t="shared" si="0"/>
        <v>63177.505439999994</v>
      </c>
      <c r="P31" s="352">
        <f t="shared" si="5"/>
        <v>40435.872715649159</v>
      </c>
      <c r="R31" s="361">
        <f t="shared" si="1"/>
        <v>63177.505439999994</v>
      </c>
      <c r="S31" s="352">
        <f t="shared" si="6"/>
        <v>41944.586136576465</v>
      </c>
      <c r="U31" s="361">
        <f t="shared" si="2"/>
        <v>38739.952439999994</v>
      </c>
      <c r="V31" s="352">
        <f t="shared" si="7"/>
        <v>27521.889823921279</v>
      </c>
      <c r="X31" s="361">
        <f t="shared" si="3"/>
        <v>38739.952439999994</v>
      </c>
      <c r="Y31" s="352">
        <f t="shared" si="8"/>
        <v>29029.244377219547</v>
      </c>
      <c r="AC31" s="346"/>
      <c r="AD31" s="346"/>
      <c r="AE31" s="347"/>
      <c r="AF31" s="347"/>
    </row>
    <row r="32" spans="1:32" x14ac:dyDescent="0.2">
      <c r="A32" s="232"/>
      <c r="B32" s="233">
        <v>2038</v>
      </c>
      <c r="C32" s="235">
        <f>ROUND(INDEX('Tables 3 to 6'!AT:AT,MATCH(B32,'Tables 3 to 6'!B:B,0))/10,3)</f>
        <v>8.7789999999999999</v>
      </c>
      <c r="D32" s="234">
        <f t="shared" si="10"/>
        <v>8.7789999999999999</v>
      </c>
      <c r="E32" s="235">
        <f>ROUND(INDEX('Tables 3 to 6'!AU:AU,MATCH(B32,'Tables 3 to 6'!B:B,0))/10,3)</f>
        <v>5.3849999999999998</v>
      </c>
      <c r="F32" s="235">
        <f t="shared" si="11"/>
        <v>5.3849999999999998</v>
      </c>
      <c r="H32" s="235"/>
      <c r="I32" s="232"/>
      <c r="L32" s="360">
        <f t="shared" si="9"/>
        <v>0.83199999999999985</v>
      </c>
      <c r="M32" s="360"/>
      <c r="N32" s="352">
        <f t="shared" si="4"/>
        <v>7288.3199999999988</v>
      </c>
      <c r="O32" s="361">
        <f t="shared" si="0"/>
        <v>63984.161279999986</v>
      </c>
      <c r="P32" s="352">
        <f t="shared" si="5"/>
        <v>40098.505482026347</v>
      </c>
      <c r="R32" s="361">
        <f t="shared" si="1"/>
        <v>63984.161279999986</v>
      </c>
      <c r="S32" s="352">
        <f t="shared" si="6"/>
        <v>41594.631305877971</v>
      </c>
      <c r="U32" s="361">
        <f t="shared" si="2"/>
        <v>39247.60319999999</v>
      </c>
      <c r="V32" s="352">
        <f t="shared" si="7"/>
        <v>27292.267382005371</v>
      </c>
      <c r="X32" s="361">
        <f t="shared" si="3"/>
        <v>39247.60319999999</v>
      </c>
      <c r="Y32" s="352">
        <f t="shared" si="8"/>
        <v>28787.045675621768</v>
      </c>
      <c r="AC32" s="346"/>
      <c r="AD32" s="346"/>
      <c r="AE32" s="347"/>
      <c r="AF32" s="347"/>
    </row>
    <row r="33" spans="1:37" ht="15.75" customHeight="1" x14ac:dyDescent="0.2">
      <c r="A33" s="232"/>
      <c r="B33" s="233"/>
      <c r="C33" s="232"/>
      <c r="D33" s="232"/>
      <c r="E33" s="232"/>
      <c r="F33" s="232"/>
      <c r="H33" s="333"/>
      <c r="I33" s="232"/>
      <c r="O33" s="361"/>
      <c r="R33" s="361"/>
      <c r="U33" s="361"/>
      <c r="X33" s="361"/>
      <c r="AE33" s="347"/>
      <c r="AF33" s="347"/>
    </row>
    <row r="34" spans="1:37" x14ac:dyDescent="0.2">
      <c r="A34" s="232"/>
      <c r="C34" s="230" t="s">
        <v>298</v>
      </c>
      <c r="D34" s="230"/>
      <c r="E34" s="230" t="s">
        <v>135</v>
      </c>
      <c r="F34" s="230"/>
      <c r="H34" s="230"/>
      <c r="I34" s="232"/>
      <c r="L34" s="364"/>
      <c r="M34" s="365" t="s">
        <v>288</v>
      </c>
      <c r="N34" s="366">
        <f>NPV($K$30,N9:N28)</f>
        <v>88186.401549293907</v>
      </c>
      <c r="O34" s="361">
        <f>NPV($K$30,O9:O28)</f>
        <v>485179.42488317454</v>
      </c>
      <c r="P34" s="361">
        <f>NPV($K$30,P9:P28)</f>
        <v>485179.42488317454</v>
      </c>
      <c r="R34" s="361">
        <f>NPV($K$30,R9:R28)</f>
        <v>503282.08128004626</v>
      </c>
      <c r="S34" s="361">
        <f>NPV($K$30,S9:S28)</f>
        <v>503282.08128004626</v>
      </c>
      <c r="U34" s="361">
        <f>NPV($K$30,U9:U28)</f>
        <v>330227.93326037034</v>
      </c>
      <c r="V34" s="361">
        <f>NPV($K$30,V9:V28)</f>
        <v>330227.93326037034</v>
      </c>
      <c r="X34" s="361">
        <f>NPV($K$30,X9:X28)</f>
        <v>348314.28496117715</v>
      </c>
      <c r="Y34" s="361">
        <f>NPV($K$30,Y9:Y28)</f>
        <v>348314.28496117709</v>
      </c>
    </row>
    <row r="35" spans="1:37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H35" s="231"/>
      <c r="I35" s="232"/>
      <c r="L35" s="367"/>
      <c r="M35" s="367"/>
      <c r="N35" s="365"/>
    </row>
    <row r="36" spans="1:37" ht="30.75" customHeight="1" x14ac:dyDescent="0.2">
      <c r="B36" s="239" t="s">
        <v>297</v>
      </c>
      <c r="C36" s="240">
        <f>-PMT($K$30,COUNT(C9:C28),NPV($K$30,C9:C28))</f>
        <v>5.5563132585781201</v>
      </c>
      <c r="D36" s="240">
        <f>-PMT($K$30,COUNT(D9:D28),NPV($K$30,D9:D28))</f>
        <v>5.7597681867169674</v>
      </c>
      <c r="E36" s="240">
        <f>-PMT($K$30,COUNT(E9:E28),NPV($K$30,E9:E28))</f>
        <v>3.7714881859521827</v>
      </c>
      <c r="F36" s="240">
        <f>-PMT($K$30,COUNT(F9:F28),NPV($K$30,F9:F28))</f>
        <v>3.9747613468693674</v>
      </c>
      <c r="H36" s="240"/>
      <c r="I36" s="232"/>
      <c r="L36" s="368"/>
      <c r="M36" s="368" t="s">
        <v>289</v>
      </c>
      <c r="N36" s="369">
        <f>-PMT($K$30,COUNT(N9:N28),NPV($K$30,N9:N28))</f>
        <v>8247.9838032258922</v>
      </c>
      <c r="O36" s="370">
        <f>-PMT($K$30,COUNT(O9:O28),NPV($K$30,O9:O28))</f>
        <v>45378.334616114276</v>
      </c>
      <c r="P36" s="371">
        <f>O36/N36</f>
        <v>5.5017487544490846</v>
      </c>
      <c r="Q36" s="370"/>
      <c r="R36" s="370">
        <f>-PMT($K$30,COUNT(R9:R28),NPV($K$30,R9:R28))</f>
        <v>47071.457525470098</v>
      </c>
      <c r="S36" s="371">
        <f>R36/N36</f>
        <v>5.707025940940845</v>
      </c>
      <c r="T36" s="370"/>
      <c r="U36" s="370">
        <f>-PMT($K$30,COUNT(U9:U28),NPV($K$30,U9:U28))</f>
        <v>30885.880329086904</v>
      </c>
      <c r="V36" s="371">
        <f>U36/N36</f>
        <v>3.7446582178067613</v>
      </c>
      <c r="W36" s="370"/>
      <c r="X36" s="370">
        <f>-PMT($K$30,COUNT(X9:X28),NPV($K$30,X9:X28))</f>
        <v>32577.47827692148</v>
      </c>
      <c r="Y36" s="371">
        <f>X36/N36</f>
        <v>3.9497505152932053</v>
      </c>
      <c r="AC36" s="240"/>
    </row>
    <row r="37" spans="1:37" x14ac:dyDescent="0.2">
      <c r="A37" s="238"/>
      <c r="I37" s="232"/>
      <c r="N37" s="372"/>
      <c r="O37" s="373"/>
      <c r="P37" s="374"/>
      <c r="R37" s="373"/>
      <c r="S37" s="374"/>
      <c r="U37" s="373"/>
      <c r="V37" s="374"/>
      <c r="X37" s="373"/>
      <c r="Y37" s="374"/>
    </row>
    <row r="38" spans="1:37" x14ac:dyDescent="0.2">
      <c r="I38" s="232"/>
      <c r="O38" s="375"/>
      <c r="R38" s="375"/>
      <c r="U38" s="375"/>
      <c r="X38" s="375"/>
    </row>
    <row r="39" spans="1:37" x14ac:dyDescent="0.2">
      <c r="C39" s="230" t="s">
        <v>134</v>
      </c>
      <c r="D39" s="230"/>
      <c r="E39" s="230" t="s">
        <v>135</v>
      </c>
      <c r="F39" s="230"/>
    </row>
    <row r="40" spans="1:37" ht="36" customHeight="1" x14ac:dyDescent="0.35">
      <c r="A40" s="242"/>
      <c r="B40" s="239" t="s">
        <v>297</v>
      </c>
      <c r="C40" s="231" t="s">
        <v>62</v>
      </c>
      <c r="D40" s="231" t="s">
        <v>63</v>
      </c>
      <c r="E40" s="231" t="s">
        <v>62</v>
      </c>
      <c r="F40" s="231" t="s">
        <v>63</v>
      </c>
      <c r="AE40" s="337"/>
      <c r="AF40" s="347"/>
      <c r="AG40" s="347"/>
      <c r="AH40" s="348"/>
      <c r="AI40" s="348"/>
      <c r="AJ40" s="347"/>
    </row>
    <row r="41" spans="1:37" x14ac:dyDescent="0.2">
      <c r="A41" s="242"/>
      <c r="B41" s="240"/>
      <c r="C41" s="240">
        <f>P36</f>
        <v>5.5017487544490846</v>
      </c>
      <c r="D41" s="240">
        <f>S36</f>
        <v>5.707025940940845</v>
      </c>
      <c r="E41" s="240">
        <f>V36</f>
        <v>3.7446582178067613</v>
      </c>
      <c r="F41" s="240">
        <f>Y36</f>
        <v>3.9497505152932053</v>
      </c>
      <c r="AE41" s="337"/>
    </row>
    <row r="42" spans="1:37" x14ac:dyDescent="0.2">
      <c r="A42" s="232"/>
      <c r="B42" s="238"/>
      <c r="C42" s="232"/>
      <c r="D42" s="232"/>
      <c r="E42" s="232"/>
      <c r="F42" s="232"/>
      <c r="AE42" s="343"/>
      <c r="AF42" s="339"/>
      <c r="AG42" s="339"/>
      <c r="AH42" s="338"/>
      <c r="AI42" s="340"/>
      <c r="AJ42" s="339"/>
      <c r="AK42" s="339"/>
    </row>
    <row r="43" spans="1:37" x14ac:dyDescent="0.2">
      <c r="A43" s="241"/>
      <c r="B43" s="259" t="s">
        <v>300</v>
      </c>
      <c r="AE43" s="349"/>
      <c r="AF43" s="349"/>
      <c r="AG43" s="341"/>
      <c r="AH43" s="349"/>
      <c r="AI43" s="350"/>
    </row>
    <row r="44" spans="1:37" x14ac:dyDescent="0.2">
      <c r="A44" s="242"/>
      <c r="B44" s="259" t="s">
        <v>271</v>
      </c>
    </row>
    <row r="45" spans="1:37" x14ac:dyDescent="0.2">
      <c r="B45" s="259" t="s">
        <v>290</v>
      </c>
    </row>
  </sheetData>
  <printOptions horizontalCentered="1"/>
  <pageMargins left="0.25" right="0.25" top="0.75" bottom="0.75" header="0.3" footer="0.3"/>
  <pageSetup scale="66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showGridLines="0" zoomScale="90" zoomScaleNormal="90" workbookViewId="0">
      <selection activeCell="B2" sqref="B2"/>
    </sheetView>
  </sheetViews>
  <sheetFormatPr defaultRowHeight="12" x14ac:dyDescent="0.2"/>
  <cols>
    <col min="1" max="1" width="2.83203125" style="227" customWidth="1"/>
    <col min="2" max="2" width="19.6640625" style="227" customWidth="1"/>
    <col min="3" max="6" width="18.83203125" style="227" customWidth="1"/>
    <col min="7" max="7" width="17.5" style="227" customWidth="1"/>
    <col min="8" max="8" width="8" style="227" customWidth="1"/>
    <col min="9" max="9" width="10.1640625" style="227" customWidth="1"/>
    <col min="10" max="10" width="7.1640625" style="227" customWidth="1"/>
    <col min="11" max="16384" width="9.33203125" style="227"/>
  </cols>
  <sheetData>
    <row r="1" spans="1:9" x14ac:dyDescent="0.2">
      <c r="A1" s="2"/>
      <c r="B1" s="2"/>
      <c r="C1" s="2"/>
      <c r="D1" s="2"/>
      <c r="E1" s="2"/>
      <c r="F1" s="2"/>
      <c r="G1" s="229"/>
      <c r="H1" s="330"/>
      <c r="I1" s="2"/>
    </row>
    <row r="2" spans="1:9" x14ac:dyDescent="0.2">
      <c r="A2" s="2"/>
      <c r="B2" s="2" t="s">
        <v>108</v>
      </c>
      <c r="C2" s="2"/>
      <c r="D2" s="2"/>
      <c r="E2" s="2"/>
      <c r="F2" s="2"/>
      <c r="G2" s="229"/>
      <c r="H2" s="2"/>
      <c r="I2" s="2"/>
    </row>
    <row r="3" spans="1:9" x14ac:dyDescent="0.2">
      <c r="G3" s="229"/>
    </row>
    <row r="4" spans="1:9" x14ac:dyDescent="0.2">
      <c r="A4" s="228"/>
      <c r="B4" s="258" t="s">
        <v>179</v>
      </c>
      <c r="C4" s="228"/>
      <c r="D4" s="228"/>
      <c r="E4" s="228"/>
      <c r="F4" s="228"/>
      <c r="G4" s="229"/>
      <c r="H4" s="228"/>
    </row>
    <row r="5" spans="1:9" x14ac:dyDescent="0.2">
      <c r="A5" s="228"/>
      <c r="B5" s="228"/>
      <c r="H5" s="332"/>
    </row>
    <row r="6" spans="1:9" x14ac:dyDescent="0.2">
      <c r="A6" s="228"/>
      <c r="B6" s="229" t="s">
        <v>136</v>
      </c>
      <c r="C6" s="230" t="s">
        <v>299</v>
      </c>
      <c r="D6" s="230"/>
      <c r="E6" s="230" t="s">
        <v>181</v>
      </c>
      <c r="F6" s="230"/>
      <c r="H6" s="228"/>
    </row>
    <row r="7" spans="1:9" ht="14.25" x14ac:dyDescent="0.35">
      <c r="A7" s="228"/>
      <c r="B7" s="229" t="s">
        <v>133</v>
      </c>
      <c r="C7" s="231" t="s">
        <v>62</v>
      </c>
      <c r="D7" s="231" t="s">
        <v>63</v>
      </c>
      <c r="E7" s="231" t="s">
        <v>62</v>
      </c>
      <c r="F7" s="231" t="s">
        <v>63</v>
      </c>
      <c r="H7" s="228"/>
    </row>
    <row r="8" spans="1:9" hidden="1" x14ac:dyDescent="0.2">
      <c r="A8" s="232"/>
      <c r="B8" s="233">
        <v>2014</v>
      </c>
      <c r="C8" s="234">
        <f>ROUND('Table 2B Wind'!C66/10,3)</f>
        <v>2.827</v>
      </c>
      <c r="D8" s="234">
        <f>ROUND('Table 2B Wind'!G66/10,3)</f>
        <v>3.2829999999999999</v>
      </c>
      <c r="E8" s="234">
        <f>ROUND('Table 2B Wind'!D66/10,3)</f>
        <v>2.488</v>
      </c>
      <c r="F8" s="234">
        <f>ROUND('Table 2B Wind'!H66/10,3)</f>
        <v>2.944</v>
      </c>
      <c r="H8" s="235"/>
      <c r="I8" s="331"/>
    </row>
    <row r="9" spans="1:9" x14ac:dyDescent="0.2">
      <c r="A9" s="232"/>
      <c r="B9" s="233">
        <v>2015</v>
      </c>
      <c r="C9" s="234">
        <f>ROUND('Table 2B Wind'!C67/10,3)</f>
        <v>3.2130000000000001</v>
      </c>
      <c r="D9" s="234">
        <f>ROUND('Table 2B Wind'!G67/10,3)</f>
        <v>3.1669999999999998</v>
      </c>
      <c r="E9" s="234">
        <f>ROUND('Table 2B Wind'!D67/10,3)</f>
        <v>2.952</v>
      </c>
      <c r="F9" s="234">
        <f>ROUND('Table 2B Wind'!H67/10,3)</f>
        <v>2.9060000000000001</v>
      </c>
      <c r="H9" s="235"/>
    </row>
    <row r="10" spans="1:9" x14ac:dyDescent="0.2">
      <c r="A10" s="232"/>
      <c r="B10" s="233">
        <v>2016</v>
      </c>
      <c r="C10" s="234">
        <f>ROUND('Table 2B Wind'!C68/10,3)</f>
        <v>2.9129999999999998</v>
      </c>
      <c r="D10" s="234">
        <f>ROUND('Table 2B Wind'!G68/10,3)</f>
        <v>3.052</v>
      </c>
      <c r="E10" s="234">
        <f>ROUND('Table 2B Wind'!D68/10,3)</f>
        <v>2.6480000000000001</v>
      </c>
      <c r="F10" s="234">
        <f>ROUND('Table 2B Wind'!H68/10,3)</f>
        <v>2.786</v>
      </c>
      <c r="H10" s="235"/>
    </row>
    <row r="11" spans="1:9" x14ac:dyDescent="0.2">
      <c r="A11" s="232"/>
      <c r="B11" s="233">
        <v>2017</v>
      </c>
      <c r="C11" s="234">
        <f>ROUND('Table 2B Wind'!C69/10,3)</f>
        <v>2.976</v>
      </c>
      <c r="D11" s="234">
        <f>ROUND('Table 2B Wind'!G69/10,3)</f>
        <v>3.266</v>
      </c>
      <c r="E11" s="234">
        <f>ROUND('Table 2B Wind'!D69/10,3)</f>
        <v>2.706</v>
      </c>
      <c r="F11" s="234">
        <f>ROUND('Table 2B Wind'!H69/10,3)</f>
        <v>2.996</v>
      </c>
      <c r="H11" s="235"/>
    </row>
    <row r="12" spans="1:9" x14ac:dyDescent="0.2">
      <c r="A12" s="232"/>
      <c r="B12" s="233">
        <v>2018</v>
      </c>
      <c r="C12" s="234">
        <f>ROUND('Table 2B Wind'!C70/10,3)</f>
        <v>3.26</v>
      </c>
      <c r="D12" s="234">
        <f>ROUND('Table 2B Wind'!G70/10,3)</f>
        <v>3.5009999999999999</v>
      </c>
      <c r="E12" s="234">
        <f>ROUND('Table 2B Wind'!D70/10,3)</f>
        <v>2.9390000000000001</v>
      </c>
      <c r="F12" s="234">
        <f>ROUND('Table 2B Wind'!H70/10,3)</f>
        <v>3.18</v>
      </c>
      <c r="H12" s="235"/>
    </row>
    <row r="13" spans="1:9" x14ac:dyDescent="0.2">
      <c r="A13" s="232"/>
      <c r="B13" s="233">
        <v>2019</v>
      </c>
      <c r="C13" s="234">
        <f>ROUND('Table 2B Wind'!C71/10,3)</f>
        <v>3.3809999999999998</v>
      </c>
      <c r="D13" s="234">
        <f>ROUND('Table 2B Wind'!G71/10,3)</f>
        <v>3.681</v>
      </c>
      <c r="E13" s="234">
        <f>ROUND('Table 2B Wind'!D71/10,3)</f>
        <v>3.0550000000000002</v>
      </c>
      <c r="F13" s="234">
        <f>ROUND('Table 2B Wind'!H71/10,3)</f>
        <v>3.355</v>
      </c>
      <c r="H13" s="235"/>
    </row>
    <row r="14" spans="1:9" x14ac:dyDescent="0.2">
      <c r="A14" s="232"/>
      <c r="B14" s="233">
        <v>2020</v>
      </c>
      <c r="C14" s="234">
        <f>ROUND('Table 2B Wind'!C72/10,3)</f>
        <v>3.6080000000000001</v>
      </c>
      <c r="D14" s="234">
        <f>ROUND('Table 2B Wind'!G72/10,3)</f>
        <v>4.1189999999999998</v>
      </c>
      <c r="E14" s="234">
        <f>ROUND('Table 2B Wind'!D72/10,3)</f>
        <v>3.2749999999999999</v>
      </c>
      <c r="F14" s="234">
        <f>ROUND('Table 2B Wind'!H72/10,3)</f>
        <v>3.786</v>
      </c>
      <c r="H14" s="235"/>
    </row>
    <row r="15" spans="1:9" x14ac:dyDescent="0.2">
      <c r="A15" s="232"/>
      <c r="B15" s="233">
        <v>2021</v>
      </c>
      <c r="C15" s="234">
        <f>ROUND('Table 2B Wind'!C73/10,3)</f>
        <v>3.9990000000000001</v>
      </c>
      <c r="D15" s="234">
        <f>ROUND('Table 2B Wind'!G73/10,3)</f>
        <v>4.2759999999999998</v>
      </c>
      <c r="E15" s="234">
        <f>ROUND('Table 2B Wind'!D73/10,3)</f>
        <v>3.6120000000000001</v>
      </c>
      <c r="F15" s="234">
        <f>ROUND('Table 2B Wind'!H73/10,3)</f>
        <v>3.8889999999999998</v>
      </c>
      <c r="H15" s="235"/>
    </row>
    <row r="16" spans="1:9" x14ac:dyDescent="0.2">
      <c r="A16" s="232"/>
      <c r="B16" s="233">
        <v>2022</v>
      </c>
      <c r="C16" s="234">
        <f>ROUND('Table 2B Wind'!C74/10,3)</f>
        <v>3.9689999999999999</v>
      </c>
      <c r="D16" s="234">
        <f>ROUND('Table 2B Wind'!G74/10,3)</f>
        <v>4.3120000000000003</v>
      </c>
      <c r="E16" s="234">
        <f>ROUND('Table 2B Wind'!D74/10,3)</f>
        <v>3.5750000000000002</v>
      </c>
      <c r="F16" s="234">
        <f>ROUND('Table 2B Wind'!H74/10,3)</f>
        <v>3.9169999999999998</v>
      </c>
      <c r="H16" s="235"/>
    </row>
    <row r="17" spans="1:11" x14ac:dyDescent="0.2">
      <c r="A17" s="232"/>
      <c r="B17" s="233">
        <v>2023</v>
      </c>
      <c r="C17" s="234">
        <f>ROUND('Table 2B Wind'!C75/10,3)</f>
        <v>4.0620000000000003</v>
      </c>
      <c r="D17" s="234">
        <f>ROUND('Table 2B Wind'!G75/10,3)</f>
        <v>4.3150000000000004</v>
      </c>
      <c r="E17" s="234">
        <f>ROUND('Table 2B Wind'!D75/10,3)</f>
        <v>3.661</v>
      </c>
      <c r="F17" s="234">
        <f>ROUND('Table 2B Wind'!H75/10,3)</f>
        <v>3.9140000000000001</v>
      </c>
      <c r="H17" s="235"/>
    </row>
    <row r="18" spans="1:11" x14ac:dyDescent="0.2">
      <c r="A18" s="232"/>
      <c r="B18" s="233">
        <v>2024</v>
      </c>
      <c r="C18" s="234">
        <f>ROUND('Table 2B Wind'!C76/10,3)</f>
        <v>4.3369999999999997</v>
      </c>
      <c r="D18" s="234">
        <f>ROUND('Table 2B Wind'!G76/10,3)</f>
        <v>4.67</v>
      </c>
      <c r="E18" s="234">
        <f>ROUND('Table 2B Wind'!D76/10,3)</f>
        <v>3.9289999999999998</v>
      </c>
      <c r="F18" s="234">
        <f>ROUND('Table 2B Wind'!H76/10,3)</f>
        <v>4.2610000000000001</v>
      </c>
      <c r="H18" s="235"/>
    </row>
    <row r="19" spans="1:11" x14ac:dyDescent="0.2">
      <c r="A19" s="232"/>
      <c r="B19" s="233">
        <v>2025</v>
      </c>
      <c r="C19" s="234">
        <f>ROUND('Table 2B Wind'!C77/10,3)</f>
        <v>4.6059999999999999</v>
      </c>
      <c r="D19" s="234">
        <f>ROUND('Table 2B Wind'!G77/10,3)</f>
        <v>5.0359999999999996</v>
      </c>
      <c r="E19" s="234">
        <f>ROUND('Table 2B Wind'!D77/10,3)</f>
        <v>4.1390000000000002</v>
      </c>
      <c r="F19" s="234">
        <f>ROUND('Table 2B Wind'!H77/10,3)</f>
        <v>4.569</v>
      </c>
      <c r="H19" s="235"/>
    </row>
    <row r="20" spans="1:11" x14ac:dyDescent="0.2">
      <c r="A20" s="232"/>
      <c r="B20" s="233">
        <v>2026</v>
      </c>
      <c r="C20" s="234">
        <f>ROUND('Table 2B Wind'!C78/10,3)</f>
        <v>4.7699999999999996</v>
      </c>
      <c r="D20" s="234">
        <f>ROUND('Table 2B Wind'!G78/10,3)</f>
        <v>5.2690000000000001</v>
      </c>
      <c r="E20" s="234">
        <f>ROUND('Table 2B Wind'!D78/10,3)</f>
        <v>4.2930000000000001</v>
      </c>
      <c r="F20" s="234">
        <f>ROUND('Table 2B Wind'!H78/10,3)</f>
        <v>4.7919999999999998</v>
      </c>
      <c r="H20" s="235"/>
      <c r="K20" s="236"/>
    </row>
    <row r="21" spans="1:11" x14ac:dyDescent="0.2">
      <c r="A21" s="232"/>
      <c r="B21" s="233">
        <v>2027</v>
      </c>
      <c r="C21" s="235">
        <f>ROUND(INDEX('Tables 3 to 6'!AF:AF,MATCH(B21,'Tables 3 to 6'!B:B,0))/10,3)</f>
        <v>4.2130000000000001</v>
      </c>
      <c r="D21" s="234">
        <f t="shared" ref="D21:D32" si="0">C21</f>
        <v>4.2130000000000001</v>
      </c>
      <c r="E21" s="235">
        <f>ROUND(INDEX('Tables 3 to 6'!AG:AG,MATCH(B21,'Tables 3 to 6'!B:B,0))/10,3)</f>
        <v>3.5470000000000002</v>
      </c>
      <c r="F21" s="235">
        <f t="shared" ref="F21:F32" si="1">E21</f>
        <v>3.5470000000000002</v>
      </c>
      <c r="H21" s="235"/>
    </row>
    <row r="22" spans="1:11" x14ac:dyDescent="0.2">
      <c r="A22" s="232"/>
      <c r="B22" s="233">
        <v>2028</v>
      </c>
      <c r="C22" s="235">
        <f>ROUND(INDEX('Tables 3 to 6'!AF:AF,MATCH(B22,'Tables 3 to 6'!B:B,0))/10,3)</f>
        <v>4.4050000000000002</v>
      </c>
      <c r="D22" s="234">
        <f t="shared" si="0"/>
        <v>4.4050000000000002</v>
      </c>
      <c r="E22" s="235">
        <f>ROUND(INDEX('Tables 3 to 6'!AG:AG,MATCH(B22,'Tables 3 to 6'!B:B,0))/10,3)</f>
        <v>3.726</v>
      </c>
      <c r="F22" s="235">
        <f t="shared" si="1"/>
        <v>3.726</v>
      </c>
      <c r="H22" s="235"/>
    </row>
    <row r="23" spans="1:11" x14ac:dyDescent="0.2">
      <c r="A23" s="232"/>
      <c r="B23" s="233">
        <v>2029</v>
      </c>
      <c r="C23" s="235">
        <f>ROUND(INDEX('Tables 3 to 6'!AF:AF,MATCH(B23,'Tables 3 to 6'!B:B,0))/10,3)</f>
        <v>4.5659999999999998</v>
      </c>
      <c r="D23" s="234">
        <f t="shared" si="0"/>
        <v>4.5659999999999998</v>
      </c>
      <c r="E23" s="235">
        <f>ROUND(INDEX('Tables 3 to 6'!AG:AG,MATCH(B23,'Tables 3 to 6'!B:B,0))/10,3)</f>
        <v>3.8740000000000001</v>
      </c>
      <c r="F23" s="235">
        <f t="shared" si="1"/>
        <v>3.8740000000000001</v>
      </c>
      <c r="H23" s="235"/>
    </row>
    <row r="24" spans="1:11" x14ac:dyDescent="0.2">
      <c r="A24" s="232"/>
      <c r="B24" s="233">
        <v>2030</v>
      </c>
      <c r="C24" s="235">
        <f>ROUND(INDEX('Tables 3 to 6'!AF:AF,MATCH(B24,'Tables 3 to 6'!B:B,0))/10,3)</f>
        <v>4.7930000000000001</v>
      </c>
      <c r="D24" s="234">
        <f t="shared" si="0"/>
        <v>4.7930000000000001</v>
      </c>
      <c r="E24" s="235">
        <f>ROUND(INDEX('Tables 3 to 6'!AG:AG,MATCH(B24,'Tables 3 to 6'!B:B,0))/10,3)</f>
        <v>4.0880000000000001</v>
      </c>
      <c r="F24" s="235">
        <f t="shared" si="1"/>
        <v>4.0880000000000001</v>
      </c>
      <c r="H24" s="235"/>
    </row>
    <row r="25" spans="1:11" x14ac:dyDescent="0.2">
      <c r="A25" s="232"/>
      <c r="B25" s="233">
        <v>2031</v>
      </c>
      <c r="C25" s="235">
        <f>ROUND(INDEX('Tables 3 to 6'!AF:AF,MATCH(B25,'Tables 3 to 6'!B:B,0))/10,3)</f>
        <v>4.827</v>
      </c>
      <c r="D25" s="234">
        <f t="shared" si="0"/>
        <v>4.827</v>
      </c>
      <c r="E25" s="235">
        <f>ROUND(INDEX('Tables 3 to 6'!AG:AG,MATCH(B25,'Tables 3 to 6'!B:B,0))/10,3)</f>
        <v>4.1079999999999997</v>
      </c>
      <c r="F25" s="235">
        <f t="shared" si="1"/>
        <v>4.1079999999999997</v>
      </c>
      <c r="H25" s="235"/>
      <c r="I25" s="232"/>
    </row>
    <row r="26" spans="1:11" x14ac:dyDescent="0.2">
      <c r="A26" s="232"/>
      <c r="B26" s="233">
        <v>2032</v>
      </c>
      <c r="C26" s="235">
        <f>ROUND(INDEX('Tables 3 to 6'!AF:AF,MATCH(B26,'Tables 3 to 6'!B:B,0))/10,3)</f>
        <v>4.9059999999999997</v>
      </c>
      <c r="D26" s="234">
        <f t="shared" si="0"/>
        <v>4.9059999999999997</v>
      </c>
      <c r="E26" s="235">
        <f>ROUND(INDEX('Tables 3 to 6'!AG:AG,MATCH(B26,'Tables 3 to 6'!B:B,0))/10,3)</f>
        <v>4.173</v>
      </c>
      <c r="F26" s="235">
        <f t="shared" si="1"/>
        <v>4.173</v>
      </c>
      <c r="H26" s="235"/>
      <c r="I26" s="232"/>
    </row>
    <row r="27" spans="1:11" x14ac:dyDescent="0.2">
      <c r="A27" s="232"/>
      <c r="B27" s="233">
        <v>2033</v>
      </c>
      <c r="C27" s="235">
        <f>ROUND(INDEX('Tables 3 to 6'!AF:AF,MATCH(B27,'Tables 3 to 6'!B:B,0))/10,3)</f>
        <v>4.9740000000000002</v>
      </c>
      <c r="D27" s="234">
        <f t="shared" si="0"/>
        <v>4.9740000000000002</v>
      </c>
      <c r="E27" s="235">
        <f>ROUND(INDEX('Tables 3 to 6'!AG:AG,MATCH(B27,'Tables 3 to 6'!B:B,0))/10,3)</f>
        <v>4.226</v>
      </c>
      <c r="F27" s="235">
        <f t="shared" si="1"/>
        <v>4.226</v>
      </c>
      <c r="H27" s="235"/>
      <c r="I27" s="232"/>
    </row>
    <row r="28" spans="1:11" x14ac:dyDescent="0.2">
      <c r="A28" s="232"/>
      <c r="B28" s="233">
        <v>2034</v>
      </c>
      <c r="C28" s="235">
        <f>ROUND(INDEX('Tables 3 to 6'!AF:AF,MATCH(B28,'Tables 3 to 6'!B:B,0))/10,3)</f>
        <v>5.0730000000000004</v>
      </c>
      <c r="D28" s="234">
        <f t="shared" si="0"/>
        <v>5.0730000000000004</v>
      </c>
      <c r="E28" s="235">
        <f>ROUND(INDEX('Tables 3 to 6'!AG:AG,MATCH(B28,'Tables 3 to 6'!B:B,0))/10,3)</f>
        <v>4.3099999999999996</v>
      </c>
      <c r="F28" s="235">
        <f t="shared" si="1"/>
        <v>4.3099999999999996</v>
      </c>
      <c r="H28" s="235"/>
      <c r="I28" s="232"/>
    </row>
    <row r="29" spans="1:11" x14ac:dyDescent="0.2">
      <c r="A29" s="232"/>
      <c r="B29" s="233">
        <v>2035</v>
      </c>
      <c r="C29" s="235">
        <f>ROUND(INDEX('Tables 3 to 6'!AF:AF,MATCH(B29,'Tables 3 to 6'!B:B,0))/10,3)</f>
        <v>5.1710000000000003</v>
      </c>
      <c r="D29" s="234">
        <f t="shared" si="0"/>
        <v>5.1710000000000003</v>
      </c>
      <c r="E29" s="235">
        <f>ROUND(INDEX('Tables 3 to 6'!AG:AG,MATCH(B29,'Tables 3 to 6'!B:B,0))/10,3)</f>
        <v>4.3920000000000003</v>
      </c>
      <c r="F29" s="235">
        <f t="shared" si="1"/>
        <v>4.3920000000000003</v>
      </c>
      <c r="H29" s="235"/>
      <c r="I29" s="232"/>
      <c r="K29" s="227" t="str">
        <f>'Tariff Page'!K29</f>
        <v>Discount Rate - 2013 IRP Update Page 39</v>
      </c>
    </row>
    <row r="30" spans="1:11" x14ac:dyDescent="0.2">
      <c r="A30" s="232"/>
      <c r="B30" s="233">
        <v>2036</v>
      </c>
      <c r="C30" s="235">
        <f>ROUND(INDEX('Tables 3 to 6'!AF:AF,MATCH(B30,'Tables 3 to 6'!B:B,0))/10,3)</f>
        <v>5.2830000000000004</v>
      </c>
      <c r="D30" s="234">
        <f t="shared" si="0"/>
        <v>5.2830000000000004</v>
      </c>
      <c r="E30" s="235">
        <f>ROUND(INDEX('Tables 3 to 6'!AG:AG,MATCH(B30,'Tables 3 to 6'!B:B,0))/10,3)</f>
        <v>4.4889999999999999</v>
      </c>
      <c r="F30" s="235">
        <f t="shared" si="1"/>
        <v>4.4889999999999999</v>
      </c>
      <c r="H30" s="235"/>
      <c r="I30" s="232"/>
      <c r="K30" s="237">
        <f>'Tariff Page'!K30</f>
        <v>6.8820000000000006E-2</v>
      </c>
    </row>
    <row r="31" spans="1:11" x14ac:dyDescent="0.2">
      <c r="A31" s="232"/>
      <c r="B31" s="233">
        <v>2037</v>
      </c>
      <c r="C31" s="235">
        <f>ROUND(INDEX('Tables 3 to 6'!AF:AF,MATCH(B31,'Tables 3 to 6'!B:B,0))/10,3)</f>
        <v>5.3970000000000002</v>
      </c>
      <c r="D31" s="234">
        <f t="shared" si="0"/>
        <v>5.3970000000000002</v>
      </c>
      <c r="E31" s="235">
        <f>ROUND(INDEX('Tables 3 to 6'!AG:AG,MATCH(B31,'Tables 3 to 6'!B:B,0))/10,3)</f>
        <v>4.585</v>
      </c>
      <c r="F31" s="235">
        <f t="shared" si="1"/>
        <v>4.585</v>
      </c>
      <c r="H31" s="235"/>
      <c r="I31" s="232"/>
    </row>
    <row r="32" spans="1:11" x14ac:dyDescent="0.2">
      <c r="A32" s="232"/>
      <c r="B32" s="233">
        <v>2038</v>
      </c>
      <c r="C32" s="235">
        <f>ROUND(INDEX('Tables 3 to 6'!AF:AF,MATCH(B32,'Tables 3 to 6'!B:B,0))/10,3)</f>
        <v>5.5049999999999999</v>
      </c>
      <c r="D32" s="234">
        <f t="shared" si="0"/>
        <v>5.5049999999999999</v>
      </c>
      <c r="E32" s="235">
        <f>ROUND(INDEX('Tables 3 to 6'!AG:AG,MATCH(B32,'Tables 3 to 6'!B:B,0))/10,3)</f>
        <v>4.6769999999999996</v>
      </c>
      <c r="F32" s="235">
        <f t="shared" si="1"/>
        <v>4.6769999999999996</v>
      </c>
      <c r="H32" s="235"/>
      <c r="I32" s="232"/>
    </row>
    <row r="33" spans="1:9" x14ac:dyDescent="0.2">
      <c r="A33" s="232"/>
      <c r="B33" s="233"/>
      <c r="C33" s="232"/>
      <c r="D33" s="232"/>
      <c r="E33" s="232"/>
      <c r="F33" s="232"/>
      <c r="H33" s="333"/>
      <c r="I33" s="232"/>
    </row>
    <row r="34" spans="1:9" x14ac:dyDescent="0.2">
      <c r="A34" s="232"/>
      <c r="C34" s="230" t="s">
        <v>298</v>
      </c>
      <c r="D34" s="230"/>
      <c r="E34" s="230" t="s">
        <v>135</v>
      </c>
      <c r="F34" s="230"/>
      <c r="H34" s="230"/>
      <c r="I34" s="232"/>
    </row>
    <row r="35" spans="1:9" ht="14.25" x14ac:dyDescent="0.35">
      <c r="A35" s="232"/>
      <c r="B35" s="238"/>
      <c r="C35" s="231" t="s">
        <v>62</v>
      </c>
      <c r="D35" s="231" t="s">
        <v>63</v>
      </c>
      <c r="E35" s="231" t="s">
        <v>62</v>
      </c>
      <c r="F35" s="231" t="s">
        <v>63</v>
      </c>
      <c r="H35" s="231"/>
      <c r="I35" s="232"/>
    </row>
    <row r="36" spans="1:9" ht="33.75" customHeight="1" x14ac:dyDescent="0.2">
      <c r="B36" s="239" t="s">
        <v>297</v>
      </c>
      <c r="C36" s="240">
        <f>-PMT($K$30,COUNT(C9:C28),NPV($K$30,C9:C28))</f>
        <v>3.8929911495909679</v>
      </c>
      <c r="D36" s="240">
        <f>-PMT($K$30,COUNT(D9:D28),NPV($K$30,D9:D28))</f>
        <v>4.0964491730854693</v>
      </c>
      <c r="E36" s="240">
        <f>-PMT($K$30,COUNT(E9:E28),NPV($K$30,E9:E28))</f>
        <v>3.4575627419472554</v>
      </c>
      <c r="F36" s="240">
        <f>-PMT($K$30,COUNT(F9:F28),NPV($K$30,F9:F28))</f>
        <v>3.6608359028644419</v>
      </c>
      <c r="H36" s="240"/>
      <c r="I36" s="232"/>
    </row>
    <row r="37" spans="1:9" x14ac:dyDescent="0.2">
      <c r="A37" s="238"/>
      <c r="I37" s="232"/>
    </row>
    <row r="38" spans="1:9" x14ac:dyDescent="0.2">
      <c r="A38" s="241"/>
      <c r="B38" s="259" t="s">
        <v>278</v>
      </c>
      <c r="I38" s="232"/>
    </row>
    <row r="39" spans="1:9" x14ac:dyDescent="0.2">
      <c r="A39" s="242"/>
      <c r="B39" s="259" t="s">
        <v>269</v>
      </c>
    </row>
    <row r="40" spans="1:9" x14ac:dyDescent="0.2">
      <c r="A40" s="242"/>
      <c r="B40" s="232"/>
      <c r="C40" s="243"/>
      <c r="D40" s="243"/>
      <c r="E40" s="243"/>
      <c r="F40" s="243"/>
    </row>
    <row r="41" spans="1:9" x14ac:dyDescent="0.2">
      <c r="A41" s="242"/>
      <c r="B41" s="239"/>
      <c r="C41" s="243"/>
      <c r="D41" s="243"/>
      <c r="E41" s="243"/>
      <c r="F41" s="243"/>
    </row>
    <row r="42" spans="1:9" x14ac:dyDescent="0.2">
      <c r="A42" s="232"/>
      <c r="B42" s="238"/>
      <c r="C42" s="232"/>
      <c r="D42" s="232"/>
      <c r="E42" s="232"/>
      <c r="F42" s="232"/>
    </row>
    <row r="43" spans="1:9" x14ac:dyDescent="0.2">
      <c r="A43" s="241"/>
    </row>
    <row r="44" spans="1:9" x14ac:dyDescent="0.2">
      <c r="A44" s="241"/>
    </row>
  </sheetData>
  <printOptions horizontalCentered="1"/>
  <pageMargins left="0.25" right="0.25" top="0.75" bottom="0.75" header="0.3" footer="0.3"/>
  <pageSetup scale="68" orientation="landscape" copies="3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A1:AD106"/>
  <sheetViews>
    <sheetView view="pageBreakPreview" topLeftCell="A6" zoomScale="60" zoomScaleNormal="90" workbookViewId="0">
      <selection activeCell="O1" sqref="O1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5" width="10.83203125" style="60" customWidth="1"/>
    <col min="16" max="21" width="15.33203125" style="60" customWidth="1"/>
    <col min="22" max="16384" width="9.33203125" style="60"/>
  </cols>
  <sheetData>
    <row r="1" spans="1:13" s="5" customFormat="1" ht="15.75" x14ac:dyDescent="0.25">
      <c r="A1" s="1" t="s">
        <v>182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 x14ac:dyDescent="0.25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13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3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3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 customHeight="1" x14ac:dyDescent="0.2">
      <c r="A9" s="13" t="s">
        <v>317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3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H28+'Tables 3 to 6'!$W13</f>
        <v>46.851705963456979</v>
      </c>
      <c r="I10" s="99">
        <f>I28+'Tables 3 to 6'!$W13</f>
        <v>55.045848631025649</v>
      </c>
      <c r="J10" s="100">
        <f>J28+'Tables 3 to 6'!$W13</f>
        <v>45.660631666121382</v>
      </c>
      <c r="K10" s="99">
        <f>K28+'Tables 3 to 6'!$W13</f>
        <v>43.486874275770717</v>
      </c>
      <c r="L10" s="99">
        <f>L28+'Tables 3 to 6'!$W13</f>
        <v>46.80394108268743</v>
      </c>
      <c r="M10" s="100">
        <f>M28+'Tables 3 to 6'!$W13</f>
        <v>43.591059207748017</v>
      </c>
    </row>
    <row r="11" spans="1:13" ht="12.75" customHeight="1" x14ac:dyDescent="0.2">
      <c r="A11" s="101">
        <f t="shared" ref="A11:A22" si="0">A10+1</f>
        <v>2015</v>
      </c>
      <c r="B11" s="102">
        <f>B29+'Tables 3 to 6'!$W14</f>
        <v>48.667883668721359</v>
      </c>
      <c r="C11" s="103">
        <f>C29+'Tables 3 to 6'!$W14</f>
        <v>49.106491595192679</v>
      </c>
      <c r="D11" s="103">
        <f>D29+'Tables 3 to 6'!$W14</f>
        <v>54.801071804637317</v>
      </c>
      <c r="E11" s="103">
        <f>E29+'Tables 3 to 6'!$W14</f>
        <v>39.790638593234533</v>
      </c>
      <c r="F11" s="104">
        <f>F29+'Tables 3 to 6'!$W14</f>
        <v>37.250552599942814</v>
      </c>
      <c r="G11" s="103">
        <f>G29+'Tables 3 to 6'!$W14</f>
        <v>39.109491736762635</v>
      </c>
      <c r="H11" s="103">
        <f>H29+'Tables 3 to 6'!$W14</f>
        <v>47.089630708380412</v>
      </c>
      <c r="I11" s="103">
        <f>I29+'Tables 3 to 6'!$W14</f>
        <v>49.377635305632822</v>
      </c>
      <c r="J11" s="104">
        <f>J29+'Tables 3 to 6'!$W14</f>
        <v>44.658413685376033</v>
      </c>
      <c r="K11" s="103">
        <f>K29+'Tables 3 to 6'!$W14</f>
        <v>41.89788206552906</v>
      </c>
      <c r="L11" s="103">
        <f>L29+'Tables 3 to 6'!$W14</f>
        <v>43.83832273868223</v>
      </c>
      <c r="M11" s="104">
        <f>M29+'Tables 3 to 6'!$W14</f>
        <v>48.78565572202767</v>
      </c>
    </row>
    <row r="12" spans="1:13" ht="12.75" customHeight="1" x14ac:dyDescent="0.2">
      <c r="A12" s="101">
        <f t="shared" si="0"/>
        <v>2016</v>
      </c>
      <c r="B12" s="102">
        <f>B30+'Tables 3 to 6'!$W15</f>
        <v>43.485194710116552</v>
      </c>
      <c r="C12" s="103">
        <f>C30+'Tables 3 to 6'!$W15</f>
        <v>46.26530407224493</v>
      </c>
      <c r="D12" s="103">
        <f>D30+'Tables 3 to 6'!$W15</f>
        <v>47.748745430300154</v>
      </c>
      <c r="E12" s="103">
        <f>E30+'Tables 3 to 6'!$W15</f>
        <v>41.206918305655321</v>
      </c>
      <c r="F12" s="104">
        <f>F30+'Tables 3 to 6'!$W15</f>
        <v>37.726123282628997</v>
      </c>
      <c r="G12" s="103">
        <f>G30+'Tables 3 to 6'!$W15</f>
        <v>37.762551685631692</v>
      </c>
      <c r="H12" s="103">
        <f>H30+'Tables 3 to 6'!$W15</f>
        <v>46.14961703656742</v>
      </c>
      <c r="I12" s="103">
        <f>I30+'Tables 3 to 6'!$W15</f>
        <v>49.367001183410324</v>
      </c>
      <c r="J12" s="104">
        <f>J30+'Tables 3 to 6'!$W15</f>
        <v>43.125837325275768</v>
      </c>
      <c r="K12" s="103">
        <f>K30+'Tables 3 to 6'!$W15</f>
        <v>41.848494117866437</v>
      </c>
      <c r="L12" s="103">
        <f>L30+'Tables 3 to 6'!$W15</f>
        <v>38.044762839213433</v>
      </c>
      <c r="M12" s="104">
        <f>M30+'Tables 3 to 6'!$W15</f>
        <v>45.399755180794543</v>
      </c>
    </row>
    <row r="13" spans="1:13" ht="12.75" customHeight="1" x14ac:dyDescent="0.2">
      <c r="A13" s="101">
        <f t="shared" si="0"/>
        <v>2017</v>
      </c>
      <c r="B13" s="102">
        <f>B31+'Tables 3 to 6'!$W16</f>
        <v>43.072569777392729</v>
      </c>
      <c r="C13" s="103">
        <f>C31+'Tables 3 to 6'!$W16</f>
        <v>46.448596479001317</v>
      </c>
      <c r="D13" s="103">
        <f>D31+'Tables 3 to 6'!$W16</f>
        <v>47.498454645677434</v>
      </c>
      <c r="E13" s="103">
        <f>E31+'Tables 3 to 6'!$W16</f>
        <v>41.242636340771696</v>
      </c>
      <c r="F13" s="104">
        <f>F31+'Tables 3 to 6'!$W16</f>
        <v>39.784503860353865</v>
      </c>
      <c r="G13" s="103">
        <f>G31+'Tables 3 to 6'!$W16</f>
        <v>39.272903870627701</v>
      </c>
      <c r="H13" s="103">
        <f>H31+'Tables 3 to 6'!$W16</f>
        <v>48.303903721842552</v>
      </c>
      <c r="I13" s="103">
        <f>I31+'Tables 3 to 6'!$W16</f>
        <v>51.714465829230122</v>
      </c>
      <c r="J13" s="104">
        <f>J31+'Tables 3 to 6'!$W16</f>
        <v>46.749973114257052</v>
      </c>
      <c r="K13" s="103">
        <f>K31+'Tables 3 to 6'!$W16</f>
        <v>42.920057413968188</v>
      </c>
      <c r="L13" s="103">
        <f>L31+'Tables 3 to 6'!$W16</f>
        <v>43.543280094212129</v>
      </c>
      <c r="M13" s="104">
        <f>M31+'Tables 3 to 6'!$W16</f>
        <v>44.359594998020796</v>
      </c>
    </row>
    <row r="14" spans="1:13" ht="12.75" customHeight="1" x14ac:dyDescent="0.2">
      <c r="A14" s="101">
        <f t="shared" si="0"/>
        <v>2018</v>
      </c>
      <c r="B14" s="102">
        <f>B32+'Tables 3 to 6'!$W17</f>
        <v>46.745108367773476</v>
      </c>
      <c r="C14" s="103">
        <f>C32+'Tables 3 to 6'!$W17</f>
        <v>47.62772352750369</v>
      </c>
      <c r="D14" s="103">
        <f>D32+'Tables 3 to 6'!$W17</f>
        <v>51.354698636337154</v>
      </c>
      <c r="E14" s="103">
        <f>E32+'Tables 3 to 6'!$W17</f>
        <v>46.588929822413874</v>
      </c>
      <c r="F14" s="104">
        <f>F32+'Tables 3 to 6'!$W17</f>
        <v>44.272939104416999</v>
      </c>
      <c r="G14" s="103">
        <f>G32+'Tables 3 to 6'!$W17</f>
        <v>44.288490489824781</v>
      </c>
      <c r="H14" s="103">
        <f>H32+'Tables 3 to 6'!$W17</f>
        <v>53.588313141607792</v>
      </c>
      <c r="I14" s="103">
        <f>I32+'Tables 3 to 6'!$W17</f>
        <v>56.928499352461714</v>
      </c>
      <c r="J14" s="104">
        <f>J32+'Tables 3 to 6'!$W17</f>
        <v>49.602049815720981</v>
      </c>
      <c r="K14" s="103">
        <f>K32+'Tables 3 to 6'!$W17</f>
        <v>49.185487850287188</v>
      </c>
      <c r="L14" s="103">
        <f>L32+'Tables 3 to 6'!$W17</f>
        <v>55.073977721966806</v>
      </c>
      <c r="M14" s="104">
        <f>M32+'Tables 3 to 6'!$W17</f>
        <v>48.653157214550404</v>
      </c>
    </row>
    <row r="15" spans="1:13" ht="12.75" customHeight="1" x14ac:dyDescent="0.2">
      <c r="A15" s="101">
        <f t="shared" si="0"/>
        <v>2019</v>
      </c>
      <c r="B15" s="102">
        <f>B33+'Tables 3 to 6'!$W18</f>
        <v>49.043796920313312</v>
      </c>
      <c r="C15" s="103">
        <f>C33+'Tables 3 to 6'!$W18</f>
        <v>50.012442851754884</v>
      </c>
      <c r="D15" s="103">
        <f>D33+'Tables 3 to 6'!$W18</f>
        <v>52.395733661502597</v>
      </c>
      <c r="E15" s="103">
        <f>E33+'Tables 3 to 6'!$W18</f>
        <v>50.445712459418509</v>
      </c>
      <c r="F15" s="104">
        <f>F33+'Tables 3 to 6'!$W18</f>
        <v>46.337429856843045</v>
      </c>
      <c r="G15" s="103">
        <f>G33+'Tables 3 to 6'!$W18</f>
        <v>46.197854665906888</v>
      </c>
      <c r="H15" s="103">
        <f>H33+'Tables 3 to 6'!$W18</f>
        <v>55.836447466562994</v>
      </c>
      <c r="I15" s="103">
        <f>I33+'Tables 3 to 6'!$W18</f>
        <v>59.279064695218239</v>
      </c>
      <c r="J15" s="104">
        <f>J33+'Tables 3 to 6'!$W18</f>
        <v>52.308748990535321</v>
      </c>
      <c r="K15" s="103">
        <f>K33+'Tables 3 to 6'!$W18</f>
        <v>52.506477788865404</v>
      </c>
      <c r="L15" s="103">
        <f>L33+'Tables 3 to 6'!$W18</f>
        <v>50.983980247183808</v>
      </c>
      <c r="M15" s="104">
        <f>M33+'Tables 3 to 6'!$W18</f>
        <v>51.528310627672141</v>
      </c>
    </row>
    <row r="16" spans="1:13" ht="12.75" customHeight="1" x14ac:dyDescent="0.2">
      <c r="A16" s="101">
        <f t="shared" si="0"/>
        <v>2020</v>
      </c>
      <c r="B16" s="102">
        <f>B34+'Tables 3 to 6'!$W19</f>
        <v>54.744641630005454</v>
      </c>
      <c r="C16" s="103">
        <f>C34+'Tables 3 to 6'!$W19</f>
        <v>52.901307086134437</v>
      </c>
      <c r="D16" s="103">
        <f>D34+'Tables 3 to 6'!$W19</f>
        <v>54.559546837817919</v>
      </c>
      <c r="E16" s="103">
        <f>E34+'Tables 3 to 6'!$W19</f>
        <v>53.913768727373743</v>
      </c>
      <c r="F16" s="104">
        <f>F34+'Tables 3 to 6'!$W19</f>
        <v>50.503690399267981</v>
      </c>
      <c r="G16" s="103">
        <f>G34+'Tables 3 to 6'!$W19</f>
        <v>52.748284479263752</v>
      </c>
      <c r="H16" s="103">
        <f>H34+'Tables 3 to 6'!$W19</f>
        <v>62.338239694104722</v>
      </c>
      <c r="I16" s="103">
        <f>I34+'Tables 3 to 6'!$W19</f>
        <v>62.251051282460487</v>
      </c>
      <c r="J16" s="104">
        <f>J34+'Tables 3 to 6'!$W19</f>
        <v>56.983812433899274</v>
      </c>
      <c r="K16" s="103">
        <f>K34+'Tables 3 to 6'!$W19</f>
        <v>53.84222667237924</v>
      </c>
      <c r="L16" s="103">
        <f>L34+'Tables 3 to 6'!$W19</f>
        <v>54.148383280444477</v>
      </c>
      <c r="M16" s="104">
        <f>M34+'Tables 3 to 6'!$W19</f>
        <v>53.165107823506155</v>
      </c>
    </row>
    <row r="17" spans="1:30" ht="12.75" customHeight="1" x14ac:dyDescent="0.2">
      <c r="A17" s="101">
        <f t="shared" si="0"/>
        <v>2021</v>
      </c>
      <c r="B17" s="102">
        <f>B35+'Tables 3 to 6'!$W20</f>
        <v>58.697654860375387</v>
      </c>
      <c r="C17" s="103">
        <f>C35+'Tables 3 to 6'!$W20</f>
        <v>60.575868149481359</v>
      </c>
      <c r="D17" s="103">
        <f>D35+'Tables 3 to 6'!$W20</f>
        <v>59.511667487799158</v>
      </c>
      <c r="E17" s="103">
        <f>E35+'Tables 3 to 6'!$W20</f>
        <v>58.345154014937577</v>
      </c>
      <c r="F17" s="104">
        <f>F35+'Tables 3 to 6'!$W20</f>
        <v>56.711452215910761</v>
      </c>
      <c r="G17" s="103">
        <f>G35+'Tables 3 to 6'!$W20</f>
        <v>58.531154329871967</v>
      </c>
      <c r="H17" s="103">
        <f>H35+'Tables 3 to 6'!$W20</f>
        <v>65.543762015616224</v>
      </c>
      <c r="I17" s="103">
        <f>I35+'Tables 3 to 6'!$W20</f>
        <v>65.854928623601324</v>
      </c>
      <c r="J17" s="104">
        <f>J35+'Tables 3 to 6'!$W20</f>
        <v>61.994193730250828</v>
      </c>
      <c r="K17" s="103">
        <f>K35+'Tables 3 to 6'!$W20</f>
        <v>60.459675271128937</v>
      </c>
      <c r="L17" s="103">
        <f>L35+'Tables 3 to 6'!$W20</f>
        <v>63.614908349137337</v>
      </c>
      <c r="M17" s="104">
        <f>M35+'Tables 3 to 6'!$W20</f>
        <v>63.7460093429941</v>
      </c>
    </row>
    <row r="18" spans="1:30" ht="12.75" customHeight="1" x14ac:dyDescent="0.2">
      <c r="A18" s="101">
        <f t="shared" si="0"/>
        <v>2022</v>
      </c>
      <c r="B18" s="102">
        <f>B36+'Tables 3 to 6'!$W21</f>
        <v>61.980653922637941</v>
      </c>
      <c r="C18" s="103">
        <f>C36+'Tables 3 to 6'!$W21</f>
        <v>61.204158586433067</v>
      </c>
      <c r="D18" s="103">
        <f>D36+'Tables 3 to 6'!$W21</f>
        <v>61.7560464301433</v>
      </c>
      <c r="E18" s="103">
        <f>E36+'Tables 3 to 6'!$W21</f>
        <v>58.370701079716284</v>
      </c>
      <c r="F18" s="104">
        <f>F36+'Tables 3 to 6'!$W21</f>
        <v>57.875816120693599</v>
      </c>
      <c r="G18" s="103">
        <f>G36+'Tables 3 to 6'!$W21</f>
        <v>61.030467893920004</v>
      </c>
      <c r="H18" s="103">
        <f>H36+'Tables 3 to 6'!$W21</f>
        <v>67.507988398339478</v>
      </c>
      <c r="I18" s="103">
        <f>I36+'Tables 3 to 6'!$W21</f>
        <v>66.925197923088902</v>
      </c>
      <c r="J18" s="104">
        <f>J36+'Tables 3 to 6'!$W21</f>
        <v>62.632221532149444</v>
      </c>
      <c r="K18" s="103">
        <f>K36+'Tables 3 to 6'!$W21</f>
        <v>61.439440841686022</v>
      </c>
      <c r="L18" s="103">
        <f>L36+'Tables 3 to 6'!$W21</f>
        <v>61.975416880684591</v>
      </c>
      <c r="M18" s="104">
        <f>M36+'Tables 3 to 6'!$W21</f>
        <v>64.201186395341992</v>
      </c>
    </row>
    <row r="19" spans="1:30" ht="12.75" customHeight="1" x14ac:dyDescent="0.2">
      <c r="A19" s="101">
        <f t="shared" si="0"/>
        <v>2023</v>
      </c>
      <c r="B19" s="102">
        <f>B37+'Tables 3 to 6'!$W22</f>
        <v>63.457187522477518</v>
      </c>
      <c r="C19" s="103">
        <f>C37+'Tables 3 to 6'!$W22</f>
        <v>62.979913552924991</v>
      </c>
      <c r="D19" s="103">
        <f>D37+'Tables 3 to 6'!$W22</f>
        <v>62.744649045632414</v>
      </c>
      <c r="E19" s="103">
        <f>E37+'Tables 3 to 6'!$W22</f>
        <v>60.880596519286435</v>
      </c>
      <c r="F19" s="104">
        <f>F37+'Tables 3 to 6'!$W22</f>
        <v>59.825377018772144</v>
      </c>
      <c r="G19" s="103">
        <f>G37+'Tables 3 to 6'!$W22</f>
        <v>62.170930524054498</v>
      </c>
      <c r="H19" s="103">
        <f>H37+'Tables 3 to 6'!$W22</f>
        <v>69.258676815023335</v>
      </c>
      <c r="I19" s="103">
        <f>I37+'Tables 3 to 6'!$W22</f>
        <v>68.721929403961667</v>
      </c>
      <c r="J19" s="104">
        <f>J37+'Tables 3 to 6'!$W22</f>
        <v>62.83958293750468</v>
      </c>
      <c r="K19" s="103">
        <f>K37+'Tables 3 to 6'!$W22</f>
        <v>63.345253756720851</v>
      </c>
      <c r="L19" s="103">
        <f>L37+'Tables 3 to 6'!$W22</f>
        <v>65.08915448194162</v>
      </c>
      <c r="M19" s="104">
        <f>M37+'Tables 3 to 6'!$W22</f>
        <v>67.446191666666209</v>
      </c>
    </row>
    <row r="20" spans="1:30" ht="12.75" customHeight="1" x14ac:dyDescent="0.2">
      <c r="A20" s="101">
        <f t="shared" si="0"/>
        <v>2024</v>
      </c>
      <c r="B20" s="102">
        <f>B38+'Tables 3 to 6'!$W23</f>
        <v>66.279905698926697</v>
      </c>
      <c r="C20" s="103">
        <f>C38+'Tables 3 to 6'!$W23</f>
        <v>65.801396860630177</v>
      </c>
      <c r="D20" s="103">
        <f>D38+'Tables 3 to 6'!$W23</f>
        <v>65.232427853499686</v>
      </c>
      <c r="E20" s="103">
        <f>E38+'Tables 3 to 6'!$W23</f>
        <v>62.796007086113093</v>
      </c>
      <c r="F20" s="104">
        <f>F38+'Tables 3 to 6'!$W23</f>
        <v>61.119462236559357</v>
      </c>
      <c r="G20" s="103">
        <f>G38+'Tables 3 to 6'!$W23</f>
        <v>63.984159319450455</v>
      </c>
      <c r="H20" s="103">
        <f>H38+'Tables 3 to 6'!$W23</f>
        <v>72.009353293015437</v>
      </c>
      <c r="I20" s="103">
        <f>I38+'Tables 3 to 6'!$W23</f>
        <v>72.961657612904588</v>
      </c>
      <c r="J20" s="104">
        <f>J38+'Tables 3 to 6'!$W23</f>
        <v>65.695764245837921</v>
      </c>
      <c r="K20" s="103">
        <f>K38+'Tables 3 to 6'!$W23</f>
        <v>66.260410318553284</v>
      </c>
      <c r="L20" s="103">
        <f>L38+'Tables 3 to 6'!$W23</f>
        <v>66.959648706941977</v>
      </c>
      <c r="M20" s="104">
        <f>M38+'Tables 3 to 6'!$W23</f>
        <v>68.261040403226843</v>
      </c>
    </row>
    <row r="21" spans="1:30" ht="12.75" customHeight="1" x14ac:dyDescent="0.2">
      <c r="A21" s="101">
        <f t="shared" si="0"/>
        <v>2025</v>
      </c>
      <c r="B21" s="102">
        <f>B39+'Tables 3 to 6'!$W24</f>
        <v>72.496321900535818</v>
      </c>
      <c r="C21" s="103">
        <f>C39+'Tables 3 to 6'!$W24</f>
        <v>71.412422946431633</v>
      </c>
      <c r="D21" s="103">
        <f>D39+'Tables 3 to 6'!$W24</f>
        <v>69.802895752687448</v>
      </c>
      <c r="E21" s="103">
        <f>E39+'Tables 3 to 6'!$W24</f>
        <v>66.892134013892047</v>
      </c>
      <c r="F21" s="104">
        <f>F39+'Tables 3 to 6'!$W24</f>
        <v>66.298546629032941</v>
      </c>
      <c r="G21" s="103">
        <f>G39+'Tables 3 to 6'!$W24</f>
        <v>69.576004944447845</v>
      </c>
      <c r="H21" s="103">
        <f>H39+'Tables 3 to 6'!$W24</f>
        <v>77.79202644891717</v>
      </c>
      <c r="I21" s="103">
        <f>I39+'Tables 3 to 6'!$W24</f>
        <v>79.114723002684684</v>
      </c>
      <c r="J21" s="104">
        <f>J39+'Tables 3 to 6'!$W24</f>
        <v>72.223988412498599</v>
      </c>
      <c r="K21" s="103">
        <f>K39+'Tables 3 to 6'!$W24</f>
        <v>70.66721409409277</v>
      </c>
      <c r="L21" s="103">
        <f>L39+'Tables 3 to 6'!$W24</f>
        <v>71.997842659718458</v>
      </c>
      <c r="M21" s="104">
        <f>M39+'Tables 3 to 6'!$W24</f>
        <v>73.43520635484046</v>
      </c>
    </row>
    <row r="22" spans="1:30" ht="12.75" customHeight="1" x14ac:dyDescent="0.2">
      <c r="A22" s="101">
        <f t="shared" si="0"/>
        <v>2026</v>
      </c>
      <c r="B22" s="102">
        <f>B40+'Tables 3 to 6'!$W25</f>
        <v>74.620240154573992</v>
      </c>
      <c r="C22" s="103">
        <f>C40+'Tables 3 to 6'!$W25</f>
        <v>73.615011380954343</v>
      </c>
      <c r="D22" s="103">
        <f>D40+'Tables 3 to 6'!$W25</f>
        <v>71.726385309138607</v>
      </c>
      <c r="E22" s="103">
        <f>E40+'Tables 3 to 6'!$W25</f>
        <v>70.052835443048849</v>
      </c>
      <c r="F22" s="104">
        <f>F40+'Tables 3 to 6'!$W25</f>
        <v>68.403886819891227</v>
      </c>
      <c r="G22" s="103">
        <f>G40+'Tables 3 to 6'!$W25</f>
        <v>72.61858002222246</v>
      </c>
      <c r="H22" s="103">
        <f>H40+'Tables 3 to 6'!$W25</f>
        <v>80.780869302421962</v>
      </c>
      <c r="I22" s="103">
        <f>I40+'Tables 3 to 6'!$W25</f>
        <v>82.358752966391791</v>
      </c>
      <c r="J22" s="104">
        <f>J40+'Tables 3 to 6'!$W25</f>
        <v>75.330368083334633</v>
      </c>
      <c r="K22" s="103">
        <f>K40+'Tables 3 to 6'!$W25</f>
        <v>72.868458229836108</v>
      </c>
      <c r="L22" s="103">
        <f>L40+'Tables 3 to 6'!$W25</f>
        <v>74.369395020827653</v>
      </c>
      <c r="M22" s="104">
        <f>M40+'Tables 3 to 6'!$W25</f>
        <v>76.597759806452899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320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INDEX('[4]Avoided Costs'!$D$7:$O$16,MATCH($A28,'[4]Avoided Costs'!$B$7:$B$16,0),MATCH(H$7,'[4]Avoided Costs'!$D$4:$O$4,0))</f>
        <v>30.301705963456982</v>
      </c>
      <c r="I28" s="99">
        <f>INDEX('[4]Avoided Costs'!$D$7:$O$16,MATCH($A28,'[4]Avoided Costs'!$B$7:$B$16,0),MATCH(I$7,'[4]Avoided Costs'!$D$4:$O$4,0))</f>
        <v>38.495848631025645</v>
      </c>
      <c r="J28" s="100">
        <f>INDEX('[4]Avoided Costs'!$D$7:$O$16,MATCH($A28,'[4]Avoided Costs'!$B$7:$B$16,0),MATCH(J$7,'[4]Avoided Costs'!$D$4:$O$4,0))</f>
        <v>29.110631666121382</v>
      </c>
      <c r="K28" s="98">
        <f>INDEX('[4]Avoided Costs'!$D$7:$O$16,MATCH($A28,'[4]Avoided Costs'!$B$7:$B$16,0),MATCH(K$7,'[4]Avoided Costs'!$D$4:$O$4,0))</f>
        <v>26.93687427577072</v>
      </c>
      <c r="L28" s="99">
        <f>INDEX('[4]Avoided Costs'!$D$7:$O$16,MATCH($A28,'[4]Avoided Costs'!$B$7:$B$16,0),MATCH(L$7,'[4]Avoided Costs'!$D$4:$O$4,0))</f>
        <v>30.253941082687426</v>
      </c>
      <c r="M28" s="100">
        <f>INDEX('[4]Avoided Costs'!$D$7:$O$16,MATCH($A28,'[4]Avoided Costs'!$B$7:$B$16,0),MATCH(M$7,'[4]Avoided Costs'!$D$4:$O$4,0))</f>
        <v>27.04105920774802</v>
      </c>
    </row>
    <row r="29" spans="1:30" ht="12.75" customHeight="1" x14ac:dyDescent="0.2">
      <c r="A29" s="101">
        <f t="shared" ref="A29:A40" si="1">A28+1</f>
        <v>2015</v>
      </c>
      <c r="B29" s="102">
        <f>INDEX('[4]Avoided Costs'!$D$7:$O$16,MATCH($A29,'[4]Avoided Costs'!$B$7:$B$16,0),MATCH(B$7,'[4]Avoided Costs'!$D$4:$O$4,0))</f>
        <v>35.937883668721362</v>
      </c>
      <c r="C29" s="103">
        <f>INDEX('[4]Avoided Costs'!$D$7:$O$16,MATCH($A29,'[4]Avoided Costs'!$B$7:$B$16,0),MATCH(C$7,'[4]Avoided Costs'!$D$4:$O$4,0))</f>
        <v>36.376491595192682</v>
      </c>
      <c r="D29" s="103">
        <f>INDEX('[4]Avoided Costs'!$D$7:$O$16,MATCH($A29,'[4]Avoided Costs'!$B$7:$B$16,0),MATCH(D$7,'[4]Avoided Costs'!$D$4:$O$4,0))</f>
        <v>42.071071804637313</v>
      </c>
      <c r="E29" s="103">
        <f>INDEX('[4]Avoided Costs'!$D$7:$O$16,MATCH($A29,'[4]Avoided Costs'!$B$7:$B$16,0),MATCH(E$7,'[4]Avoided Costs'!$D$4:$O$4,0))</f>
        <v>27.060638593234536</v>
      </c>
      <c r="F29" s="103">
        <f>INDEX('[4]Avoided Costs'!$D$7:$O$16,MATCH($A29,'[4]Avoided Costs'!$B$7:$B$16,0),MATCH(F$7,'[4]Avoided Costs'!$D$4:$O$4,0))</f>
        <v>24.520552599942814</v>
      </c>
      <c r="G29" s="102">
        <f>INDEX('[4]Avoided Costs'!$D$7:$O$16,MATCH($A29,'[4]Avoided Costs'!$B$7:$B$16,0),MATCH(G$7,'[4]Avoided Costs'!$D$4:$O$4,0))</f>
        <v>26.379491736762638</v>
      </c>
      <c r="H29" s="103">
        <f>INDEX('[4]Avoided Costs'!$D$7:$O$16,MATCH($A29,'[4]Avoided Costs'!$B$7:$B$16,0),MATCH(H$7,'[4]Avoided Costs'!$D$4:$O$4,0))</f>
        <v>34.359630708380415</v>
      </c>
      <c r="I29" s="103">
        <f>INDEX('[4]Avoided Costs'!$D$7:$O$16,MATCH($A29,'[4]Avoided Costs'!$B$7:$B$16,0),MATCH(I$7,'[4]Avoided Costs'!$D$4:$O$4,0))</f>
        <v>36.647635305632825</v>
      </c>
      <c r="J29" s="104">
        <f>INDEX('[4]Avoided Costs'!$D$7:$O$16,MATCH($A29,'[4]Avoided Costs'!$B$7:$B$16,0),MATCH(J$7,'[4]Avoided Costs'!$D$4:$O$4,0))</f>
        <v>31.928413685376032</v>
      </c>
      <c r="K29" s="102">
        <f>INDEX('[4]Avoided Costs'!$D$7:$O$16,MATCH($A29,'[4]Avoided Costs'!$B$7:$B$16,0),MATCH(K$7,'[4]Avoided Costs'!$D$4:$O$4,0))</f>
        <v>29.167882065529064</v>
      </c>
      <c r="L29" s="103">
        <f>INDEX('[4]Avoided Costs'!$D$7:$O$16,MATCH($A29,'[4]Avoided Costs'!$B$7:$B$16,0),MATCH(L$7,'[4]Avoided Costs'!$D$4:$O$4,0))</f>
        <v>31.108322738682229</v>
      </c>
      <c r="M29" s="104">
        <f>INDEX('[4]Avoided Costs'!$D$7:$O$16,MATCH($A29,'[4]Avoided Costs'!$B$7:$B$16,0),MATCH(M$7,'[4]Avoided Costs'!$D$4:$O$4,0))</f>
        <v>36.055655722027666</v>
      </c>
    </row>
    <row r="30" spans="1:30" ht="12.75" customHeight="1" x14ac:dyDescent="0.2">
      <c r="A30" s="101">
        <f t="shared" si="1"/>
        <v>2016</v>
      </c>
      <c r="B30" s="102">
        <f>INDEX('[4]Avoided Costs'!$D$7:$O$16,MATCH($A30,'[4]Avoided Costs'!$B$7:$B$16,0),MATCH(B$7,'[4]Avoided Costs'!$D$4:$O$4,0))</f>
        <v>30.525194710116551</v>
      </c>
      <c r="C30" s="103">
        <f>INDEX('[4]Avoided Costs'!$D$7:$O$16,MATCH($A30,'[4]Avoided Costs'!$B$7:$B$16,0),MATCH(C$7,'[4]Avoided Costs'!$D$4:$O$4,0))</f>
        <v>33.30530407224493</v>
      </c>
      <c r="D30" s="103">
        <f>INDEX('[4]Avoided Costs'!$D$7:$O$16,MATCH($A30,'[4]Avoided Costs'!$B$7:$B$16,0),MATCH(D$7,'[4]Avoided Costs'!$D$4:$O$4,0))</f>
        <v>34.788745430300153</v>
      </c>
      <c r="E30" s="103">
        <f>INDEX('[4]Avoided Costs'!$D$7:$O$16,MATCH($A30,'[4]Avoided Costs'!$B$7:$B$16,0),MATCH(E$7,'[4]Avoided Costs'!$D$4:$O$4,0))</f>
        <v>28.246918305655321</v>
      </c>
      <c r="F30" s="103">
        <f>INDEX('[4]Avoided Costs'!$D$7:$O$16,MATCH($A30,'[4]Avoided Costs'!$B$7:$B$16,0),MATCH(F$7,'[4]Avoided Costs'!$D$4:$O$4,0))</f>
        <v>24.766123282628996</v>
      </c>
      <c r="G30" s="102">
        <f>INDEX('[4]Avoided Costs'!$D$7:$O$16,MATCH($A30,'[4]Avoided Costs'!$B$7:$B$16,0),MATCH(G$7,'[4]Avoided Costs'!$D$4:$O$4,0))</f>
        <v>24.802551685631688</v>
      </c>
      <c r="H30" s="103">
        <f>INDEX('[4]Avoided Costs'!$D$7:$O$16,MATCH($A30,'[4]Avoided Costs'!$B$7:$B$16,0),MATCH(H$7,'[4]Avoided Costs'!$D$4:$O$4,0))</f>
        <v>33.189617036567419</v>
      </c>
      <c r="I30" s="103">
        <f>INDEX('[4]Avoided Costs'!$D$7:$O$16,MATCH($A30,'[4]Avoided Costs'!$B$7:$B$16,0),MATCH(I$7,'[4]Avoided Costs'!$D$4:$O$4,0))</f>
        <v>36.407001183410323</v>
      </c>
      <c r="J30" s="104">
        <f>INDEX('[4]Avoided Costs'!$D$7:$O$16,MATCH($A30,'[4]Avoided Costs'!$B$7:$B$16,0),MATCH(J$7,'[4]Avoided Costs'!$D$4:$O$4,0))</f>
        <v>30.165837325275771</v>
      </c>
      <c r="K30" s="102">
        <f>INDEX('[4]Avoided Costs'!$D$7:$O$16,MATCH($A30,'[4]Avoided Costs'!$B$7:$B$16,0),MATCH(K$7,'[4]Avoided Costs'!$D$4:$O$4,0))</f>
        <v>28.88849411786644</v>
      </c>
      <c r="L30" s="103">
        <f>INDEX('[4]Avoided Costs'!$D$7:$O$16,MATCH($A30,'[4]Avoided Costs'!$B$7:$B$16,0),MATCH(L$7,'[4]Avoided Costs'!$D$4:$O$4,0))</f>
        <v>25.084762839213429</v>
      </c>
      <c r="M30" s="104">
        <f>INDEX('[4]Avoided Costs'!$D$7:$O$16,MATCH($A30,'[4]Avoided Costs'!$B$7:$B$16,0),MATCH(M$7,'[4]Avoided Costs'!$D$4:$O$4,0))</f>
        <v>32.439755180794542</v>
      </c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INDEX('[4]Avoided Costs'!$D$7:$O$16,MATCH($A31,'[4]Avoided Costs'!$B$7:$B$16,0),MATCH(B$7,'[4]Avoided Costs'!$D$4:$O$4,0))</f>
        <v>29.882569777392732</v>
      </c>
      <c r="C31" s="103">
        <f>INDEX('[4]Avoided Costs'!$D$7:$O$16,MATCH($A31,'[4]Avoided Costs'!$B$7:$B$16,0),MATCH(C$7,'[4]Avoided Costs'!$D$4:$O$4,0))</f>
        <v>33.258596479001319</v>
      </c>
      <c r="D31" s="103">
        <f>INDEX('[4]Avoided Costs'!$D$7:$O$16,MATCH($A31,'[4]Avoided Costs'!$B$7:$B$16,0),MATCH(D$7,'[4]Avoided Costs'!$D$4:$O$4,0))</f>
        <v>34.308454645677436</v>
      </c>
      <c r="E31" s="103">
        <f>INDEX('[4]Avoided Costs'!$D$7:$O$16,MATCH($A31,'[4]Avoided Costs'!$B$7:$B$16,0),MATCH(E$7,'[4]Avoided Costs'!$D$4:$O$4,0))</f>
        <v>28.052636340771699</v>
      </c>
      <c r="F31" s="103">
        <f>INDEX('[4]Avoided Costs'!$D$7:$O$16,MATCH($A31,'[4]Avoided Costs'!$B$7:$B$16,0),MATCH(F$7,'[4]Avoided Costs'!$D$4:$O$4,0))</f>
        <v>26.594503860353864</v>
      </c>
      <c r="G31" s="102">
        <f>INDEX('[4]Avoided Costs'!$D$7:$O$16,MATCH($A31,'[4]Avoided Costs'!$B$7:$B$16,0),MATCH(G$7,'[4]Avoided Costs'!$D$4:$O$4,0))</f>
        <v>26.0829038706277</v>
      </c>
      <c r="H31" s="103">
        <f>INDEX('[4]Avoided Costs'!$D$7:$O$16,MATCH($A31,'[4]Avoided Costs'!$B$7:$B$16,0),MATCH(H$7,'[4]Avoided Costs'!$D$4:$O$4,0))</f>
        <v>35.113903721842554</v>
      </c>
      <c r="I31" s="103">
        <f>INDEX('[4]Avoided Costs'!$D$7:$O$16,MATCH($A31,'[4]Avoided Costs'!$B$7:$B$16,0),MATCH(I$7,'[4]Avoided Costs'!$D$4:$O$4,0))</f>
        <v>38.524465829230124</v>
      </c>
      <c r="J31" s="104">
        <f>INDEX('[4]Avoided Costs'!$D$7:$O$16,MATCH($A31,'[4]Avoided Costs'!$B$7:$B$16,0),MATCH(J$7,'[4]Avoided Costs'!$D$4:$O$4,0))</f>
        <v>33.559973114257055</v>
      </c>
      <c r="K31" s="102">
        <f>INDEX('[4]Avoided Costs'!$D$7:$O$16,MATCH($A31,'[4]Avoided Costs'!$B$7:$B$16,0),MATCH(K$7,'[4]Avoided Costs'!$D$4:$O$4,0))</f>
        <v>29.730057413968186</v>
      </c>
      <c r="L31" s="103">
        <f>INDEX('[4]Avoided Costs'!$D$7:$O$16,MATCH($A31,'[4]Avoided Costs'!$B$7:$B$16,0),MATCH(L$7,'[4]Avoided Costs'!$D$4:$O$4,0))</f>
        <v>30.353280094212128</v>
      </c>
      <c r="M31" s="104">
        <f>INDEX('[4]Avoided Costs'!$D$7:$O$16,MATCH($A31,'[4]Avoided Costs'!$B$7:$B$16,0),MATCH(M$7,'[4]Avoided Costs'!$D$4:$O$4,0))</f>
        <v>31.169594998020798</v>
      </c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INDEX('[4]Avoided Costs'!$D$7:$O$16,MATCH($A32,'[4]Avoided Costs'!$B$7:$B$16,0),MATCH(B$7,'[4]Avoided Costs'!$D$4:$O$4,0))</f>
        <v>31.075108367773474</v>
      </c>
      <c r="C32" s="103">
        <f>INDEX('[4]Avoided Costs'!$D$7:$O$16,MATCH($A32,'[4]Avoided Costs'!$B$7:$B$16,0),MATCH(C$7,'[4]Avoided Costs'!$D$4:$O$4,0))</f>
        <v>31.957723527503688</v>
      </c>
      <c r="D32" s="103">
        <f>INDEX('[4]Avoided Costs'!$D$7:$O$16,MATCH($A32,'[4]Avoided Costs'!$B$7:$B$16,0),MATCH(D$7,'[4]Avoided Costs'!$D$4:$O$4,0))</f>
        <v>35.684698636337153</v>
      </c>
      <c r="E32" s="103">
        <f>INDEX('[4]Avoided Costs'!$D$7:$O$16,MATCH($A32,'[4]Avoided Costs'!$B$7:$B$16,0),MATCH(E$7,'[4]Avoided Costs'!$D$4:$O$4,0))</f>
        <v>30.918929822413872</v>
      </c>
      <c r="F32" s="103">
        <f>INDEX('[4]Avoided Costs'!$D$7:$O$16,MATCH($A32,'[4]Avoided Costs'!$B$7:$B$16,0),MATCH(F$7,'[4]Avoided Costs'!$D$4:$O$4,0))</f>
        <v>28.602939104416997</v>
      </c>
      <c r="G32" s="102">
        <f>INDEX('[4]Avoided Costs'!$D$7:$O$16,MATCH($A32,'[4]Avoided Costs'!$B$7:$B$16,0),MATCH(G$7,'[4]Avoided Costs'!$D$4:$O$4,0))</f>
        <v>28.618490489824779</v>
      </c>
      <c r="H32" s="103">
        <f>INDEX('[4]Avoided Costs'!$D$7:$O$16,MATCH($A32,'[4]Avoided Costs'!$B$7:$B$16,0),MATCH(H$7,'[4]Avoided Costs'!$D$4:$O$4,0))</f>
        <v>37.91831314160779</v>
      </c>
      <c r="I32" s="103">
        <f>INDEX('[4]Avoided Costs'!$D$7:$O$16,MATCH($A32,'[4]Avoided Costs'!$B$7:$B$16,0),MATCH(I$7,'[4]Avoided Costs'!$D$4:$O$4,0))</f>
        <v>41.258499352461712</v>
      </c>
      <c r="J32" s="104">
        <f>INDEX('[4]Avoided Costs'!$D$7:$O$16,MATCH($A32,'[4]Avoided Costs'!$B$7:$B$16,0),MATCH(J$7,'[4]Avoided Costs'!$D$4:$O$4,0))</f>
        <v>33.93204981572098</v>
      </c>
      <c r="K32" s="102">
        <f>INDEX('[4]Avoided Costs'!$D$7:$O$16,MATCH($A32,'[4]Avoided Costs'!$B$7:$B$16,0),MATCH(K$7,'[4]Avoided Costs'!$D$4:$O$4,0))</f>
        <v>33.515487850287187</v>
      </c>
      <c r="L32" s="103">
        <f>INDEX('[4]Avoided Costs'!$D$7:$O$16,MATCH($A32,'[4]Avoided Costs'!$B$7:$B$16,0),MATCH(L$7,'[4]Avoided Costs'!$D$4:$O$4,0))</f>
        <v>39.403977721966804</v>
      </c>
      <c r="M32" s="104">
        <f>INDEX('[4]Avoided Costs'!$D$7:$O$16,MATCH($A32,'[4]Avoided Costs'!$B$7:$B$16,0),MATCH(M$7,'[4]Avoided Costs'!$D$4:$O$4,0))</f>
        <v>32.983157214550403</v>
      </c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INDEX('[4]Avoided Costs'!$D$7:$O$16,MATCH($A33,'[4]Avoided Costs'!$B$7:$B$16,0),MATCH(B$7,'[4]Avoided Costs'!$D$4:$O$4,0))</f>
        <v>33.113796920313312</v>
      </c>
      <c r="C33" s="103">
        <f>INDEX('[4]Avoided Costs'!$D$7:$O$16,MATCH($A33,'[4]Avoided Costs'!$B$7:$B$16,0),MATCH(C$7,'[4]Avoided Costs'!$D$4:$O$4,0))</f>
        <v>34.082442851754884</v>
      </c>
      <c r="D33" s="103">
        <f>INDEX('[4]Avoided Costs'!$D$7:$O$16,MATCH($A33,'[4]Avoided Costs'!$B$7:$B$16,0),MATCH(D$7,'[4]Avoided Costs'!$D$4:$O$4,0))</f>
        <v>36.465733661502597</v>
      </c>
      <c r="E33" s="103">
        <f>INDEX('[4]Avoided Costs'!$D$7:$O$16,MATCH($A33,'[4]Avoided Costs'!$B$7:$B$16,0),MATCH(E$7,'[4]Avoided Costs'!$D$4:$O$4,0))</f>
        <v>34.515712459418509</v>
      </c>
      <c r="F33" s="103">
        <f>INDEX('[4]Avoided Costs'!$D$7:$O$16,MATCH($A33,'[4]Avoided Costs'!$B$7:$B$16,0),MATCH(F$7,'[4]Avoided Costs'!$D$4:$O$4,0))</f>
        <v>30.407429856843045</v>
      </c>
      <c r="G33" s="102">
        <f>INDEX('[4]Avoided Costs'!$D$7:$O$16,MATCH($A33,'[4]Avoided Costs'!$B$7:$B$16,0),MATCH(G$7,'[4]Avoided Costs'!$D$4:$O$4,0))</f>
        <v>30.267854665906892</v>
      </c>
      <c r="H33" s="103">
        <f>INDEX('[4]Avoided Costs'!$D$7:$O$16,MATCH($A33,'[4]Avoided Costs'!$B$7:$B$16,0),MATCH(H$7,'[4]Avoided Costs'!$D$4:$O$4,0))</f>
        <v>39.906447466562994</v>
      </c>
      <c r="I33" s="103">
        <f>INDEX('[4]Avoided Costs'!$D$7:$O$16,MATCH($A33,'[4]Avoided Costs'!$B$7:$B$16,0),MATCH(I$7,'[4]Avoided Costs'!$D$4:$O$4,0))</f>
        <v>43.349064695218239</v>
      </c>
      <c r="J33" s="104">
        <f>INDEX('[4]Avoided Costs'!$D$7:$O$16,MATCH($A33,'[4]Avoided Costs'!$B$7:$B$16,0),MATCH(J$7,'[4]Avoided Costs'!$D$4:$O$4,0))</f>
        <v>36.378748990535321</v>
      </c>
      <c r="K33" s="102">
        <f>INDEX('[4]Avoided Costs'!$D$7:$O$16,MATCH($A33,'[4]Avoided Costs'!$B$7:$B$16,0),MATCH(K$7,'[4]Avoided Costs'!$D$4:$O$4,0))</f>
        <v>36.576477788865404</v>
      </c>
      <c r="L33" s="103">
        <f>INDEX('[4]Avoided Costs'!$D$7:$O$16,MATCH($A33,'[4]Avoided Costs'!$B$7:$B$16,0),MATCH(L$7,'[4]Avoided Costs'!$D$4:$O$4,0))</f>
        <v>35.053980247183809</v>
      </c>
      <c r="M33" s="104">
        <f>INDEX('[4]Avoided Costs'!$D$7:$O$16,MATCH($A33,'[4]Avoided Costs'!$B$7:$B$16,0),MATCH(M$7,'[4]Avoided Costs'!$D$4:$O$4,0))</f>
        <v>35.598310627672141</v>
      </c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INDEX('[4]Avoided Costs'!$D$7:$O$16,MATCH($A34,'[4]Avoided Costs'!$B$7:$B$16,0),MATCH(B$7,'[4]Avoided Costs'!$D$4:$O$4,0))</f>
        <v>38.524641630005455</v>
      </c>
      <c r="C34" s="103">
        <f>INDEX('[4]Avoided Costs'!$D$7:$O$16,MATCH($A34,'[4]Avoided Costs'!$B$7:$B$16,0),MATCH(C$7,'[4]Avoided Costs'!$D$4:$O$4,0))</f>
        <v>36.681307086134439</v>
      </c>
      <c r="D34" s="103">
        <f>INDEX('[4]Avoided Costs'!$D$7:$O$16,MATCH($A34,'[4]Avoided Costs'!$B$7:$B$16,0),MATCH(D$7,'[4]Avoided Costs'!$D$4:$O$4,0))</f>
        <v>38.33954683781792</v>
      </c>
      <c r="E34" s="103">
        <f>INDEX('[4]Avoided Costs'!$D$7:$O$16,MATCH($A34,'[4]Avoided Costs'!$B$7:$B$16,0),MATCH(E$7,'[4]Avoided Costs'!$D$4:$O$4,0))</f>
        <v>37.693768727373744</v>
      </c>
      <c r="F34" s="103">
        <f>INDEX('[4]Avoided Costs'!$D$7:$O$16,MATCH($A34,'[4]Avoided Costs'!$B$7:$B$16,0),MATCH(F$7,'[4]Avoided Costs'!$D$4:$O$4,0))</f>
        <v>34.283690399267982</v>
      </c>
      <c r="G34" s="102">
        <f>INDEX('[4]Avoided Costs'!$D$7:$O$16,MATCH($A34,'[4]Avoided Costs'!$B$7:$B$16,0),MATCH(G$7,'[4]Avoided Costs'!$D$4:$O$4,0))</f>
        <v>36.528284479263753</v>
      </c>
      <c r="H34" s="103">
        <f>INDEX('[4]Avoided Costs'!$D$7:$O$16,MATCH($A34,'[4]Avoided Costs'!$B$7:$B$16,0),MATCH(H$7,'[4]Avoided Costs'!$D$4:$O$4,0))</f>
        <v>46.118239694104723</v>
      </c>
      <c r="I34" s="103">
        <f>INDEX('[4]Avoided Costs'!$D$7:$O$16,MATCH($A34,'[4]Avoided Costs'!$B$7:$B$16,0),MATCH(I$7,'[4]Avoided Costs'!$D$4:$O$4,0))</f>
        <v>46.031051282460488</v>
      </c>
      <c r="J34" s="104">
        <f>INDEX('[4]Avoided Costs'!$D$7:$O$16,MATCH($A34,'[4]Avoided Costs'!$B$7:$B$16,0),MATCH(J$7,'[4]Avoided Costs'!$D$4:$O$4,0))</f>
        <v>40.763812433899275</v>
      </c>
      <c r="K34" s="102">
        <f>INDEX('[4]Avoided Costs'!$D$7:$O$16,MATCH($A34,'[4]Avoided Costs'!$B$7:$B$16,0),MATCH(K$7,'[4]Avoided Costs'!$D$4:$O$4,0))</f>
        <v>37.622226672379242</v>
      </c>
      <c r="L34" s="103">
        <f>INDEX('[4]Avoided Costs'!$D$7:$O$16,MATCH($A34,'[4]Avoided Costs'!$B$7:$B$16,0),MATCH(L$7,'[4]Avoided Costs'!$D$4:$O$4,0))</f>
        <v>37.928383280444478</v>
      </c>
      <c r="M34" s="104">
        <f>INDEX('[4]Avoided Costs'!$D$7:$O$16,MATCH($A34,'[4]Avoided Costs'!$B$7:$B$16,0),MATCH(M$7,'[4]Avoided Costs'!$D$4:$O$4,0))</f>
        <v>36.945107823506156</v>
      </c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INDEX('[4]Avoided Costs'!$D$7:$O$16,MATCH($A35,'[4]Avoided Costs'!$B$7:$B$16,0),MATCH(B$7,'[4]Avoided Costs'!$D$4:$O$4,0))</f>
        <v>39.807654860375386</v>
      </c>
      <c r="C35" s="103">
        <f>INDEX('[4]Avoided Costs'!$D$7:$O$16,MATCH($A35,'[4]Avoided Costs'!$B$7:$B$16,0),MATCH(C$7,'[4]Avoided Costs'!$D$4:$O$4,0))</f>
        <v>41.685868149481358</v>
      </c>
      <c r="D35" s="103">
        <f>INDEX('[4]Avoided Costs'!$D$7:$O$16,MATCH($A35,'[4]Avoided Costs'!$B$7:$B$16,0),MATCH(D$7,'[4]Avoided Costs'!$D$4:$O$4,0))</f>
        <v>40.621667487799158</v>
      </c>
      <c r="E35" s="103">
        <f>INDEX('[4]Avoided Costs'!$D$7:$O$16,MATCH($A35,'[4]Avoided Costs'!$B$7:$B$16,0),MATCH(E$7,'[4]Avoided Costs'!$D$4:$O$4,0))</f>
        <v>39.455154014937577</v>
      </c>
      <c r="F35" s="103">
        <f>INDEX('[4]Avoided Costs'!$D$7:$O$16,MATCH($A35,'[4]Avoided Costs'!$B$7:$B$16,0),MATCH(F$7,'[4]Avoided Costs'!$D$4:$O$4,0))</f>
        <v>37.82145221591076</v>
      </c>
      <c r="G35" s="102">
        <f>INDEX('[4]Avoided Costs'!$D$7:$O$16,MATCH($A35,'[4]Avoided Costs'!$B$7:$B$16,0),MATCH(G$7,'[4]Avoided Costs'!$D$4:$O$4,0))</f>
        <v>39.641154329871966</v>
      </c>
      <c r="H35" s="103">
        <f>INDEX('[4]Avoided Costs'!$D$7:$O$16,MATCH($A35,'[4]Avoided Costs'!$B$7:$B$16,0),MATCH(H$7,'[4]Avoided Costs'!$D$4:$O$4,0))</f>
        <v>46.653762015616223</v>
      </c>
      <c r="I35" s="103">
        <f>INDEX('[4]Avoided Costs'!$D$7:$O$16,MATCH($A35,'[4]Avoided Costs'!$B$7:$B$16,0),MATCH(I$7,'[4]Avoided Costs'!$D$4:$O$4,0))</f>
        <v>46.964928623601317</v>
      </c>
      <c r="J35" s="104">
        <f>INDEX('[4]Avoided Costs'!$D$7:$O$16,MATCH($A35,'[4]Avoided Costs'!$B$7:$B$16,0),MATCH(J$7,'[4]Avoided Costs'!$D$4:$O$4,0))</f>
        <v>43.104193730250827</v>
      </c>
      <c r="K35" s="102">
        <f>INDEX('[4]Avoided Costs'!$D$7:$O$16,MATCH($A35,'[4]Avoided Costs'!$B$7:$B$16,0),MATCH(K$7,'[4]Avoided Costs'!$D$4:$O$4,0))</f>
        <v>41.569675271128936</v>
      </c>
      <c r="L35" s="103">
        <f>INDEX('[4]Avoided Costs'!$D$7:$O$16,MATCH($A35,'[4]Avoided Costs'!$B$7:$B$16,0),MATCH(L$7,'[4]Avoided Costs'!$D$4:$O$4,0))</f>
        <v>44.724908349137337</v>
      </c>
      <c r="M35" s="104">
        <f>INDEX('[4]Avoided Costs'!$D$7:$O$16,MATCH($A35,'[4]Avoided Costs'!$B$7:$B$16,0),MATCH(M$7,'[4]Avoided Costs'!$D$4:$O$4,0))</f>
        <v>44.856009342994099</v>
      </c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INDEX('[4]Avoided Costs'!$D$7:$O$16,MATCH($A36,'[4]Avoided Costs'!$B$7:$B$16,0),MATCH(B$7,'[4]Avoided Costs'!$D$4:$O$4,0))</f>
        <v>42.750653922637945</v>
      </c>
      <c r="C36" s="103">
        <f>INDEX('[4]Avoided Costs'!$D$7:$O$16,MATCH($A36,'[4]Avoided Costs'!$B$7:$B$16,0),MATCH(C$7,'[4]Avoided Costs'!$D$4:$O$4,0))</f>
        <v>41.97415858643307</v>
      </c>
      <c r="D36" s="103">
        <f>INDEX('[4]Avoided Costs'!$D$7:$O$16,MATCH($A36,'[4]Avoided Costs'!$B$7:$B$16,0),MATCH(D$7,'[4]Avoided Costs'!$D$4:$O$4,0))</f>
        <v>42.526046430143296</v>
      </c>
      <c r="E36" s="103">
        <f>INDEX('[4]Avoided Costs'!$D$7:$O$16,MATCH($A36,'[4]Avoided Costs'!$B$7:$B$16,0),MATCH(E$7,'[4]Avoided Costs'!$D$4:$O$4,0))</f>
        <v>39.140701079716287</v>
      </c>
      <c r="F36" s="103">
        <f>INDEX('[4]Avoided Costs'!$D$7:$O$16,MATCH($A36,'[4]Avoided Costs'!$B$7:$B$16,0),MATCH(F$7,'[4]Avoided Costs'!$D$4:$O$4,0))</f>
        <v>38.645816120693603</v>
      </c>
      <c r="G36" s="102">
        <f>INDEX('[4]Avoided Costs'!$D$7:$O$16,MATCH($A36,'[4]Avoided Costs'!$B$7:$B$16,0),MATCH(G$7,'[4]Avoided Costs'!$D$4:$O$4,0))</f>
        <v>41.800467893920008</v>
      </c>
      <c r="H36" s="103">
        <f>INDEX('[4]Avoided Costs'!$D$7:$O$16,MATCH($A36,'[4]Avoided Costs'!$B$7:$B$16,0),MATCH(H$7,'[4]Avoided Costs'!$D$4:$O$4,0))</f>
        <v>48.277988398339481</v>
      </c>
      <c r="I36" s="103">
        <f>INDEX('[4]Avoided Costs'!$D$7:$O$16,MATCH($A36,'[4]Avoided Costs'!$B$7:$B$16,0),MATCH(I$7,'[4]Avoided Costs'!$D$4:$O$4,0))</f>
        <v>47.695197923088905</v>
      </c>
      <c r="J36" s="104">
        <f>INDEX('[4]Avoided Costs'!$D$7:$O$16,MATCH($A36,'[4]Avoided Costs'!$B$7:$B$16,0),MATCH(J$7,'[4]Avoided Costs'!$D$4:$O$4,0))</f>
        <v>43.402221532149447</v>
      </c>
      <c r="K36" s="102">
        <f>INDEX('[4]Avoided Costs'!$D$7:$O$16,MATCH($A36,'[4]Avoided Costs'!$B$7:$B$16,0),MATCH(K$7,'[4]Avoided Costs'!$D$4:$O$4,0))</f>
        <v>42.209440841686018</v>
      </c>
      <c r="L36" s="103">
        <f>INDEX('[4]Avoided Costs'!$D$7:$O$16,MATCH($A36,'[4]Avoided Costs'!$B$7:$B$16,0),MATCH(L$7,'[4]Avoided Costs'!$D$4:$O$4,0))</f>
        <v>42.745416880684594</v>
      </c>
      <c r="M36" s="104">
        <f>INDEX('[4]Avoided Costs'!$D$7:$O$16,MATCH($A36,'[4]Avoided Costs'!$B$7:$B$16,0),MATCH(M$7,'[4]Avoided Costs'!$D$4:$O$4,0))</f>
        <v>44.971186395341988</v>
      </c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INDEX('[4]Avoided Costs'!$D$7:$O$16,MATCH($A37,'[4]Avoided Costs'!$B$7:$B$16,0),MATCH(B$7,'[4]Avoided Costs'!$D$4:$O$4,0))</f>
        <v>43.887187522477518</v>
      </c>
      <c r="C37" s="103">
        <f>INDEX('[4]Avoided Costs'!$D$7:$O$16,MATCH($A37,'[4]Avoided Costs'!$B$7:$B$16,0),MATCH(C$7,'[4]Avoided Costs'!$D$4:$O$4,0))</f>
        <v>43.409913552924991</v>
      </c>
      <c r="D37" s="103">
        <f>INDEX('[4]Avoided Costs'!$D$7:$O$16,MATCH($A37,'[4]Avoided Costs'!$B$7:$B$16,0),MATCH(D$7,'[4]Avoided Costs'!$D$4:$O$4,0))</f>
        <v>43.174649045632414</v>
      </c>
      <c r="E37" s="103">
        <f>INDEX('[4]Avoided Costs'!$D$7:$O$16,MATCH($A37,'[4]Avoided Costs'!$B$7:$B$16,0),MATCH(E$7,'[4]Avoided Costs'!$D$4:$O$4,0))</f>
        <v>41.310596519286435</v>
      </c>
      <c r="F37" s="103">
        <f>INDEX('[4]Avoided Costs'!$D$7:$O$16,MATCH($A37,'[4]Avoided Costs'!$B$7:$B$16,0),MATCH(F$7,'[4]Avoided Costs'!$D$4:$O$4,0))</f>
        <v>40.255377018772144</v>
      </c>
      <c r="G37" s="102">
        <f>INDEX('[4]Avoided Costs'!$D$7:$O$16,MATCH($A37,'[4]Avoided Costs'!$B$7:$B$16,0),MATCH(G$7,'[4]Avoided Costs'!$D$4:$O$4,0))</f>
        <v>42.600930524054498</v>
      </c>
      <c r="H37" s="103">
        <f>INDEX('[4]Avoided Costs'!$D$7:$O$16,MATCH($A37,'[4]Avoided Costs'!$B$7:$B$16,0),MATCH(H$7,'[4]Avoided Costs'!$D$4:$O$4,0))</f>
        <v>49.688676815023342</v>
      </c>
      <c r="I37" s="103">
        <f>INDEX('[4]Avoided Costs'!$D$7:$O$16,MATCH($A37,'[4]Avoided Costs'!$B$7:$B$16,0),MATCH(I$7,'[4]Avoided Costs'!$D$4:$O$4,0))</f>
        <v>49.151929403961667</v>
      </c>
      <c r="J37" s="104">
        <f>INDEX('[4]Avoided Costs'!$D$7:$O$16,MATCH($A37,'[4]Avoided Costs'!$B$7:$B$16,0),MATCH(J$7,'[4]Avoided Costs'!$D$4:$O$4,0))</f>
        <v>43.26958293750468</v>
      </c>
      <c r="K37" s="102">
        <f>INDEX('[4]Avoided Costs'!$D$7:$O$16,MATCH($A37,'[4]Avoided Costs'!$B$7:$B$16,0),MATCH(K$7,'[4]Avoided Costs'!$D$4:$O$4,0))</f>
        <v>43.775253756720851</v>
      </c>
      <c r="L37" s="103">
        <f>INDEX('[4]Avoided Costs'!$D$7:$O$16,MATCH($A37,'[4]Avoided Costs'!$B$7:$B$16,0),MATCH(L$7,'[4]Avoided Costs'!$D$4:$O$4,0))</f>
        <v>45.519154481941626</v>
      </c>
      <c r="M37" s="104">
        <f>INDEX('[4]Avoided Costs'!$D$7:$O$16,MATCH($A37,'[4]Avoided Costs'!$B$7:$B$16,0),MATCH(M$7,'[4]Avoided Costs'!$D$4:$O$4,0))</f>
        <v>47.876191666666216</v>
      </c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INDEX('[5]Avoided Costs'!$D$7:$O$16,MATCH($A38,'[5]Avoided Costs'!$B$7:$B$16,0),MATCH(B$7,'[5]Avoided Costs'!$D$4:$O$4,0))</f>
        <v>46.349905698926698</v>
      </c>
      <c r="C38" s="103">
        <f>INDEX('[5]Avoided Costs'!$D$7:$O$16,MATCH($A38,'[5]Avoided Costs'!$B$7:$B$16,0),MATCH(C$7,'[5]Avoided Costs'!$D$4:$O$4,0))</f>
        <v>45.871396860630178</v>
      </c>
      <c r="D38" s="103">
        <f>INDEX('[5]Avoided Costs'!$D$7:$O$16,MATCH($A38,'[5]Avoided Costs'!$B$7:$B$16,0),MATCH(D$7,'[5]Avoided Costs'!$D$4:$O$4,0))</f>
        <v>45.302427853499687</v>
      </c>
      <c r="E38" s="103">
        <f>INDEX('[5]Avoided Costs'!$D$7:$O$16,MATCH($A38,'[5]Avoided Costs'!$B$7:$B$16,0),MATCH(E$7,'[5]Avoided Costs'!$D$4:$O$4,0))</f>
        <v>42.866007086113093</v>
      </c>
      <c r="F38" s="103">
        <f>INDEX('[5]Avoided Costs'!$D$7:$O$16,MATCH($A38,'[5]Avoided Costs'!$B$7:$B$16,0),MATCH(F$7,'[5]Avoided Costs'!$D$4:$O$4,0))</f>
        <v>41.189462236559358</v>
      </c>
      <c r="G38" s="102">
        <f>INDEX('[5]Avoided Costs'!$D$7:$O$16,MATCH($A38,'[5]Avoided Costs'!$B$7:$B$16,0),MATCH(G$7,'[5]Avoided Costs'!$D$4:$O$4,0))</f>
        <v>44.054159319450456</v>
      </c>
      <c r="H38" s="103">
        <f>INDEX('[5]Avoided Costs'!$D$7:$O$16,MATCH($A38,'[5]Avoided Costs'!$B$7:$B$16,0),MATCH(H$7,'[5]Avoided Costs'!$D$4:$O$4,0))</f>
        <v>52.07935329301543</v>
      </c>
      <c r="I38" s="103">
        <f>INDEX('[5]Avoided Costs'!$D$7:$O$16,MATCH($A38,'[5]Avoided Costs'!$B$7:$B$16,0),MATCH(I$7,'[5]Avoided Costs'!$D$4:$O$4,0))</f>
        <v>53.031657612904588</v>
      </c>
      <c r="J38" s="103">
        <f>INDEX('[5]Avoided Costs'!$D$7:$O$16,MATCH($A38,'[5]Avoided Costs'!$B$7:$B$16,0),MATCH(J$7,'[5]Avoided Costs'!$D$4:$O$4,0))</f>
        <v>45.765764245837929</v>
      </c>
      <c r="K38" s="102">
        <f>INDEX('[5]Avoided Costs'!$D$7:$O$16,MATCH($A38,'[5]Avoided Costs'!$B$7:$B$16,0),MATCH(K$7,'[5]Avoided Costs'!$D$4:$O$4,0))</f>
        <v>46.330410318553291</v>
      </c>
      <c r="L38" s="103">
        <f>INDEX('[5]Avoided Costs'!$D$7:$O$16,MATCH($A38,'[5]Avoided Costs'!$B$7:$B$16,0),MATCH(L$7,'[5]Avoided Costs'!$D$4:$O$4,0))</f>
        <v>47.02964870694197</v>
      </c>
      <c r="M38" s="104">
        <f>INDEX('[5]Avoided Costs'!$D$7:$O$16,MATCH($A38,'[5]Avoided Costs'!$B$7:$B$16,0),MATCH(M$7,'[5]Avoided Costs'!$D$4:$O$4,0))</f>
        <v>48.331040403226851</v>
      </c>
      <c r="N38" s="246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INDEX('[5]Avoided Costs'!$D$7:$O$16,MATCH($A39,'[5]Avoided Costs'!$B$7:$B$16,0),MATCH(B$7,'[5]Avoided Costs'!$D$4:$O$4,0))</f>
        <v>49.676321900535818</v>
      </c>
      <c r="C39" s="103">
        <f>INDEX('[5]Avoided Costs'!$D$7:$O$16,MATCH($A39,'[5]Avoided Costs'!$B$7:$B$16,0),MATCH(C$7,'[5]Avoided Costs'!$D$4:$O$4,0))</f>
        <v>48.592422946431633</v>
      </c>
      <c r="D39" s="103">
        <f>INDEX('[5]Avoided Costs'!$D$7:$O$16,MATCH($A39,'[5]Avoided Costs'!$B$7:$B$16,0),MATCH(D$7,'[5]Avoided Costs'!$D$4:$O$4,0))</f>
        <v>46.982895752687448</v>
      </c>
      <c r="E39" s="103">
        <f>INDEX('[5]Avoided Costs'!$D$7:$O$16,MATCH($A39,'[5]Avoided Costs'!$B$7:$B$16,0),MATCH(E$7,'[5]Avoided Costs'!$D$4:$O$4,0))</f>
        <v>44.072134013892047</v>
      </c>
      <c r="F39" s="103">
        <f>INDEX('[5]Avoided Costs'!$D$7:$O$16,MATCH($A39,'[5]Avoided Costs'!$B$7:$B$16,0),MATCH(F$7,'[5]Avoided Costs'!$D$4:$O$4,0))</f>
        <v>43.478546629032941</v>
      </c>
      <c r="G39" s="102">
        <f>INDEX('[5]Avoided Costs'!$D$7:$O$16,MATCH($A39,'[5]Avoided Costs'!$B$7:$B$16,0),MATCH(G$7,'[5]Avoided Costs'!$D$4:$O$4,0))</f>
        <v>46.756004944447845</v>
      </c>
      <c r="H39" s="103">
        <f>INDEX('[5]Avoided Costs'!$D$7:$O$16,MATCH($A39,'[5]Avoided Costs'!$B$7:$B$16,0),MATCH(H$7,'[5]Avoided Costs'!$D$4:$O$4,0))</f>
        <v>54.972026448917163</v>
      </c>
      <c r="I39" s="103">
        <f>INDEX('[5]Avoided Costs'!$D$7:$O$16,MATCH($A39,'[5]Avoided Costs'!$B$7:$B$16,0),MATCH(I$7,'[5]Avoided Costs'!$D$4:$O$4,0))</f>
        <v>56.294723002684691</v>
      </c>
      <c r="J39" s="103">
        <f>INDEX('[5]Avoided Costs'!$D$7:$O$16,MATCH($A39,'[5]Avoided Costs'!$B$7:$B$16,0),MATCH(J$7,'[5]Avoided Costs'!$D$4:$O$4,0))</f>
        <v>49.403988412498599</v>
      </c>
      <c r="K39" s="102">
        <f>INDEX('[5]Avoided Costs'!$D$7:$O$16,MATCH($A39,'[5]Avoided Costs'!$B$7:$B$16,0),MATCH(K$7,'[5]Avoided Costs'!$D$4:$O$4,0))</f>
        <v>47.84721409409277</v>
      </c>
      <c r="L39" s="103">
        <f>INDEX('[5]Avoided Costs'!$D$7:$O$16,MATCH($A39,'[5]Avoided Costs'!$B$7:$B$16,0),MATCH(L$7,'[5]Avoided Costs'!$D$4:$O$4,0))</f>
        <v>49.177842659718458</v>
      </c>
      <c r="M39" s="104">
        <f>INDEX('[5]Avoided Costs'!$D$7:$O$16,MATCH($A39,'[5]Avoided Costs'!$B$7:$B$16,0),MATCH(M$7,'[5]Avoided Costs'!$D$4:$O$4,0))</f>
        <v>50.615206354840467</v>
      </c>
      <c r="N39" s="246"/>
    </row>
    <row r="40" spans="1:26" ht="12.75" customHeight="1" x14ac:dyDescent="0.2">
      <c r="A40" s="101">
        <f t="shared" si="1"/>
        <v>2026</v>
      </c>
      <c r="B40" s="102">
        <f>INDEX('[5]Avoided Costs'!$D$7:$O$16,MATCH($A40,'[5]Avoided Costs'!$B$7:$B$16,0),MATCH(B$7,'[5]Avoided Costs'!$D$4:$O$4,0))</f>
        <v>51.370240154573992</v>
      </c>
      <c r="C40" s="103">
        <f>INDEX('[5]Avoided Costs'!$D$7:$O$16,MATCH($A40,'[5]Avoided Costs'!$B$7:$B$16,0),MATCH(C$7,'[5]Avoided Costs'!$D$4:$O$4,0))</f>
        <v>50.365011380954336</v>
      </c>
      <c r="D40" s="103">
        <f>INDEX('[5]Avoided Costs'!$D$7:$O$16,MATCH($A40,'[5]Avoided Costs'!$B$7:$B$16,0),MATCH(D$7,'[5]Avoided Costs'!$D$4:$O$4,0))</f>
        <v>48.476385309138607</v>
      </c>
      <c r="E40" s="103">
        <f>INDEX('[5]Avoided Costs'!$D$7:$O$16,MATCH($A40,'[5]Avoided Costs'!$B$7:$B$16,0),MATCH(E$7,'[5]Avoided Costs'!$D$4:$O$4,0))</f>
        <v>46.802835443048842</v>
      </c>
      <c r="F40" s="103">
        <f>INDEX('[5]Avoided Costs'!$D$7:$O$16,MATCH($A40,'[5]Avoided Costs'!$B$7:$B$16,0),MATCH(F$7,'[5]Avoided Costs'!$D$4:$O$4,0))</f>
        <v>45.153886819891234</v>
      </c>
      <c r="G40" s="102">
        <f>INDEX('[5]Avoided Costs'!$D$7:$O$16,MATCH($A40,'[5]Avoided Costs'!$B$7:$B$16,0),MATCH(G$7,'[5]Avoided Costs'!$D$4:$O$4,0))</f>
        <v>49.368580022222467</v>
      </c>
      <c r="H40" s="103">
        <f>INDEX('[5]Avoided Costs'!$D$7:$O$16,MATCH($A40,'[5]Avoided Costs'!$B$7:$B$16,0),MATCH(H$7,'[5]Avoided Costs'!$D$4:$O$4,0))</f>
        <v>57.530869302421969</v>
      </c>
      <c r="I40" s="103">
        <f>INDEX('[5]Avoided Costs'!$D$7:$O$16,MATCH($A40,'[5]Avoided Costs'!$B$7:$B$16,0),MATCH(I$7,'[5]Avoided Costs'!$D$4:$O$4,0))</f>
        <v>59.108752966391783</v>
      </c>
      <c r="J40" s="103">
        <f>INDEX('[5]Avoided Costs'!$D$7:$O$16,MATCH($A40,'[5]Avoided Costs'!$B$7:$B$16,0),MATCH(J$7,'[5]Avoided Costs'!$D$4:$O$4,0))</f>
        <v>52.080368083334633</v>
      </c>
      <c r="K40" s="102">
        <f>INDEX('[5]Avoided Costs'!$D$7:$O$16,MATCH($A40,'[5]Avoided Costs'!$B$7:$B$16,0),MATCH(K$7,'[5]Avoided Costs'!$D$4:$O$4,0))</f>
        <v>49.618458229836115</v>
      </c>
      <c r="L40" s="103">
        <f>INDEX('[5]Avoided Costs'!$D$7:$O$16,MATCH($A40,'[5]Avoided Costs'!$B$7:$B$16,0),MATCH(L$7,'[5]Avoided Costs'!$D$4:$O$4,0))</f>
        <v>51.119395020827653</v>
      </c>
      <c r="M40" s="104">
        <f>INDEX('[5]Avoided Costs'!$D$7:$O$16,MATCH($A40,'[5]Avoided Costs'!$B$7:$B$16,0),MATCH(M$7,'[5]Avoided Costs'!$D$4:$O$4,0))</f>
        <v>53.347759806452899</v>
      </c>
      <c r="N40" s="246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186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>H10*0.56+H28*0.44</f>
        <v>39.569705963456983</v>
      </c>
      <c r="I46" s="99">
        <f t="shared" ref="I46:M46" si="2">I10*0.56+I28*0.44</f>
        <v>47.763848631025652</v>
      </c>
      <c r="J46" s="99">
        <f t="shared" si="2"/>
        <v>38.378631666121386</v>
      </c>
      <c r="K46" s="98">
        <f t="shared" si="2"/>
        <v>36.20487427577072</v>
      </c>
      <c r="L46" s="99">
        <f t="shared" si="2"/>
        <v>39.521941082687434</v>
      </c>
      <c r="M46" s="100">
        <f t="shared" si="2"/>
        <v>36.309059207748021</v>
      </c>
    </row>
    <row r="47" spans="1:26" ht="12.75" customHeight="1" x14ac:dyDescent="0.2">
      <c r="A47" s="101">
        <f t="shared" ref="A47:A58" si="3">A46+1</f>
        <v>2015</v>
      </c>
      <c r="B47" s="102">
        <f>B11*0.56+B29*0.44</f>
        <v>43.06668366872136</v>
      </c>
      <c r="C47" s="103">
        <f t="shared" ref="C47:M47" si="4">C11*0.56+C29*0.44</f>
        <v>43.505291595192688</v>
      </c>
      <c r="D47" s="103">
        <f t="shared" si="4"/>
        <v>49.199871804637318</v>
      </c>
      <c r="E47" s="103">
        <f t="shared" si="4"/>
        <v>34.189438593234541</v>
      </c>
      <c r="F47" s="103">
        <f t="shared" si="4"/>
        <v>31.649352599942816</v>
      </c>
      <c r="G47" s="102">
        <f t="shared" si="4"/>
        <v>33.508291736762637</v>
      </c>
      <c r="H47" s="103">
        <f t="shared" si="4"/>
        <v>41.48843070838042</v>
      </c>
      <c r="I47" s="103">
        <f t="shared" si="4"/>
        <v>43.77643530563283</v>
      </c>
      <c r="J47" s="103">
        <f t="shared" si="4"/>
        <v>39.057213685376034</v>
      </c>
      <c r="K47" s="102">
        <f t="shared" si="4"/>
        <v>36.296682065529069</v>
      </c>
      <c r="L47" s="103">
        <f t="shared" si="4"/>
        <v>38.237122738682231</v>
      </c>
      <c r="M47" s="104">
        <f t="shared" si="4"/>
        <v>43.184455722027671</v>
      </c>
    </row>
    <row r="48" spans="1:26" ht="12.75" customHeight="1" x14ac:dyDescent="0.2">
      <c r="A48" s="101">
        <f t="shared" si="3"/>
        <v>2016</v>
      </c>
      <c r="B48" s="102">
        <f t="shared" ref="B48:M48" si="5">B12*0.56+B30*0.44</f>
        <v>37.782794710116555</v>
      </c>
      <c r="C48" s="103">
        <f t="shared" si="5"/>
        <v>40.562904072244933</v>
      </c>
      <c r="D48" s="103">
        <f t="shared" si="5"/>
        <v>42.046345430300157</v>
      </c>
      <c r="E48" s="103">
        <f t="shared" si="5"/>
        <v>35.504518305655324</v>
      </c>
      <c r="F48" s="103">
        <f t="shared" si="5"/>
        <v>32.023723282629</v>
      </c>
      <c r="G48" s="102">
        <f t="shared" si="5"/>
        <v>32.060151685631695</v>
      </c>
      <c r="H48" s="103">
        <f t="shared" si="5"/>
        <v>40.447217036567423</v>
      </c>
      <c r="I48" s="103">
        <f t="shared" si="5"/>
        <v>43.664601183410326</v>
      </c>
      <c r="J48" s="103">
        <f t="shared" si="5"/>
        <v>37.423437325275771</v>
      </c>
      <c r="K48" s="102">
        <f t="shared" si="5"/>
        <v>36.14609411786644</v>
      </c>
      <c r="L48" s="103">
        <f t="shared" si="5"/>
        <v>32.342362839213436</v>
      </c>
      <c r="M48" s="104">
        <f t="shared" si="5"/>
        <v>39.697355180794546</v>
      </c>
    </row>
    <row r="49" spans="1:13" ht="12.75" customHeight="1" x14ac:dyDescent="0.2">
      <c r="A49" s="101">
        <f t="shared" si="3"/>
        <v>2017</v>
      </c>
      <c r="B49" s="102">
        <f t="shared" ref="B49:M49" si="6">B13*0.56+B31*0.44</f>
        <v>37.268969777392734</v>
      </c>
      <c r="C49" s="103">
        <f t="shared" si="6"/>
        <v>40.644996479001321</v>
      </c>
      <c r="D49" s="103">
        <f t="shared" si="6"/>
        <v>41.694854645677438</v>
      </c>
      <c r="E49" s="103">
        <f t="shared" si="6"/>
        <v>35.4390363407717</v>
      </c>
      <c r="F49" s="103">
        <f t="shared" si="6"/>
        <v>33.980903860353862</v>
      </c>
      <c r="G49" s="102">
        <f t="shared" si="6"/>
        <v>33.469303870627698</v>
      </c>
      <c r="H49" s="103">
        <f t="shared" si="6"/>
        <v>42.500303721842556</v>
      </c>
      <c r="I49" s="103">
        <f t="shared" si="6"/>
        <v>45.910865829230126</v>
      </c>
      <c r="J49" s="103">
        <f t="shared" si="6"/>
        <v>40.946373114257057</v>
      </c>
      <c r="K49" s="102">
        <f t="shared" si="6"/>
        <v>37.116457413968192</v>
      </c>
      <c r="L49" s="103">
        <f t="shared" si="6"/>
        <v>37.739680094212133</v>
      </c>
      <c r="M49" s="104">
        <f t="shared" si="6"/>
        <v>38.5559949980208</v>
      </c>
    </row>
    <row r="50" spans="1:13" ht="12.75" customHeight="1" x14ac:dyDescent="0.2">
      <c r="A50" s="101">
        <f t="shared" si="3"/>
        <v>2018</v>
      </c>
      <c r="B50" s="102">
        <f t="shared" ref="B50:M50" si="7">B14*0.56+B32*0.44</f>
        <v>39.850308367773479</v>
      </c>
      <c r="C50" s="103">
        <f t="shared" si="7"/>
        <v>40.732923527503694</v>
      </c>
      <c r="D50" s="103">
        <f t="shared" si="7"/>
        <v>44.459898636337158</v>
      </c>
      <c r="E50" s="103">
        <f t="shared" si="7"/>
        <v>39.694129822413878</v>
      </c>
      <c r="F50" s="103">
        <f t="shared" si="7"/>
        <v>37.378139104417002</v>
      </c>
      <c r="G50" s="102">
        <f t="shared" si="7"/>
        <v>37.393690489824785</v>
      </c>
      <c r="H50" s="103">
        <f t="shared" si="7"/>
        <v>46.693513141607795</v>
      </c>
      <c r="I50" s="103">
        <f t="shared" si="7"/>
        <v>50.03369935246171</v>
      </c>
      <c r="J50" s="103">
        <f t="shared" si="7"/>
        <v>42.707249815720985</v>
      </c>
      <c r="K50" s="102">
        <f t="shared" si="7"/>
        <v>42.290687850287192</v>
      </c>
      <c r="L50" s="103">
        <f t="shared" si="7"/>
        <v>48.179177721966809</v>
      </c>
      <c r="M50" s="104">
        <f t="shared" si="7"/>
        <v>41.758357214550401</v>
      </c>
    </row>
    <row r="51" spans="1:13" ht="12.75" customHeight="1" x14ac:dyDescent="0.2">
      <c r="A51" s="101">
        <f t="shared" si="3"/>
        <v>2019</v>
      </c>
      <c r="B51" s="102">
        <f t="shared" ref="B51:M51" si="8">B15*0.56+B33*0.44</f>
        <v>42.034596920313319</v>
      </c>
      <c r="C51" s="103">
        <f t="shared" si="8"/>
        <v>43.003242851754891</v>
      </c>
      <c r="D51" s="103">
        <f t="shared" si="8"/>
        <v>45.386533661502597</v>
      </c>
      <c r="E51" s="103">
        <f t="shared" si="8"/>
        <v>43.436512459418509</v>
      </c>
      <c r="F51" s="103">
        <f t="shared" si="8"/>
        <v>39.328229856843052</v>
      </c>
      <c r="G51" s="102">
        <f t="shared" si="8"/>
        <v>39.188654665906888</v>
      </c>
      <c r="H51" s="103">
        <f t="shared" si="8"/>
        <v>48.827247466562994</v>
      </c>
      <c r="I51" s="103">
        <f t="shared" si="8"/>
        <v>52.269864695218246</v>
      </c>
      <c r="J51" s="103">
        <f t="shared" si="8"/>
        <v>45.299548990535328</v>
      </c>
      <c r="K51" s="102">
        <f t="shared" si="8"/>
        <v>45.497277788865404</v>
      </c>
      <c r="L51" s="103">
        <f t="shared" si="8"/>
        <v>43.974780247183809</v>
      </c>
      <c r="M51" s="104">
        <f t="shared" si="8"/>
        <v>44.519110627672148</v>
      </c>
    </row>
    <row r="52" spans="1:13" ht="12.75" customHeight="1" x14ac:dyDescent="0.2">
      <c r="A52" s="101">
        <f t="shared" si="3"/>
        <v>2020</v>
      </c>
      <c r="B52" s="102">
        <f t="shared" ref="B52:M52" si="9">B16*0.56+B34*0.44</f>
        <v>47.607841630005453</v>
      </c>
      <c r="C52" s="103">
        <f t="shared" si="9"/>
        <v>45.764507086134444</v>
      </c>
      <c r="D52" s="103">
        <f t="shared" si="9"/>
        <v>47.422746837817925</v>
      </c>
      <c r="E52" s="103">
        <f t="shared" si="9"/>
        <v>46.776968727373742</v>
      </c>
      <c r="F52" s="103">
        <f t="shared" si="9"/>
        <v>43.366890399267987</v>
      </c>
      <c r="G52" s="102">
        <f t="shared" si="9"/>
        <v>45.611484479263751</v>
      </c>
      <c r="H52" s="103">
        <f t="shared" si="9"/>
        <v>55.201439694104728</v>
      </c>
      <c r="I52" s="103">
        <f t="shared" si="9"/>
        <v>55.114251282460494</v>
      </c>
      <c r="J52" s="103">
        <f t="shared" si="9"/>
        <v>49.84701243389928</v>
      </c>
      <c r="K52" s="102">
        <f t="shared" si="9"/>
        <v>46.705426672379247</v>
      </c>
      <c r="L52" s="103">
        <f t="shared" si="9"/>
        <v>47.011583280444484</v>
      </c>
      <c r="M52" s="104">
        <f t="shared" si="9"/>
        <v>46.028307823506154</v>
      </c>
    </row>
    <row r="53" spans="1:13" ht="12.75" customHeight="1" x14ac:dyDescent="0.2">
      <c r="A53" s="101">
        <f t="shared" si="3"/>
        <v>2021</v>
      </c>
      <c r="B53" s="102">
        <f t="shared" ref="B53:M53" si="10">B17*0.56+B35*0.44</f>
        <v>50.386054860375395</v>
      </c>
      <c r="C53" s="103">
        <f t="shared" si="10"/>
        <v>52.264268149481367</v>
      </c>
      <c r="D53" s="103">
        <f t="shared" si="10"/>
        <v>51.20006748779916</v>
      </c>
      <c r="E53" s="103">
        <f t="shared" si="10"/>
        <v>50.033554014937579</v>
      </c>
      <c r="F53" s="103">
        <f t="shared" si="10"/>
        <v>48.399852215910769</v>
      </c>
      <c r="G53" s="102">
        <f t="shared" si="10"/>
        <v>50.219554329871968</v>
      </c>
      <c r="H53" s="103">
        <f t="shared" si="10"/>
        <v>57.232162015616225</v>
      </c>
      <c r="I53" s="103">
        <f t="shared" si="10"/>
        <v>57.543328623601326</v>
      </c>
      <c r="J53" s="103">
        <f t="shared" si="10"/>
        <v>53.682593730250829</v>
      </c>
      <c r="K53" s="102">
        <f t="shared" si="10"/>
        <v>52.148075271128938</v>
      </c>
      <c r="L53" s="103">
        <f t="shared" si="10"/>
        <v>55.303308349137339</v>
      </c>
      <c r="M53" s="104">
        <f t="shared" si="10"/>
        <v>55.434409342994101</v>
      </c>
    </row>
    <row r="54" spans="1:13" ht="12.75" customHeight="1" x14ac:dyDescent="0.2">
      <c r="A54" s="101">
        <f t="shared" si="3"/>
        <v>2022</v>
      </c>
      <c r="B54" s="102">
        <f t="shared" ref="B54:M54" si="11">B18*0.56+B36*0.44</f>
        <v>53.51945392263795</v>
      </c>
      <c r="C54" s="103">
        <f t="shared" si="11"/>
        <v>52.742958586433076</v>
      </c>
      <c r="D54" s="103">
        <f t="shared" si="11"/>
        <v>53.294846430143302</v>
      </c>
      <c r="E54" s="103">
        <f t="shared" si="11"/>
        <v>49.909501079716293</v>
      </c>
      <c r="F54" s="103">
        <f t="shared" si="11"/>
        <v>49.414616120693609</v>
      </c>
      <c r="G54" s="102">
        <f t="shared" si="11"/>
        <v>52.569267893920014</v>
      </c>
      <c r="H54" s="103">
        <f t="shared" si="11"/>
        <v>59.046788398339487</v>
      </c>
      <c r="I54" s="103">
        <f t="shared" si="11"/>
        <v>58.463997923088904</v>
      </c>
      <c r="J54" s="103">
        <f t="shared" si="11"/>
        <v>54.171021532149453</v>
      </c>
      <c r="K54" s="102">
        <f t="shared" si="11"/>
        <v>52.978240841686016</v>
      </c>
      <c r="L54" s="103">
        <f t="shared" si="11"/>
        <v>53.514216880684593</v>
      </c>
      <c r="M54" s="104">
        <f t="shared" si="11"/>
        <v>55.739986395342001</v>
      </c>
    </row>
    <row r="55" spans="1:13" ht="12.75" customHeight="1" x14ac:dyDescent="0.2">
      <c r="A55" s="101">
        <f t="shared" si="3"/>
        <v>2023</v>
      </c>
      <c r="B55" s="102">
        <f t="shared" ref="B55:M55" si="12">B19*0.56+B37*0.44</f>
        <v>54.846387522477528</v>
      </c>
      <c r="C55" s="103">
        <f t="shared" si="12"/>
        <v>54.369113552925</v>
      </c>
      <c r="D55" s="103">
        <f t="shared" si="12"/>
        <v>54.133849045632417</v>
      </c>
      <c r="E55" s="103">
        <f t="shared" si="12"/>
        <v>52.269796519286444</v>
      </c>
      <c r="F55" s="103">
        <f t="shared" si="12"/>
        <v>51.214577018772147</v>
      </c>
      <c r="G55" s="102">
        <f t="shared" si="12"/>
        <v>53.5601305240545</v>
      </c>
      <c r="H55" s="103">
        <f t="shared" si="12"/>
        <v>60.647876815023345</v>
      </c>
      <c r="I55" s="103">
        <f t="shared" si="12"/>
        <v>60.111129403961669</v>
      </c>
      <c r="J55" s="103">
        <f t="shared" si="12"/>
        <v>54.228782937504683</v>
      </c>
      <c r="K55" s="102">
        <f t="shared" si="12"/>
        <v>54.734453756720853</v>
      </c>
      <c r="L55" s="103">
        <f t="shared" si="12"/>
        <v>56.478354481941629</v>
      </c>
      <c r="M55" s="104">
        <f t="shared" si="12"/>
        <v>58.835391666666212</v>
      </c>
    </row>
    <row r="56" spans="1:13" ht="12.75" customHeight="1" x14ac:dyDescent="0.2">
      <c r="A56" s="101">
        <f t="shared" si="3"/>
        <v>2024</v>
      </c>
      <c r="B56" s="102">
        <f t="shared" ref="B56:M56" si="13">B20*0.56+B38*0.44</f>
        <v>57.510705698926699</v>
      </c>
      <c r="C56" s="103">
        <f t="shared" si="13"/>
        <v>57.032196860630179</v>
      </c>
      <c r="D56" s="103">
        <f t="shared" si="13"/>
        <v>56.463227853499689</v>
      </c>
      <c r="E56" s="103">
        <f t="shared" si="13"/>
        <v>54.026807086113095</v>
      </c>
      <c r="F56" s="103">
        <f t="shared" si="13"/>
        <v>52.35026223655936</v>
      </c>
      <c r="G56" s="102">
        <f t="shared" si="13"/>
        <v>55.214959319450458</v>
      </c>
      <c r="H56" s="103">
        <f t="shared" si="13"/>
        <v>63.240153293015439</v>
      </c>
      <c r="I56" s="103">
        <f t="shared" si="13"/>
        <v>64.19245761290459</v>
      </c>
      <c r="J56" s="103">
        <f t="shared" si="13"/>
        <v>56.92656424583793</v>
      </c>
      <c r="K56" s="102">
        <f t="shared" si="13"/>
        <v>57.491210318553286</v>
      </c>
      <c r="L56" s="103">
        <f t="shared" si="13"/>
        <v>58.190448706941979</v>
      </c>
      <c r="M56" s="104">
        <f t="shared" si="13"/>
        <v>59.491840403226846</v>
      </c>
    </row>
    <row r="57" spans="1:13" ht="12.75" customHeight="1" x14ac:dyDescent="0.2">
      <c r="A57" s="101">
        <f t="shared" si="3"/>
        <v>2025</v>
      </c>
      <c r="B57" s="102">
        <f t="shared" ref="B57:M57" si="14">B21*0.56+B39*0.44</f>
        <v>62.455521900535828</v>
      </c>
      <c r="C57" s="103">
        <f t="shared" si="14"/>
        <v>61.371622946431636</v>
      </c>
      <c r="D57" s="103">
        <f t="shared" si="14"/>
        <v>59.762095752687451</v>
      </c>
      <c r="E57" s="103">
        <f t="shared" si="14"/>
        <v>56.851334013892057</v>
      </c>
      <c r="F57" s="103">
        <f t="shared" si="14"/>
        <v>56.257746629032944</v>
      </c>
      <c r="G57" s="102">
        <f t="shared" si="14"/>
        <v>59.535204944447855</v>
      </c>
      <c r="H57" s="103">
        <f t="shared" si="14"/>
        <v>67.751226448917166</v>
      </c>
      <c r="I57" s="103">
        <f t="shared" si="14"/>
        <v>69.073923002684694</v>
      </c>
      <c r="J57" s="103">
        <f t="shared" si="14"/>
        <v>62.183188412498609</v>
      </c>
      <c r="K57" s="102">
        <f t="shared" si="14"/>
        <v>60.62641409409278</v>
      </c>
      <c r="L57" s="103">
        <f t="shared" si="14"/>
        <v>61.957042659718461</v>
      </c>
      <c r="M57" s="104">
        <f t="shared" si="14"/>
        <v>63.39440635484047</v>
      </c>
    </row>
    <row r="58" spans="1:13" ht="12.75" customHeight="1" x14ac:dyDescent="0.2">
      <c r="A58" s="101">
        <f t="shared" si="3"/>
        <v>2026</v>
      </c>
      <c r="B58" s="102">
        <f t="shared" ref="B58:M58" si="15">B22*0.56+B40*0.44</f>
        <v>64.390240154574002</v>
      </c>
      <c r="C58" s="103">
        <f t="shared" si="15"/>
        <v>63.385011380954346</v>
      </c>
      <c r="D58" s="103">
        <f t="shared" si="15"/>
        <v>61.496385309138603</v>
      </c>
      <c r="E58" s="103">
        <f t="shared" si="15"/>
        <v>59.822835443048845</v>
      </c>
      <c r="F58" s="103">
        <f t="shared" si="15"/>
        <v>58.17388681989123</v>
      </c>
      <c r="G58" s="102">
        <f t="shared" si="15"/>
        <v>62.38858002222247</v>
      </c>
      <c r="H58" s="103">
        <f t="shared" si="15"/>
        <v>70.550869302421972</v>
      </c>
      <c r="I58" s="103">
        <f t="shared" si="15"/>
        <v>72.128752966391801</v>
      </c>
      <c r="J58" s="103">
        <f t="shared" si="15"/>
        <v>65.100368083334644</v>
      </c>
      <c r="K58" s="102">
        <f t="shared" si="15"/>
        <v>62.638458229836111</v>
      </c>
      <c r="L58" s="103">
        <f t="shared" si="15"/>
        <v>64.139395020827664</v>
      </c>
      <c r="M58" s="104">
        <f t="shared" si="15"/>
        <v>66.367759806452909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4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4" s="70" customFormat="1" ht="12.75" customHeight="1" x14ac:dyDescent="0.2">
      <c r="A66" s="113">
        <f t="shared" ref="A66:A76" si="16">A10</f>
        <v>2014</v>
      </c>
      <c r="C66" s="77">
        <f>ROUND(AVERAGE(B10:F10,K10:M10),2)</f>
        <v>44.63</v>
      </c>
      <c r="D66" s="77">
        <f t="shared" ref="D66:D78" si="17">ROUND(AVERAGE(B28:F28,K28:M28),2)</f>
        <v>28.08</v>
      </c>
      <c r="E66" s="77">
        <f>ROUND(AVERAGE(B46:F46,K46:M46),2)</f>
        <v>37.35</v>
      </c>
      <c r="G66" s="103">
        <f t="shared" ref="G66:G78" si="18">ROUND(AVERAGE(G10:J10),2)</f>
        <v>49.19</v>
      </c>
      <c r="H66" s="103">
        <f t="shared" ref="H66:H78" si="19">ROUND(AVERAGE(G28:J28),2)</f>
        <v>32.64</v>
      </c>
      <c r="I66" s="103">
        <f>ROUND(AVERAGE(G46:J46),2)</f>
        <v>41.9</v>
      </c>
      <c r="K66" s="77">
        <f t="shared" ref="K66:K78" si="20">ROUND(AVERAGE(B10:M10),2)</f>
        <v>46.91</v>
      </c>
      <c r="L66" s="77">
        <f t="shared" ref="L66:L78" si="21">ROUND(AVERAGE(B28:M28),2)</f>
        <v>30.36</v>
      </c>
      <c r="M66" s="77">
        <f>ROUND(AVERAGE(B46:M46),2)</f>
        <v>39.619999999999997</v>
      </c>
    </row>
    <row r="67" spans="1:14" s="70" customFormat="1" ht="12.75" customHeight="1" x14ac:dyDescent="0.2">
      <c r="A67" s="113">
        <f t="shared" si="16"/>
        <v>2015</v>
      </c>
      <c r="C67" s="77">
        <f t="shared" ref="C67:C78" si="22">ROUND(AVERAGE(B11:F11,K11:M11),2)</f>
        <v>45.52</v>
      </c>
      <c r="D67" s="77">
        <f t="shared" si="17"/>
        <v>32.79</v>
      </c>
      <c r="E67" s="77">
        <f>ROUND(AVERAGE(B47:F47,K47:M47),2)</f>
        <v>39.92</v>
      </c>
      <c r="G67" s="103">
        <f t="shared" si="18"/>
        <v>45.06</v>
      </c>
      <c r="H67" s="103">
        <f t="shared" si="19"/>
        <v>32.33</v>
      </c>
      <c r="I67" s="103">
        <f>ROUND(AVERAGE(G47:J47),2)</f>
        <v>39.46</v>
      </c>
      <c r="K67" s="77">
        <f t="shared" si="20"/>
        <v>45.36</v>
      </c>
      <c r="L67" s="77">
        <f t="shared" si="21"/>
        <v>32.630000000000003</v>
      </c>
      <c r="M67" s="77">
        <f>ROUND(AVERAGE(B47:M47),2)</f>
        <v>39.76</v>
      </c>
    </row>
    <row r="68" spans="1:14" s="70" customFormat="1" ht="12.75" customHeight="1" x14ac:dyDescent="0.2">
      <c r="A68" s="113">
        <f t="shared" si="16"/>
        <v>2016</v>
      </c>
      <c r="C68" s="77">
        <f t="shared" si="22"/>
        <v>42.72</v>
      </c>
      <c r="D68" s="77">
        <f t="shared" si="17"/>
        <v>29.76</v>
      </c>
      <c r="E68" s="77">
        <f t="shared" ref="E68:E73" si="23">ROUND(AVERAGE(B48:F48,K48:M48),2)</f>
        <v>37.01</v>
      </c>
      <c r="G68" s="103">
        <f t="shared" si="18"/>
        <v>44.1</v>
      </c>
      <c r="H68" s="103">
        <f t="shared" si="19"/>
        <v>31.14</v>
      </c>
      <c r="I68" s="103">
        <f t="shared" ref="I68:I73" si="24">ROUND(AVERAGE(G48:J48),2)</f>
        <v>38.4</v>
      </c>
      <c r="K68" s="77">
        <f t="shared" si="20"/>
        <v>43.18</v>
      </c>
      <c r="L68" s="77">
        <f t="shared" si="21"/>
        <v>30.22</v>
      </c>
      <c r="M68" s="77">
        <f t="shared" ref="M68:M73" si="25">ROUND(AVERAGE(B48:M48),2)</f>
        <v>37.479999999999997</v>
      </c>
    </row>
    <row r="69" spans="1:14" s="70" customFormat="1" ht="12.75" customHeight="1" x14ac:dyDescent="0.2">
      <c r="A69" s="113">
        <f t="shared" si="16"/>
        <v>2017</v>
      </c>
      <c r="C69" s="77">
        <f t="shared" si="22"/>
        <v>43.61</v>
      </c>
      <c r="D69" s="77">
        <f t="shared" si="17"/>
        <v>30.42</v>
      </c>
      <c r="E69" s="77">
        <f t="shared" si="23"/>
        <v>37.81</v>
      </c>
      <c r="G69" s="103">
        <f t="shared" si="18"/>
        <v>46.51</v>
      </c>
      <c r="H69" s="103">
        <f t="shared" si="19"/>
        <v>33.32</v>
      </c>
      <c r="I69" s="103">
        <f t="shared" si="24"/>
        <v>40.71</v>
      </c>
      <c r="K69" s="77">
        <f t="shared" si="20"/>
        <v>44.58</v>
      </c>
      <c r="L69" s="77">
        <f t="shared" si="21"/>
        <v>31.39</v>
      </c>
      <c r="M69" s="77">
        <f t="shared" si="25"/>
        <v>38.770000000000003</v>
      </c>
    </row>
    <row r="70" spans="1:14" s="70" customFormat="1" ht="12.75" customHeight="1" x14ac:dyDescent="0.2">
      <c r="A70" s="113">
        <f t="shared" si="16"/>
        <v>2018</v>
      </c>
      <c r="C70" s="77">
        <f t="shared" si="22"/>
        <v>48.69</v>
      </c>
      <c r="D70" s="77">
        <f t="shared" si="17"/>
        <v>33.020000000000003</v>
      </c>
      <c r="E70" s="77">
        <f t="shared" si="23"/>
        <v>41.79</v>
      </c>
      <c r="G70" s="103">
        <f t="shared" si="18"/>
        <v>51.1</v>
      </c>
      <c r="H70" s="103">
        <f t="shared" si="19"/>
        <v>35.43</v>
      </c>
      <c r="I70" s="103">
        <f t="shared" si="24"/>
        <v>44.21</v>
      </c>
      <c r="K70" s="77">
        <f t="shared" si="20"/>
        <v>49.49</v>
      </c>
      <c r="L70" s="77">
        <f t="shared" si="21"/>
        <v>33.82</v>
      </c>
      <c r="M70" s="77">
        <f t="shared" si="25"/>
        <v>42.6</v>
      </c>
    </row>
    <row r="71" spans="1:14" s="70" customFormat="1" ht="12.75" customHeight="1" x14ac:dyDescent="0.2">
      <c r="A71" s="113">
        <f t="shared" si="16"/>
        <v>2019</v>
      </c>
      <c r="C71" s="77">
        <f t="shared" si="22"/>
        <v>50.41</v>
      </c>
      <c r="D71" s="77">
        <f t="shared" si="17"/>
        <v>34.479999999999997</v>
      </c>
      <c r="E71" s="77">
        <f t="shared" si="23"/>
        <v>43.4</v>
      </c>
      <c r="G71" s="103">
        <f t="shared" si="18"/>
        <v>53.41</v>
      </c>
      <c r="H71" s="103">
        <f t="shared" si="19"/>
        <v>37.479999999999997</v>
      </c>
      <c r="I71" s="103">
        <f t="shared" si="24"/>
        <v>46.4</v>
      </c>
      <c r="K71" s="77">
        <f t="shared" si="20"/>
        <v>51.41</v>
      </c>
      <c r="L71" s="77">
        <f t="shared" si="21"/>
        <v>35.479999999999997</v>
      </c>
      <c r="M71" s="77">
        <f t="shared" si="25"/>
        <v>44.4</v>
      </c>
    </row>
    <row r="72" spans="1:14" s="70" customFormat="1" ht="12.75" customHeight="1" x14ac:dyDescent="0.2">
      <c r="A72" s="113">
        <f t="shared" si="16"/>
        <v>2020</v>
      </c>
      <c r="C72" s="77">
        <f t="shared" si="22"/>
        <v>53.47</v>
      </c>
      <c r="D72" s="77">
        <f t="shared" si="17"/>
        <v>37.25</v>
      </c>
      <c r="E72" s="77">
        <f t="shared" si="23"/>
        <v>46.34</v>
      </c>
      <c r="G72" s="103">
        <f t="shared" si="18"/>
        <v>58.58</v>
      </c>
      <c r="H72" s="103">
        <f t="shared" si="19"/>
        <v>42.36</v>
      </c>
      <c r="I72" s="103">
        <f t="shared" si="24"/>
        <v>51.44</v>
      </c>
      <c r="K72" s="77">
        <f t="shared" si="20"/>
        <v>55.18</v>
      </c>
      <c r="L72" s="77">
        <f t="shared" si="21"/>
        <v>38.96</v>
      </c>
      <c r="M72" s="77">
        <f t="shared" si="25"/>
        <v>48.04</v>
      </c>
    </row>
    <row r="73" spans="1:14" s="70" customFormat="1" ht="12.75" customHeight="1" x14ac:dyDescent="0.2">
      <c r="A73" s="113">
        <f t="shared" si="16"/>
        <v>2021</v>
      </c>
      <c r="C73" s="77">
        <f t="shared" si="22"/>
        <v>60.21</v>
      </c>
      <c r="D73" s="77">
        <f t="shared" si="17"/>
        <v>41.32</v>
      </c>
      <c r="E73" s="77">
        <f t="shared" si="23"/>
        <v>51.9</v>
      </c>
      <c r="G73" s="103">
        <f t="shared" si="18"/>
        <v>62.98</v>
      </c>
      <c r="H73" s="103">
        <f t="shared" si="19"/>
        <v>44.09</v>
      </c>
      <c r="I73" s="103">
        <f t="shared" si="24"/>
        <v>54.67</v>
      </c>
      <c r="K73" s="77">
        <f t="shared" si="20"/>
        <v>61.13</v>
      </c>
      <c r="L73" s="77">
        <f t="shared" si="21"/>
        <v>42.24</v>
      </c>
      <c r="M73" s="77">
        <f t="shared" si="25"/>
        <v>52.82</v>
      </c>
    </row>
    <row r="74" spans="1:14" s="70" customFormat="1" ht="12.75" customHeight="1" x14ac:dyDescent="0.2">
      <c r="A74" s="113">
        <f t="shared" si="16"/>
        <v>2022</v>
      </c>
      <c r="C74" s="77">
        <f t="shared" si="22"/>
        <v>61.1</v>
      </c>
      <c r="D74" s="77">
        <f t="shared" si="17"/>
        <v>41.87</v>
      </c>
      <c r="E74" s="77">
        <f t="shared" ref="E74:E76" si="26">ROUND(AVERAGE(B54:F54,K54:M54),2)</f>
        <v>52.64</v>
      </c>
      <c r="G74" s="103">
        <f t="shared" si="18"/>
        <v>64.52</v>
      </c>
      <c r="H74" s="103">
        <f t="shared" si="19"/>
        <v>45.29</v>
      </c>
      <c r="I74" s="103">
        <f t="shared" ref="I74:I76" si="27">ROUND(AVERAGE(G54:J54),2)</f>
        <v>56.06</v>
      </c>
      <c r="K74" s="77">
        <f t="shared" si="20"/>
        <v>62.24</v>
      </c>
      <c r="L74" s="77">
        <f t="shared" si="21"/>
        <v>43.01</v>
      </c>
      <c r="M74" s="77">
        <f t="shared" ref="M74:M76" si="28">ROUND(AVERAGE(B54:M54),2)</f>
        <v>53.78</v>
      </c>
    </row>
    <row r="75" spans="1:14" s="70" customFormat="1" ht="12.75" customHeight="1" x14ac:dyDescent="0.2">
      <c r="A75" s="113">
        <f t="shared" si="16"/>
        <v>2023</v>
      </c>
      <c r="C75" s="77">
        <f t="shared" si="22"/>
        <v>63.22</v>
      </c>
      <c r="D75" s="77">
        <f t="shared" si="17"/>
        <v>43.65</v>
      </c>
      <c r="E75" s="77">
        <f t="shared" si="26"/>
        <v>54.61</v>
      </c>
      <c r="G75" s="103">
        <f t="shared" si="18"/>
        <v>65.75</v>
      </c>
      <c r="H75" s="103">
        <f t="shared" si="19"/>
        <v>46.18</v>
      </c>
      <c r="I75" s="103">
        <f t="shared" si="27"/>
        <v>57.14</v>
      </c>
      <c r="K75" s="77">
        <f t="shared" si="20"/>
        <v>64.06</v>
      </c>
      <c r="L75" s="77">
        <f t="shared" si="21"/>
        <v>44.49</v>
      </c>
      <c r="M75" s="77">
        <f t="shared" si="28"/>
        <v>55.45</v>
      </c>
    </row>
    <row r="76" spans="1:14" s="70" customFormat="1" ht="12.75" customHeight="1" x14ac:dyDescent="0.2">
      <c r="A76" s="113">
        <f t="shared" si="16"/>
        <v>2024</v>
      </c>
      <c r="C76" s="77">
        <f t="shared" si="22"/>
        <v>65.34</v>
      </c>
      <c r="D76" s="77">
        <f t="shared" si="17"/>
        <v>45.41</v>
      </c>
      <c r="E76" s="77">
        <f t="shared" si="26"/>
        <v>56.57</v>
      </c>
      <c r="G76" s="103">
        <f t="shared" si="18"/>
        <v>68.66</v>
      </c>
      <c r="H76" s="103">
        <f t="shared" si="19"/>
        <v>48.73</v>
      </c>
      <c r="I76" s="103">
        <f t="shared" si="27"/>
        <v>59.89</v>
      </c>
      <c r="K76" s="77">
        <f t="shared" si="20"/>
        <v>66.45</v>
      </c>
      <c r="L76" s="77">
        <f t="shared" si="21"/>
        <v>46.52</v>
      </c>
      <c r="M76" s="77">
        <f t="shared" si="28"/>
        <v>57.68</v>
      </c>
    </row>
    <row r="77" spans="1:14" s="70" customFormat="1" ht="12.75" customHeight="1" x14ac:dyDescent="0.2">
      <c r="A77" s="113">
        <f t="shared" ref="A77:A78" si="29">A21</f>
        <v>2025</v>
      </c>
      <c r="C77" s="77">
        <f t="shared" si="22"/>
        <v>70.38</v>
      </c>
      <c r="D77" s="77">
        <f t="shared" si="17"/>
        <v>47.56</v>
      </c>
      <c r="E77" s="77">
        <f t="shared" ref="E77:E78" si="30">ROUND(AVERAGE(B57:F57,K57:M57),2)</f>
        <v>60.33</v>
      </c>
      <c r="G77" s="103">
        <f t="shared" si="18"/>
        <v>74.680000000000007</v>
      </c>
      <c r="H77" s="103">
        <f t="shared" si="19"/>
        <v>51.86</v>
      </c>
      <c r="I77" s="103">
        <f t="shared" ref="I77:I78" si="31">ROUND(AVERAGE(G57:J57),2)</f>
        <v>64.64</v>
      </c>
      <c r="K77" s="77">
        <f t="shared" si="20"/>
        <v>71.81</v>
      </c>
      <c r="L77" s="77">
        <f t="shared" si="21"/>
        <v>48.99</v>
      </c>
      <c r="M77" s="77">
        <f t="shared" ref="M77:M78" si="32">ROUND(AVERAGE(B57:M57),2)</f>
        <v>61.77</v>
      </c>
    </row>
    <row r="78" spans="1:14" s="70" customFormat="1" ht="12.75" customHeight="1" x14ac:dyDescent="0.2">
      <c r="A78" s="113">
        <f t="shared" si="29"/>
        <v>2026</v>
      </c>
      <c r="C78" s="77">
        <f t="shared" si="22"/>
        <v>72.78</v>
      </c>
      <c r="D78" s="77">
        <f t="shared" si="17"/>
        <v>49.53</v>
      </c>
      <c r="E78" s="77">
        <f t="shared" si="30"/>
        <v>62.55</v>
      </c>
      <c r="G78" s="103">
        <f t="shared" si="18"/>
        <v>77.77</v>
      </c>
      <c r="H78" s="103">
        <f t="shared" si="19"/>
        <v>54.52</v>
      </c>
      <c r="I78" s="103">
        <f t="shared" si="31"/>
        <v>67.540000000000006</v>
      </c>
      <c r="K78" s="77">
        <f t="shared" si="20"/>
        <v>74.45</v>
      </c>
      <c r="L78" s="77">
        <f t="shared" si="21"/>
        <v>51.2</v>
      </c>
      <c r="M78" s="77">
        <f t="shared" si="32"/>
        <v>64.22</v>
      </c>
    </row>
    <row r="79" spans="1:14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4" s="70" customFormat="1" ht="12.75" hidden="1" customHeight="1" x14ac:dyDescent="0.2">
      <c r="A80" s="114"/>
      <c r="K80" s="109"/>
    </row>
    <row r="81" spans="1:17" s="70" customFormat="1" ht="12.75" hidden="1" customHeight="1" x14ac:dyDescent="0.2">
      <c r="A81" s="114"/>
      <c r="K81" s="109"/>
    </row>
    <row r="82" spans="1:17" s="70" customFormat="1" ht="12.75" customHeight="1" x14ac:dyDescent="0.2">
      <c r="A82" s="60" t="s">
        <v>83</v>
      </c>
      <c r="D82" s="77"/>
      <c r="E82" s="103"/>
      <c r="F82" s="103"/>
      <c r="G82" s="103"/>
      <c r="J82" s="103"/>
      <c r="K82" s="103"/>
    </row>
    <row r="83" spans="1:17" ht="12.75" customHeight="1" x14ac:dyDescent="0.2">
      <c r="A83" s="60" t="s">
        <v>319</v>
      </c>
      <c r="C83" s="115" t="s">
        <v>321</v>
      </c>
      <c r="D83" s="77"/>
      <c r="E83" s="103"/>
      <c r="F83" s="103"/>
      <c r="G83" s="103"/>
      <c r="H83" s="70"/>
      <c r="N83" s="70"/>
      <c r="O83" s="70"/>
      <c r="P83" s="70"/>
    </row>
    <row r="84" spans="1:17" ht="12.75" customHeight="1" x14ac:dyDescent="0.2">
      <c r="A84" s="60" t="s">
        <v>318</v>
      </c>
      <c r="C84" s="115" t="s">
        <v>152</v>
      </c>
      <c r="D84" s="70"/>
      <c r="E84" s="70"/>
      <c r="F84" s="70"/>
      <c r="G84" s="70"/>
      <c r="N84" s="70"/>
      <c r="O84" s="70"/>
      <c r="P84" s="70"/>
    </row>
    <row r="85" spans="1:17" ht="12.75" customHeight="1" x14ac:dyDescent="0.2">
      <c r="A85" s="60" t="s">
        <v>140</v>
      </c>
      <c r="C85" s="60" t="s">
        <v>156</v>
      </c>
      <c r="D85" s="70"/>
      <c r="E85" s="70"/>
      <c r="F85" s="70"/>
      <c r="G85" s="70"/>
    </row>
    <row r="87" spans="1:17" x14ac:dyDescent="0.2">
      <c r="C87" s="60" t="s">
        <v>157</v>
      </c>
    </row>
    <row r="88" spans="1:17" x14ac:dyDescent="0.2">
      <c r="C88" s="60" t="s">
        <v>170</v>
      </c>
      <c r="E88" s="246">
        <v>1</v>
      </c>
    </row>
    <row r="90" spans="1:17" x14ac:dyDescent="0.2">
      <c r="Q90" s="246"/>
    </row>
    <row r="91" spans="1:17" x14ac:dyDescent="0.2">
      <c r="Q91" s="66"/>
    </row>
    <row r="106" ht="24.75" customHeight="1" x14ac:dyDescent="0.2"/>
  </sheetData>
  <phoneticPr fontId="7" type="noConversion"/>
  <pageMargins left="0.7" right="0.7" top="0.75" bottom="0.75" header="0.3" footer="0.3"/>
  <pageSetup scale="72" orientation="portrait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view="pageBreakPreview" topLeftCell="A6" zoomScale="60" zoomScaleNormal="100" workbookViewId="0">
      <selection activeCell="O1" sqref="O1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4" width="14.83203125" style="60" customWidth="1"/>
    <col min="15" max="15" width="10.83203125" style="60" customWidth="1"/>
    <col min="16" max="21" width="15.33203125" style="60" customWidth="1"/>
    <col min="22" max="16384" width="9.33203125" style="60"/>
  </cols>
  <sheetData>
    <row r="1" spans="1:13" s="5" customFormat="1" ht="15.75" x14ac:dyDescent="0.25">
      <c r="A1" s="1" t="s">
        <v>183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 x14ac:dyDescent="0.25">
      <c r="A2" s="3" t="s">
        <v>161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13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3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3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 customHeight="1" x14ac:dyDescent="0.2">
      <c r="A9" s="13" t="str">
        <f>'Table 2A BaseLoad'!A9</f>
        <v>On-Peak (1)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3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H28+'Tables 3 to 6'!$W13*Capacity_Contr_Wind</f>
        <v>30.494455963456982</v>
      </c>
      <c r="I10" s="99">
        <f>I28+'Tables 3 to 6'!$W13*Capacity_Contr_Wind</f>
        <v>38.688598631025641</v>
      </c>
      <c r="J10" s="100">
        <f>J28+'Tables 3 to 6'!$W13*Capacity_Contr_Wind</f>
        <v>29.303381666121382</v>
      </c>
      <c r="K10" s="99">
        <f>K28+'Tables 3 to 6'!$W13*Capacity_Contr_Wind</f>
        <v>27.12962427577072</v>
      </c>
      <c r="L10" s="99">
        <f>L28+'Tables 3 to 6'!$W13*Capacity_Contr_Wind</f>
        <v>30.446691082687426</v>
      </c>
      <c r="M10" s="100">
        <f>M28+'Tables 3 to 6'!$W13*Capacity_Contr_Wind</f>
        <v>27.23380920774802</v>
      </c>
    </row>
    <row r="11" spans="1:13" ht="12.75" customHeight="1" x14ac:dyDescent="0.2">
      <c r="A11" s="101">
        <f t="shared" ref="A11:A22" si="0">A10+1</f>
        <v>2015</v>
      </c>
      <c r="B11" s="102">
        <f>B29+'Tables 3 to 6'!$W14*Capacity_Contr_Wind</f>
        <v>35.277533668721361</v>
      </c>
      <c r="C11" s="103">
        <f>C29+'Tables 3 to 6'!$W14*Capacity_Contr_Wind</f>
        <v>35.716141595192681</v>
      </c>
      <c r="D11" s="103">
        <f>D29+'Tables 3 to 6'!$W14*Capacity_Contr_Wind</f>
        <v>41.410721804637312</v>
      </c>
      <c r="E11" s="103">
        <f>E29+'Tables 3 to 6'!$W14*Capacity_Contr_Wind</f>
        <v>26.400288593234535</v>
      </c>
      <c r="F11" s="104">
        <f>F29+'Tables 3 to 6'!$W14*Capacity_Contr_Wind</f>
        <v>23.860202599942813</v>
      </c>
      <c r="G11" s="103">
        <f>G29+'Tables 3 to 6'!$W14*Capacity_Contr_Wind</f>
        <v>25.719141736762637</v>
      </c>
      <c r="H11" s="103">
        <f>H29+'Tables 3 to 6'!$W14*Capacity_Contr_Wind</f>
        <v>33.699280708380414</v>
      </c>
      <c r="I11" s="103">
        <f>I29+'Tables 3 to 6'!$W14*Capacity_Contr_Wind</f>
        <v>35.987285305632824</v>
      </c>
      <c r="J11" s="104">
        <f>J29+'Tables 3 to 6'!$W14*Capacity_Contr_Wind</f>
        <v>31.268063685376031</v>
      </c>
      <c r="K11" s="103">
        <f>K29+'Tables 3 to 6'!$W14*Capacity_Contr_Wind</f>
        <v>28.507532065529062</v>
      </c>
      <c r="L11" s="103">
        <f>L29+'Tables 3 to 6'!$W14*Capacity_Contr_Wind</f>
        <v>30.447972738682228</v>
      </c>
      <c r="M11" s="104">
        <f>M29+'Tables 3 to 6'!$W14*Capacity_Contr_Wind</f>
        <v>35.395305722027665</v>
      </c>
    </row>
    <row r="12" spans="1:13" ht="12.75" customHeight="1" x14ac:dyDescent="0.2">
      <c r="A12" s="101">
        <f t="shared" si="0"/>
        <v>2016</v>
      </c>
      <c r="B12" s="102">
        <f>B30+'Tables 3 to 6'!$W15*Capacity_Contr_Wind</f>
        <v>29.901994710116551</v>
      </c>
      <c r="C12" s="103">
        <f>C30+'Tables 3 to 6'!$W15*Capacity_Contr_Wind</f>
        <v>32.682104072244925</v>
      </c>
      <c r="D12" s="103">
        <f>D30+'Tables 3 to 6'!$W15*Capacity_Contr_Wind</f>
        <v>34.165545430300149</v>
      </c>
      <c r="E12" s="103">
        <f>E30+'Tables 3 to 6'!$W15*Capacity_Contr_Wind</f>
        <v>27.62371830565532</v>
      </c>
      <c r="F12" s="104">
        <f>F30+'Tables 3 to 6'!$W15*Capacity_Contr_Wind</f>
        <v>24.142923282628995</v>
      </c>
      <c r="G12" s="103">
        <f>G30+'Tables 3 to 6'!$W15*Capacity_Contr_Wind</f>
        <v>24.179351685631687</v>
      </c>
      <c r="H12" s="103">
        <f>H30+'Tables 3 to 6'!$W15*Capacity_Contr_Wind</f>
        <v>32.566417036567415</v>
      </c>
      <c r="I12" s="103">
        <f>I30+'Tables 3 to 6'!$W15*Capacity_Contr_Wind</f>
        <v>35.783801183410318</v>
      </c>
      <c r="J12" s="104">
        <f>J30+'Tables 3 to 6'!$W15*Capacity_Contr_Wind</f>
        <v>29.54263732527577</v>
      </c>
      <c r="K12" s="103">
        <f>K30+'Tables 3 to 6'!$W15*Capacity_Contr_Wind</f>
        <v>28.265294117866439</v>
      </c>
      <c r="L12" s="103">
        <f>L30+'Tables 3 to 6'!$W15*Capacity_Contr_Wind</f>
        <v>24.461562839213428</v>
      </c>
      <c r="M12" s="104">
        <f>M30+'Tables 3 to 6'!$W15*Capacity_Contr_Wind</f>
        <v>31.816555180794541</v>
      </c>
    </row>
    <row r="13" spans="1:13" ht="12.75" customHeight="1" x14ac:dyDescent="0.2">
      <c r="A13" s="101">
        <f t="shared" si="0"/>
        <v>2017</v>
      </c>
      <c r="B13" s="102">
        <f>B31+'Tables 3 to 6'!$W16*Capacity_Contr_Wind</f>
        <v>29.226519777392731</v>
      </c>
      <c r="C13" s="103">
        <f>C31+'Tables 3 to 6'!$W16*Capacity_Contr_Wind</f>
        <v>32.602546479001319</v>
      </c>
      <c r="D13" s="103">
        <f>D31+'Tables 3 to 6'!$W16*Capacity_Contr_Wind</f>
        <v>33.652404645677436</v>
      </c>
      <c r="E13" s="103">
        <f>E31+'Tables 3 to 6'!$W16*Capacity_Contr_Wind</f>
        <v>27.396586340771698</v>
      </c>
      <c r="F13" s="104">
        <f>F31+'Tables 3 to 6'!$W16*Capacity_Contr_Wind</f>
        <v>25.938453860353864</v>
      </c>
      <c r="G13" s="103">
        <f>G31+'Tables 3 to 6'!$W16*Capacity_Contr_Wind</f>
        <v>25.426853870627699</v>
      </c>
      <c r="H13" s="103">
        <f>H31+'Tables 3 to 6'!$W16*Capacity_Contr_Wind</f>
        <v>34.457853721842554</v>
      </c>
      <c r="I13" s="103">
        <f>I31+'Tables 3 to 6'!$W16*Capacity_Contr_Wind</f>
        <v>37.868415829230123</v>
      </c>
      <c r="J13" s="104">
        <f>J31+'Tables 3 to 6'!$W16*Capacity_Contr_Wind</f>
        <v>32.903923114257054</v>
      </c>
      <c r="K13" s="103">
        <f>K31+'Tables 3 to 6'!$W16*Capacity_Contr_Wind</f>
        <v>29.074007413968186</v>
      </c>
      <c r="L13" s="103">
        <f>L31+'Tables 3 to 6'!$W16*Capacity_Contr_Wind</f>
        <v>29.697230094212127</v>
      </c>
      <c r="M13" s="104">
        <f>M31+'Tables 3 to 6'!$W16*Capacity_Contr_Wind</f>
        <v>30.513544998020798</v>
      </c>
    </row>
    <row r="14" spans="1:13" ht="12.75" customHeight="1" x14ac:dyDescent="0.2">
      <c r="A14" s="101">
        <f t="shared" si="0"/>
        <v>2018</v>
      </c>
      <c r="B14" s="102">
        <f>B32+'Tables 3 to 6'!$W17*Capacity_Contr_Wind</f>
        <v>30.657458367773476</v>
      </c>
      <c r="C14" s="103">
        <f>C32+'Tables 3 to 6'!$W17*Capacity_Contr_Wind</f>
        <v>31.54007352750369</v>
      </c>
      <c r="D14" s="103">
        <f>D32+'Tables 3 to 6'!$W17*Capacity_Contr_Wind</f>
        <v>35.267048636337151</v>
      </c>
      <c r="E14" s="103">
        <f>E32+'Tables 3 to 6'!$W17*Capacity_Contr_Wind</f>
        <v>30.501279822413874</v>
      </c>
      <c r="F14" s="104">
        <f>F32+'Tables 3 to 6'!$W17*Capacity_Contr_Wind</f>
        <v>28.185289104416999</v>
      </c>
      <c r="G14" s="103">
        <f>G32+'Tables 3 to 6'!$W17*Capacity_Contr_Wind</f>
        <v>28.200840489824781</v>
      </c>
      <c r="H14" s="103">
        <f>H32+'Tables 3 to 6'!$W17*Capacity_Contr_Wind</f>
        <v>37.500663141607788</v>
      </c>
      <c r="I14" s="103">
        <f>I32+'Tables 3 to 6'!$W17*Capacity_Contr_Wind</f>
        <v>40.84084935246171</v>
      </c>
      <c r="J14" s="104">
        <f>J32+'Tables 3 to 6'!$W17*Capacity_Contr_Wind</f>
        <v>33.514399815720978</v>
      </c>
      <c r="K14" s="103">
        <f>K32+'Tables 3 to 6'!$W17*Capacity_Contr_Wind</f>
        <v>33.097837850287185</v>
      </c>
      <c r="L14" s="103">
        <f>L32+'Tables 3 to 6'!$W17*Capacity_Contr_Wind</f>
        <v>38.986327721966802</v>
      </c>
      <c r="M14" s="104">
        <f>M32+'Tables 3 to 6'!$W17*Capacity_Contr_Wind</f>
        <v>32.565507214550401</v>
      </c>
    </row>
    <row r="15" spans="1:13" ht="12.75" customHeight="1" x14ac:dyDescent="0.2">
      <c r="A15" s="101">
        <f t="shared" si="0"/>
        <v>2019</v>
      </c>
      <c r="B15" s="102">
        <f>B33+'Tables 3 to 6'!$W18*Capacity_Contr_Wind</f>
        <v>32.449446920313314</v>
      </c>
      <c r="C15" s="103">
        <f>C33+'Tables 3 to 6'!$W18*Capacity_Contr_Wind</f>
        <v>33.418092851754885</v>
      </c>
      <c r="D15" s="103">
        <f>D33+'Tables 3 to 6'!$W18*Capacity_Contr_Wind</f>
        <v>35.801383661502598</v>
      </c>
      <c r="E15" s="103">
        <f>E33+'Tables 3 to 6'!$W18*Capacity_Contr_Wind</f>
        <v>33.85136245941851</v>
      </c>
      <c r="F15" s="104">
        <f>F33+'Tables 3 to 6'!$W18*Capacity_Contr_Wind</f>
        <v>29.743079856843046</v>
      </c>
      <c r="G15" s="103">
        <f>G33+'Tables 3 to 6'!$W18*Capacity_Contr_Wind</f>
        <v>29.603504665906893</v>
      </c>
      <c r="H15" s="103">
        <f>H33+'Tables 3 to 6'!$W18*Capacity_Contr_Wind</f>
        <v>39.242097466562996</v>
      </c>
      <c r="I15" s="103">
        <f>I33+'Tables 3 to 6'!$W18*Capacity_Contr_Wind</f>
        <v>42.68471469521824</v>
      </c>
      <c r="J15" s="104">
        <f>J33+'Tables 3 to 6'!$W18*Capacity_Contr_Wind</f>
        <v>35.714398990535322</v>
      </c>
      <c r="K15" s="103">
        <f>K33+'Tables 3 to 6'!$W18*Capacity_Contr_Wind</f>
        <v>35.912127788865405</v>
      </c>
      <c r="L15" s="103">
        <f>L33+'Tables 3 to 6'!$W18*Capacity_Contr_Wind</f>
        <v>34.38963024718381</v>
      </c>
      <c r="M15" s="104">
        <f>M33+'Tables 3 to 6'!$W18*Capacity_Contr_Wind</f>
        <v>34.933960627672143</v>
      </c>
    </row>
    <row r="16" spans="1:13" ht="12.75" customHeight="1" x14ac:dyDescent="0.2">
      <c r="A16" s="101">
        <f t="shared" si="0"/>
        <v>2020</v>
      </c>
      <c r="B16" s="102">
        <f>B34+'Tables 3 to 6'!$W19*Capacity_Contr_Wind</f>
        <v>37.349741630005454</v>
      </c>
      <c r="C16" s="103">
        <f>C34+'Tables 3 to 6'!$W19*Capacity_Contr_Wind</f>
        <v>35.506407086134438</v>
      </c>
      <c r="D16" s="103">
        <f>D34+'Tables 3 to 6'!$W19*Capacity_Contr_Wind</f>
        <v>37.164646837817919</v>
      </c>
      <c r="E16" s="103">
        <f>E34+'Tables 3 to 6'!$W19*Capacity_Contr_Wind</f>
        <v>36.518868727373743</v>
      </c>
      <c r="F16" s="104">
        <f>F34+'Tables 3 to 6'!$W19*Capacity_Contr_Wind</f>
        <v>33.108790399267981</v>
      </c>
      <c r="G16" s="103">
        <f>G34+'Tables 3 to 6'!$W19*Capacity_Contr_Wind</f>
        <v>35.353384479263752</v>
      </c>
      <c r="H16" s="103">
        <f>H34+'Tables 3 to 6'!$W19*Capacity_Contr_Wind</f>
        <v>44.943339694104722</v>
      </c>
      <c r="I16" s="103">
        <f>I34+'Tables 3 to 6'!$W19*Capacity_Contr_Wind</f>
        <v>44.856151282460488</v>
      </c>
      <c r="J16" s="104">
        <f>J34+'Tables 3 to 6'!$W19*Capacity_Contr_Wind</f>
        <v>39.588912433899274</v>
      </c>
      <c r="K16" s="103">
        <f>K34+'Tables 3 to 6'!$W19*Capacity_Contr_Wind</f>
        <v>36.447326672379241</v>
      </c>
      <c r="L16" s="103">
        <f>L34+'Tables 3 to 6'!$W19*Capacity_Contr_Wind</f>
        <v>36.753483280444478</v>
      </c>
      <c r="M16" s="104">
        <f>M34+'Tables 3 to 6'!$W19*Capacity_Contr_Wind</f>
        <v>35.770207823506155</v>
      </c>
    </row>
    <row r="17" spans="1:30" ht="12.75" customHeight="1" x14ac:dyDescent="0.2">
      <c r="A17" s="101">
        <f t="shared" si="0"/>
        <v>2021</v>
      </c>
      <c r="B17" s="102">
        <f>B35+'Tables 3 to 6'!$W20*Capacity_Contr_Wind</f>
        <v>38.480104860375384</v>
      </c>
      <c r="C17" s="103">
        <f>C35+'Tables 3 to 6'!$W20*Capacity_Contr_Wind</f>
        <v>40.358318149481356</v>
      </c>
      <c r="D17" s="103">
        <f>D35+'Tables 3 to 6'!$W20*Capacity_Contr_Wind</f>
        <v>39.294117487799156</v>
      </c>
      <c r="E17" s="103">
        <f>E35+'Tables 3 to 6'!$W20*Capacity_Contr_Wind</f>
        <v>38.127604014937575</v>
      </c>
      <c r="F17" s="104">
        <f>F35+'Tables 3 to 6'!$W20*Capacity_Contr_Wind</f>
        <v>36.493902215910758</v>
      </c>
      <c r="G17" s="103">
        <f>G35+'Tables 3 to 6'!$W20*Capacity_Contr_Wind</f>
        <v>38.313604329871964</v>
      </c>
      <c r="H17" s="103">
        <f>H35+'Tables 3 to 6'!$W20*Capacity_Contr_Wind</f>
        <v>45.326212015616221</v>
      </c>
      <c r="I17" s="103">
        <f>I35+'Tables 3 to 6'!$W20*Capacity_Contr_Wind</f>
        <v>45.637378623601315</v>
      </c>
      <c r="J17" s="104">
        <f>J35+'Tables 3 to 6'!$W20*Capacity_Contr_Wind</f>
        <v>41.776643730250825</v>
      </c>
      <c r="K17" s="103">
        <f>K35+'Tables 3 to 6'!$W20*Capacity_Contr_Wind</f>
        <v>40.242125271128934</v>
      </c>
      <c r="L17" s="103">
        <f>L35+'Tables 3 to 6'!$W20*Capacity_Contr_Wind</f>
        <v>43.397358349137335</v>
      </c>
      <c r="M17" s="104">
        <f>M35+'Tables 3 to 6'!$W20*Capacity_Contr_Wind</f>
        <v>43.528459342994097</v>
      </c>
    </row>
    <row r="18" spans="1:30" ht="12.75" customHeight="1" x14ac:dyDescent="0.2">
      <c r="A18" s="101">
        <f t="shared" si="0"/>
        <v>2022</v>
      </c>
      <c r="B18" s="102">
        <f>B36+'Tables 3 to 6'!$W21*Capacity_Contr_Wind</f>
        <v>40.572803922637945</v>
      </c>
      <c r="C18" s="103">
        <f>C36+'Tables 3 to 6'!$W21*Capacity_Contr_Wind</f>
        <v>39.796308586433071</v>
      </c>
      <c r="D18" s="103">
        <f>D36+'Tables 3 to 6'!$W21*Capacity_Contr_Wind</f>
        <v>40.348196430143297</v>
      </c>
      <c r="E18" s="103">
        <f>E36+'Tables 3 to 6'!$W21*Capacity_Contr_Wind</f>
        <v>36.962851079716287</v>
      </c>
      <c r="F18" s="104">
        <f>F36+'Tables 3 to 6'!$W21*Capacity_Contr_Wind</f>
        <v>36.467966120693603</v>
      </c>
      <c r="G18" s="103">
        <f>G36+'Tables 3 to 6'!$W21*Capacity_Contr_Wind</f>
        <v>39.622617893920008</v>
      </c>
      <c r="H18" s="103">
        <f>H36+'Tables 3 to 6'!$W21*Capacity_Contr_Wind</f>
        <v>46.100138398339482</v>
      </c>
      <c r="I18" s="103">
        <f>I36+'Tables 3 to 6'!$W21*Capacity_Contr_Wind</f>
        <v>45.517347923088906</v>
      </c>
      <c r="J18" s="104">
        <f>J36+'Tables 3 to 6'!$W21*Capacity_Contr_Wind</f>
        <v>41.224371532149448</v>
      </c>
      <c r="K18" s="103">
        <f>K36+'Tables 3 to 6'!$W21*Capacity_Contr_Wind</f>
        <v>40.031590841686018</v>
      </c>
      <c r="L18" s="103">
        <f>L36+'Tables 3 to 6'!$W21*Capacity_Contr_Wind</f>
        <v>40.567566880684595</v>
      </c>
      <c r="M18" s="104">
        <f>M36+'Tables 3 to 6'!$W21*Capacity_Contr_Wind</f>
        <v>42.793336395341989</v>
      </c>
    </row>
    <row r="19" spans="1:30" ht="12.75" customHeight="1" x14ac:dyDescent="0.2">
      <c r="A19" s="101">
        <f t="shared" si="0"/>
        <v>2023</v>
      </c>
      <c r="B19" s="102">
        <f>B37+'Tables 3 to 6'!$W22*Capacity_Contr_Wind</f>
        <v>40.859037522477522</v>
      </c>
      <c r="C19" s="103">
        <f>C37+'Tables 3 to 6'!$W22*Capacity_Contr_Wind</f>
        <v>40.381763552924994</v>
      </c>
      <c r="D19" s="103">
        <f>D37+'Tables 3 to 6'!$W22*Capacity_Contr_Wind</f>
        <v>40.146499045632417</v>
      </c>
      <c r="E19" s="103">
        <f>E37+'Tables 3 to 6'!$W22*Capacity_Contr_Wind</f>
        <v>38.282446519286438</v>
      </c>
      <c r="F19" s="104">
        <f>F37+'Tables 3 to 6'!$W22*Capacity_Contr_Wind</f>
        <v>37.227227018772147</v>
      </c>
      <c r="G19" s="103">
        <f>G37+'Tables 3 to 6'!$W22*Capacity_Contr_Wind</f>
        <v>39.572780524054501</v>
      </c>
      <c r="H19" s="103">
        <f>H37+'Tables 3 to 6'!$W22*Capacity_Contr_Wind</f>
        <v>46.660526815023346</v>
      </c>
      <c r="I19" s="103">
        <f>I37+'Tables 3 to 6'!$W22*Capacity_Contr_Wind</f>
        <v>46.12377940396167</v>
      </c>
      <c r="J19" s="104">
        <f>J37+'Tables 3 to 6'!$W22*Capacity_Contr_Wind</f>
        <v>40.241432937504683</v>
      </c>
      <c r="K19" s="103">
        <f>K37+'Tables 3 to 6'!$W22*Capacity_Contr_Wind</f>
        <v>40.747103756720854</v>
      </c>
      <c r="L19" s="103">
        <f>L37+'Tables 3 to 6'!$W22*Capacity_Contr_Wind</f>
        <v>42.49100448194163</v>
      </c>
      <c r="M19" s="104">
        <f>M37+'Tables 3 to 6'!$W22*Capacity_Contr_Wind</f>
        <v>44.848041666666219</v>
      </c>
    </row>
    <row r="20" spans="1:30" ht="12.75" customHeight="1" x14ac:dyDescent="0.2">
      <c r="A20" s="101">
        <f t="shared" si="0"/>
        <v>2024</v>
      </c>
      <c r="B20" s="102">
        <f>B38+'Tables 3 to 6'!$W23*Capacity_Contr_Wind</f>
        <v>44.315555698926701</v>
      </c>
      <c r="C20" s="103">
        <f>C38+'Tables 3 to 6'!$W23*Capacity_Contr_Wind</f>
        <v>43.837046860630181</v>
      </c>
      <c r="D20" s="103">
        <f>D38+'Tables 3 to 6'!$W23*Capacity_Contr_Wind</f>
        <v>43.26807785349969</v>
      </c>
      <c r="E20" s="103">
        <f>E38+'Tables 3 to 6'!$W23*Capacity_Contr_Wind</f>
        <v>40.831657086113097</v>
      </c>
      <c r="F20" s="104">
        <f>F38+'Tables 3 to 6'!$W23*Capacity_Contr_Wind</f>
        <v>39.155112236559361</v>
      </c>
      <c r="G20" s="103">
        <f>G38+'Tables 3 to 6'!$W23*Capacity_Contr_Wind</f>
        <v>42.019809319450459</v>
      </c>
      <c r="H20" s="103">
        <f>H38+'Tables 3 to 6'!$W23*Capacity_Contr_Wind</f>
        <v>50.045003293015434</v>
      </c>
      <c r="I20" s="103">
        <f>I38+'Tables 3 to 6'!$W23*Capacity_Contr_Wind</f>
        <v>50.997307612904592</v>
      </c>
      <c r="J20" s="104">
        <f>J38+'Tables 3 to 6'!$W23*Capacity_Contr_Wind</f>
        <v>43.731414245837932</v>
      </c>
      <c r="K20" s="103">
        <f>K38+'Tables 3 to 6'!$W23*Capacity_Contr_Wind</f>
        <v>44.296060318553295</v>
      </c>
      <c r="L20" s="103">
        <f>L38+'Tables 3 to 6'!$W23*Capacity_Contr_Wind</f>
        <v>44.995298706941973</v>
      </c>
      <c r="M20" s="104">
        <f>M38+'Tables 3 to 6'!$W23*Capacity_Contr_Wind</f>
        <v>46.296690403226854</v>
      </c>
    </row>
    <row r="21" spans="1:30" ht="12.75" customHeight="1" x14ac:dyDescent="0.2">
      <c r="A21" s="101">
        <f t="shared" si="0"/>
        <v>2025</v>
      </c>
      <c r="B21" s="102">
        <f>B39+'Tables 3 to 6'!$W24*Capacity_Contr_Wind</f>
        <v>48.184421900535817</v>
      </c>
      <c r="C21" s="103">
        <f>C39+'Tables 3 to 6'!$W24*Capacity_Contr_Wind</f>
        <v>47.100522946431632</v>
      </c>
      <c r="D21" s="103">
        <f>D39+'Tables 3 to 6'!$W24*Capacity_Contr_Wind</f>
        <v>45.490995752687446</v>
      </c>
      <c r="E21" s="103">
        <f>E39+'Tables 3 to 6'!$W24*Capacity_Contr_Wind</f>
        <v>42.580234013892046</v>
      </c>
      <c r="F21" s="104">
        <f>F39+'Tables 3 to 6'!$W24*Capacity_Contr_Wind</f>
        <v>41.98664662903294</v>
      </c>
      <c r="G21" s="103">
        <f>G39+'Tables 3 to 6'!$W24*Capacity_Contr_Wind</f>
        <v>45.264104944447844</v>
      </c>
      <c r="H21" s="103">
        <f>H39+'Tables 3 to 6'!$W24*Capacity_Contr_Wind</f>
        <v>53.480126448917161</v>
      </c>
      <c r="I21" s="103">
        <f>I39+'Tables 3 to 6'!$W24*Capacity_Contr_Wind</f>
        <v>54.80282300268469</v>
      </c>
      <c r="J21" s="104">
        <f>J39+'Tables 3 to 6'!$W24*Capacity_Contr_Wind</f>
        <v>47.912088412498598</v>
      </c>
      <c r="K21" s="103">
        <f>K39+'Tables 3 to 6'!$W24*Capacity_Contr_Wind</f>
        <v>46.355314094092769</v>
      </c>
      <c r="L21" s="103">
        <f>L39+'Tables 3 to 6'!$W24*Capacity_Contr_Wind</f>
        <v>47.685942659718457</v>
      </c>
      <c r="M21" s="104">
        <f>M39+'Tables 3 to 6'!$W24*Capacity_Contr_Wind</f>
        <v>49.123306354840466</v>
      </c>
    </row>
    <row r="22" spans="1:30" ht="12.75" customHeight="1" x14ac:dyDescent="0.2">
      <c r="A22" s="101">
        <f t="shared" si="0"/>
        <v>2026</v>
      </c>
      <c r="B22" s="102">
        <f>B40+'Tables 3 to 6'!$W25*Capacity_Contr_Wind</f>
        <v>49.53649015457399</v>
      </c>
      <c r="C22" s="103">
        <f>C40+'Tables 3 to 6'!$W25*Capacity_Contr_Wind</f>
        <v>48.531261380954334</v>
      </c>
      <c r="D22" s="103">
        <f>D40+'Tables 3 to 6'!$W25*Capacity_Contr_Wind</f>
        <v>46.642635309138605</v>
      </c>
      <c r="E22" s="103">
        <f>E40+'Tables 3 to 6'!$W25*Capacity_Contr_Wind</f>
        <v>44.96908544304884</v>
      </c>
      <c r="F22" s="104">
        <f>F40+'Tables 3 to 6'!$W25*Capacity_Contr_Wind</f>
        <v>43.320136819891232</v>
      </c>
      <c r="G22" s="103">
        <f>G40+'Tables 3 to 6'!$W25*Capacity_Contr_Wind</f>
        <v>47.534830022222465</v>
      </c>
      <c r="H22" s="103">
        <f>H40+'Tables 3 to 6'!$W25*Capacity_Contr_Wind</f>
        <v>55.697119302421967</v>
      </c>
      <c r="I22" s="103">
        <f>I40+'Tables 3 to 6'!$W25*Capacity_Contr_Wind</f>
        <v>57.275002966391781</v>
      </c>
      <c r="J22" s="104">
        <f>J40+'Tables 3 to 6'!$W25*Capacity_Contr_Wind</f>
        <v>50.246618083334631</v>
      </c>
      <c r="K22" s="103">
        <f>K40+'Tables 3 to 6'!$W25*Capacity_Contr_Wind</f>
        <v>47.784708229836113</v>
      </c>
      <c r="L22" s="103">
        <f>L40+'Tables 3 to 6'!$W25*Capacity_Contr_Wind</f>
        <v>49.285645020827651</v>
      </c>
      <c r="M22" s="104">
        <f>M40+'Tables 3 to 6'!$W25*Capacity_Contr_Wind</f>
        <v>51.514009806452897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187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'Table 2A BaseLoad'!H28-'Table 12'!$E9</f>
        <v>27.101705963456983</v>
      </c>
      <c r="I28" s="99">
        <f>'Table 2A BaseLoad'!I28-'Table 12'!$E9</f>
        <v>35.295848631025642</v>
      </c>
      <c r="J28" s="100">
        <f>'Table 2A BaseLoad'!J28-'Table 12'!$E9</f>
        <v>25.910631666121382</v>
      </c>
      <c r="K28" s="98">
        <f>'Table 2A BaseLoad'!K28-'Table 12'!$E9</f>
        <v>23.73687427577072</v>
      </c>
      <c r="L28" s="99">
        <f>'Table 2A BaseLoad'!L28-'Table 12'!$E9</f>
        <v>27.053941082687427</v>
      </c>
      <c r="M28" s="100">
        <f>'Table 2A BaseLoad'!M28-'Table 12'!$E9</f>
        <v>23.841059207748021</v>
      </c>
      <c r="O28" s="67"/>
    </row>
    <row r="29" spans="1:30" ht="12.75" customHeight="1" x14ac:dyDescent="0.2">
      <c r="A29" s="101">
        <f t="shared" ref="A29:A40" si="1">A28+1</f>
        <v>2015</v>
      </c>
      <c r="B29" s="102">
        <f>'Table 2A BaseLoad'!B29-'Table 12'!$E10</f>
        <v>32.667883668721359</v>
      </c>
      <c r="C29" s="103">
        <f>'Table 2A BaseLoad'!C29-'Table 12'!$E10</f>
        <v>33.106491595192679</v>
      </c>
      <c r="D29" s="103">
        <f>'Table 2A BaseLoad'!D29-'Table 12'!$E10</f>
        <v>38.80107180463731</v>
      </c>
      <c r="E29" s="103">
        <f>'Table 2A BaseLoad'!E29-'Table 12'!$E10</f>
        <v>23.790638593234537</v>
      </c>
      <c r="F29" s="103">
        <f>'Table 2A BaseLoad'!F29-'Table 12'!$E10</f>
        <v>21.250552599942814</v>
      </c>
      <c r="G29" s="102">
        <f>'Table 2A BaseLoad'!G29-'Table 12'!$E10</f>
        <v>23.109491736762639</v>
      </c>
      <c r="H29" s="103">
        <f>'Table 2A BaseLoad'!H29-'Table 12'!$E10</f>
        <v>31.089630708380415</v>
      </c>
      <c r="I29" s="103">
        <f>'Table 2A BaseLoad'!I29-'Table 12'!$E10</f>
        <v>33.377635305632822</v>
      </c>
      <c r="J29" s="104">
        <f>'Table 2A BaseLoad'!J29-'Table 12'!$E10</f>
        <v>28.658413685376033</v>
      </c>
      <c r="K29" s="102">
        <f>'Table 2A BaseLoad'!K29-'Table 12'!$E10</f>
        <v>25.897882065529064</v>
      </c>
      <c r="L29" s="103">
        <f>'Table 2A BaseLoad'!L29-'Table 12'!$E10</f>
        <v>27.83832273868223</v>
      </c>
      <c r="M29" s="104">
        <f>'Table 2A BaseLoad'!M29-'Table 12'!$E10</f>
        <v>32.785655722027663</v>
      </c>
      <c r="O29" s="67"/>
    </row>
    <row r="30" spans="1:30" ht="12.75" customHeight="1" x14ac:dyDescent="0.2">
      <c r="A30" s="101">
        <f t="shared" si="1"/>
        <v>2016</v>
      </c>
      <c r="B30" s="102">
        <f>'Table 2A BaseLoad'!B30-'Table 12'!$E11</f>
        <v>27.24519471011655</v>
      </c>
      <c r="C30" s="103">
        <f>'Table 2A BaseLoad'!C30-'Table 12'!$E11</f>
        <v>30.025304072244928</v>
      </c>
      <c r="D30" s="103">
        <f>'Table 2A BaseLoad'!D30-'Table 12'!$E11</f>
        <v>31.508745430300152</v>
      </c>
      <c r="E30" s="103">
        <f>'Table 2A BaseLoad'!E30-'Table 12'!$E11</f>
        <v>24.966918305655319</v>
      </c>
      <c r="F30" s="103">
        <f>'Table 2A BaseLoad'!F30-'Table 12'!$E11</f>
        <v>21.486123282628995</v>
      </c>
      <c r="G30" s="102">
        <f>'Table 2A BaseLoad'!G30-'Table 12'!$E11</f>
        <v>21.522551685631687</v>
      </c>
      <c r="H30" s="103">
        <f>'Table 2A BaseLoad'!H30-'Table 12'!$E11</f>
        <v>29.909617036567418</v>
      </c>
      <c r="I30" s="103">
        <f>'Table 2A BaseLoad'!I30-'Table 12'!$E11</f>
        <v>33.127001183410322</v>
      </c>
      <c r="J30" s="104">
        <f>'Table 2A BaseLoad'!J30-'Table 12'!$E11</f>
        <v>26.885837325275769</v>
      </c>
      <c r="K30" s="102">
        <f>'Table 2A BaseLoad'!K30-'Table 12'!$E11</f>
        <v>25.608494117866439</v>
      </c>
      <c r="L30" s="103">
        <f>'Table 2A BaseLoad'!L30-'Table 12'!$E11</f>
        <v>21.804762839213428</v>
      </c>
      <c r="M30" s="104">
        <f>'Table 2A BaseLoad'!M30-'Table 12'!$E11</f>
        <v>29.159755180794541</v>
      </c>
      <c r="N30" s="246"/>
      <c r="O30" s="67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'Table 2A BaseLoad'!B31-'Table 12'!$E12</f>
        <v>26.522569777392732</v>
      </c>
      <c r="C31" s="103">
        <f>'Table 2A BaseLoad'!C31-'Table 12'!$E12</f>
        <v>29.89859647900132</v>
      </c>
      <c r="D31" s="103">
        <f>'Table 2A BaseLoad'!D31-'Table 12'!$E12</f>
        <v>30.948454645677437</v>
      </c>
      <c r="E31" s="103">
        <f>'Table 2A BaseLoad'!E31-'Table 12'!$E12</f>
        <v>24.692636340771699</v>
      </c>
      <c r="F31" s="103">
        <f>'Table 2A BaseLoad'!F31-'Table 12'!$E12</f>
        <v>23.234503860353865</v>
      </c>
      <c r="G31" s="102">
        <f>'Table 2A BaseLoad'!G31-'Table 12'!$E12</f>
        <v>22.7229038706277</v>
      </c>
      <c r="H31" s="103">
        <f>'Table 2A BaseLoad'!H31-'Table 12'!$E12</f>
        <v>31.753903721842555</v>
      </c>
      <c r="I31" s="103">
        <f>'Table 2A BaseLoad'!I31-'Table 12'!$E12</f>
        <v>35.164465829230124</v>
      </c>
      <c r="J31" s="104">
        <f>'Table 2A BaseLoad'!J31-'Table 12'!$E12</f>
        <v>30.199973114257055</v>
      </c>
      <c r="K31" s="102">
        <f>'Table 2A BaseLoad'!K31-'Table 12'!$E12</f>
        <v>26.370057413968187</v>
      </c>
      <c r="L31" s="103">
        <f>'Table 2A BaseLoad'!L31-'Table 12'!$E12</f>
        <v>26.993280094212128</v>
      </c>
      <c r="M31" s="104">
        <f>'Table 2A BaseLoad'!M31-'Table 12'!$E12</f>
        <v>27.809594998020799</v>
      </c>
      <c r="N31" s="246"/>
      <c r="O31" s="67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'Table 2A BaseLoad'!B32-'Table 12'!$E13</f>
        <v>27.445108367773475</v>
      </c>
      <c r="C32" s="103">
        <f>'Table 2A BaseLoad'!C32-'Table 12'!$E13</f>
        <v>28.327723527503689</v>
      </c>
      <c r="D32" s="103">
        <f>'Table 2A BaseLoad'!D32-'Table 12'!$E13</f>
        <v>32.05469863633715</v>
      </c>
      <c r="E32" s="103">
        <f>'Table 2A BaseLoad'!E32-'Table 12'!$E13</f>
        <v>27.288929822413873</v>
      </c>
      <c r="F32" s="103">
        <f>'Table 2A BaseLoad'!F32-'Table 12'!$E13</f>
        <v>24.972939104416998</v>
      </c>
      <c r="G32" s="102">
        <f>'Table 2A BaseLoad'!G32-'Table 12'!$E13</f>
        <v>24.98849048982478</v>
      </c>
      <c r="H32" s="103">
        <f>'Table 2A BaseLoad'!H32-'Table 12'!$E13</f>
        <v>34.288313141607787</v>
      </c>
      <c r="I32" s="103">
        <f>'Table 2A BaseLoad'!I32-'Table 12'!$E13</f>
        <v>37.628499352461709</v>
      </c>
      <c r="J32" s="104">
        <f>'Table 2A BaseLoad'!J32-'Table 12'!$E13</f>
        <v>30.302049815720981</v>
      </c>
      <c r="K32" s="102">
        <f>'Table 2A BaseLoad'!K32-'Table 12'!$E13</f>
        <v>29.885487850287188</v>
      </c>
      <c r="L32" s="103">
        <f>'Table 2A BaseLoad'!L32-'Table 12'!$E13</f>
        <v>35.773977721966801</v>
      </c>
      <c r="M32" s="104">
        <f>'Table 2A BaseLoad'!M32-'Table 12'!$E13</f>
        <v>29.353157214550404</v>
      </c>
      <c r="N32" s="246"/>
      <c r="O32" s="67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'Table 2A BaseLoad'!B33-'Table 12'!$E14</f>
        <v>29.183796920313313</v>
      </c>
      <c r="C33" s="103">
        <f>'Table 2A BaseLoad'!C33-'Table 12'!$E14</f>
        <v>30.152442851754884</v>
      </c>
      <c r="D33" s="103">
        <f>'Table 2A BaseLoad'!D33-'Table 12'!$E14</f>
        <v>32.535733661502597</v>
      </c>
      <c r="E33" s="103">
        <f>'Table 2A BaseLoad'!E33-'Table 12'!$E14</f>
        <v>30.585712459418509</v>
      </c>
      <c r="F33" s="103">
        <f>'Table 2A BaseLoad'!F33-'Table 12'!$E14</f>
        <v>26.477429856843045</v>
      </c>
      <c r="G33" s="102">
        <f>'Table 2A BaseLoad'!G33-'Table 12'!$E14</f>
        <v>26.337854665906892</v>
      </c>
      <c r="H33" s="103">
        <f>'Table 2A BaseLoad'!H33-'Table 12'!$E14</f>
        <v>35.976447466562995</v>
      </c>
      <c r="I33" s="103">
        <f>'Table 2A BaseLoad'!I33-'Table 12'!$E14</f>
        <v>39.419064695218239</v>
      </c>
      <c r="J33" s="104">
        <f>'Table 2A BaseLoad'!J33-'Table 12'!$E14</f>
        <v>32.448748990535321</v>
      </c>
      <c r="K33" s="102">
        <f>'Table 2A BaseLoad'!K33-'Table 12'!$E14</f>
        <v>32.646477788865404</v>
      </c>
      <c r="L33" s="103">
        <f>'Table 2A BaseLoad'!L33-'Table 12'!$E14</f>
        <v>31.123980247183809</v>
      </c>
      <c r="M33" s="104">
        <f>'Table 2A BaseLoad'!M33-'Table 12'!$E14</f>
        <v>31.668310627672142</v>
      </c>
      <c r="N33" s="246"/>
      <c r="O33" s="67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'Table 2A BaseLoad'!B34-'Table 12'!$E15</f>
        <v>34.024641630005455</v>
      </c>
      <c r="C34" s="103">
        <f>'Table 2A BaseLoad'!C34-'Table 12'!$E15</f>
        <v>32.181307086134439</v>
      </c>
      <c r="D34" s="103">
        <f>'Table 2A BaseLoad'!D34-'Table 12'!$E15</f>
        <v>33.83954683781792</v>
      </c>
      <c r="E34" s="103">
        <f>'Table 2A BaseLoad'!E34-'Table 12'!$E15</f>
        <v>33.193768727373744</v>
      </c>
      <c r="F34" s="103">
        <f>'Table 2A BaseLoad'!F34-'Table 12'!$E15</f>
        <v>29.783690399267982</v>
      </c>
      <c r="G34" s="102">
        <f>'Table 2A BaseLoad'!G34-'Table 12'!$E15</f>
        <v>32.028284479263753</v>
      </c>
      <c r="H34" s="103">
        <f>'Table 2A BaseLoad'!H34-'Table 12'!$E15</f>
        <v>41.618239694104723</v>
      </c>
      <c r="I34" s="103">
        <f>'Table 2A BaseLoad'!I34-'Table 12'!$E15</f>
        <v>41.531051282460488</v>
      </c>
      <c r="J34" s="104">
        <f>'Table 2A BaseLoad'!J34-'Table 12'!$E15</f>
        <v>36.263812433899275</v>
      </c>
      <c r="K34" s="102">
        <f>'Table 2A BaseLoad'!K34-'Table 12'!$E15</f>
        <v>33.122226672379242</v>
      </c>
      <c r="L34" s="103">
        <f>'Table 2A BaseLoad'!L34-'Table 12'!$E15</f>
        <v>33.428383280444478</v>
      </c>
      <c r="M34" s="104">
        <f>'Table 2A BaseLoad'!M34-'Table 12'!$E15</f>
        <v>32.445107823506156</v>
      </c>
      <c r="N34" s="246"/>
      <c r="O34" s="67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'Table 2A BaseLoad'!B35-'Table 12'!$E16</f>
        <v>34.607654860375384</v>
      </c>
      <c r="C35" s="103">
        <f>'Table 2A BaseLoad'!C35-'Table 12'!$E16</f>
        <v>36.485868149481355</v>
      </c>
      <c r="D35" s="103">
        <f>'Table 2A BaseLoad'!D35-'Table 12'!$E16</f>
        <v>35.421667487799155</v>
      </c>
      <c r="E35" s="103">
        <f>'Table 2A BaseLoad'!E35-'Table 12'!$E16</f>
        <v>34.255154014937574</v>
      </c>
      <c r="F35" s="103">
        <f>'Table 2A BaseLoad'!F35-'Table 12'!$E16</f>
        <v>32.621452215910757</v>
      </c>
      <c r="G35" s="102">
        <f>'Table 2A BaseLoad'!G35-'Table 12'!$E16</f>
        <v>34.441154329871964</v>
      </c>
      <c r="H35" s="103">
        <f>'Table 2A BaseLoad'!H35-'Table 12'!$E16</f>
        <v>41.453762015616221</v>
      </c>
      <c r="I35" s="103">
        <f>'Table 2A BaseLoad'!I35-'Table 12'!$E16</f>
        <v>41.764928623601314</v>
      </c>
      <c r="J35" s="104">
        <f>'Table 2A BaseLoad'!J35-'Table 12'!$E16</f>
        <v>37.904193730250825</v>
      </c>
      <c r="K35" s="102">
        <f>'Table 2A BaseLoad'!K35-'Table 12'!$E16</f>
        <v>36.369675271128934</v>
      </c>
      <c r="L35" s="103">
        <f>'Table 2A BaseLoad'!L35-'Table 12'!$E16</f>
        <v>39.524908349137334</v>
      </c>
      <c r="M35" s="104">
        <f>'Table 2A BaseLoad'!M35-'Table 12'!$E16</f>
        <v>39.656009342994096</v>
      </c>
      <c r="N35" s="246"/>
      <c r="O35" s="67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'Table 2A BaseLoad'!B36-'Table 12'!$E17</f>
        <v>36.630653922637947</v>
      </c>
      <c r="C36" s="103">
        <f>'Table 2A BaseLoad'!C36-'Table 12'!$E17</f>
        <v>35.854158586433073</v>
      </c>
      <c r="D36" s="103">
        <f>'Table 2A BaseLoad'!D36-'Table 12'!$E17</f>
        <v>36.406046430143299</v>
      </c>
      <c r="E36" s="103">
        <f>'Table 2A BaseLoad'!E36-'Table 12'!$E17</f>
        <v>33.020701079716289</v>
      </c>
      <c r="F36" s="103">
        <f>'Table 2A BaseLoad'!F36-'Table 12'!$E17</f>
        <v>32.525816120693605</v>
      </c>
      <c r="G36" s="102">
        <f>'Table 2A BaseLoad'!G36-'Table 12'!$E17</f>
        <v>35.68046789392001</v>
      </c>
      <c r="H36" s="103">
        <f>'Table 2A BaseLoad'!H36-'Table 12'!$E17</f>
        <v>42.157988398339484</v>
      </c>
      <c r="I36" s="103">
        <f>'Table 2A BaseLoad'!I36-'Table 12'!$E17</f>
        <v>41.575197923088908</v>
      </c>
      <c r="J36" s="104">
        <f>'Table 2A BaseLoad'!J36-'Table 12'!$E17</f>
        <v>37.28222153214945</v>
      </c>
      <c r="K36" s="102">
        <f>'Table 2A BaseLoad'!K36-'Table 12'!$E17</f>
        <v>36.08944084168602</v>
      </c>
      <c r="L36" s="103">
        <f>'Table 2A BaseLoad'!L36-'Table 12'!$E17</f>
        <v>36.625416880684597</v>
      </c>
      <c r="M36" s="104">
        <f>'Table 2A BaseLoad'!M36-'Table 12'!$E17</f>
        <v>38.85118639534199</v>
      </c>
      <c r="N36" s="246"/>
      <c r="O36" s="67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'Table 2A BaseLoad'!B37-'Table 12'!$E18</f>
        <v>36.847187522477519</v>
      </c>
      <c r="C37" s="103">
        <f>'Table 2A BaseLoad'!C37-'Table 12'!$E18</f>
        <v>36.369913552924992</v>
      </c>
      <c r="D37" s="103">
        <f>'Table 2A BaseLoad'!D37-'Table 12'!$E18</f>
        <v>36.134649045632415</v>
      </c>
      <c r="E37" s="103">
        <f>'Table 2A BaseLoad'!E37-'Table 12'!$E18</f>
        <v>34.270596519286435</v>
      </c>
      <c r="F37" s="103">
        <f>'Table 2A BaseLoad'!F37-'Table 12'!$E18</f>
        <v>33.215377018772145</v>
      </c>
      <c r="G37" s="102">
        <f>'Table 2A BaseLoad'!G37-'Table 12'!$E18</f>
        <v>35.560930524054498</v>
      </c>
      <c r="H37" s="103">
        <f>'Table 2A BaseLoad'!H37-'Table 12'!$E18</f>
        <v>42.648676815023343</v>
      </c>
      <c r="I37" s="103">
        <f>'Table 2A BaseLoad'!I37-'Table 12'!$E18</f>
        <v>42.111929403961668</v>
      </c>
      <c r="J37" s="104">
        <f>'Table 2A BaseLoad'!J37-'Table 12'!$E18</f>
        <v>36.229582937504681</v>
      </c>
      <c r="K37" s="102">
        <f>'Table 2A BaseLoad'!K37-'Table 12'!$E18</f>
        <v>36.735253756720851</v>
      </c>
      <c r="L37" s="103">
        <f>'Table 2A BaseLoad'!L37-'Table 12'!$E18</f>
        <v>38.479154481941627</v>
      </c>
      <c r="M37" s="104">
        <f>'Table 2A BaseLoad'!M37-'Table 12'!$E18</f>
        <v>40.836191666666217</v>
      </c>
      <c r="N37" s="246"/>
      <c r="O37" s="67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'Table 2A BaseLoad'!B38-'Table 12'!$E19</f>
        <v>40.2299056989267</v>
      </c>
      <c r="C38" s="103">
        <f>'Table 2A BaseLoad'!C38-'Table 12'!$E19</f>
        <v>39.75139686063018</v>
      </c>
      <c r="D38" s="103">
        <f>'Table 2A BaseLoad'!D38-'Table 12'!$E19</f>
        <v>39.182427853499689</v>
      </c>
      <c r="E38" s="103">
        <f>'Table 2A BaseLoad'!E38-'Table 12'!$E19</f>
        <v>36.746007086113096</v>
      </c>
      <c r="F38" s="103">
        <f>'Table 2A BaseLoad'!F38-'Table 12'!$E19</f>
        <v>35.06946223655936</v>
      </c>
      <c r="G38" s="102">
        <f>'Table 2A BaseLoad'!G38-'Table 12'!$E19</f>
        <v>37.934159319450458</v>
      </c>
      <c r="H38" s="103">
        <f>'Table 2A BaseLoad'!H38-'Table 12'!$E19</f>
        <v>45.959353293015432</v>
      </c>
      <c r="I38" s="103">
        <f>'Table 2A BaseLoad'!I38-'Table 12'!$E19</f>
        <v>46.911657612904591</v>
      </c>
      <c r="J38" s="103">
        <f>'Table 2A BaseLoad'!J38-'Table 12'!$E19</f>
        <v>39.645764245837931</v>
      </c>
      <c r="K38" s="102">
        <f>'Table 2A BaseLoad'!K38-'Table 12'!$E19</f>
        <v>40.210410318553294</v>
      </c>
      <c r="L38" s="103">
        <f>'Table 2A BaseLoad'!L38-'Table 12'!$E19</f>
        <v>40.909648706941972</v>
      </c>
      <c r="M38" s="104">
        <f>'Table 2A BaseLoad'!M38-'Table 12'!$E19</f>
        <v>42.211040403226853</v>
      </c>
      <c r="N38" s="246"/>
      <c r="O38" s="6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'Table 2A BaseLoad'!B39-'Table 12'!$E20</f>
        <v>43.506321900535816</v>
      </c>
      <c r="C39" s="103">
        <f>'Table 2A BaseLoad'!C39-'Table 12'!$E20</f>
        <v>42.422422946431631</v>
      </c>
      <c r="D39" s="103">
        <f>'Table 2A BaseLoad'!D39-'Table 12'!$E20</f>
        <v>40.812895752687446</v>
      </c>
      <c r="E39" s="103">
        <f>'Table 2A BaseLoad'!E39-'Table 12'!$E20</f>
        <v>37.902134013892045</v>
      </c>
      <c r="F39" s="103">
        <f>'Table 2A BaseLoad'!F39-'Table 12'!$E20</f>
        <v>37.308546629032939</v>
      </c>
      <c r="G39" s="102">
        <f>'Table 2A BaseLoad'!G39-'Table 12'!$E20</f>
        <v>40.586004944447843</v>
      </c>
      <c r="H39" s="103">
        <f>'Table 2A BaseLoad'!H39-'Table 12'!$E20</f>
        <v>48.802026448917161</v>
      </c>
      <c r="I39" s="103">
        <f>'Table 2A BaseLoad'!I39-'Table 12'!$E20</f>
        <v>50.124723002684689</v>
      </c>
      <c r="J39" s="103">
        <f>'Table 2A BaseLoad'!J39-'Table 12'!$E20</f>
        <v>43.233988412498597</v>
      </c>
      <c r="K39" s="102">
        <f>'Table 2A BaseLoad'!K39-'Table 12'!$E20</f>
        <v>41.677214094092768</v>
      </c>
      <c r="L39" s="103">
        <f>'Table 2A BaseLoad'!L39-'Table 12'!$E20</f>
        <v>43.007842659718456</v>
      </c>
      <c r="M39" s="104">
        <f>'Table 2A BaseLoad'!M39-'Table 12'!$E20</f>
        <v>44.445206354840465</v>
      </c>
      <c r="N39" s="246"/>
      <c r="O39" s="67"/>
    </row>
    <row r="40" spans="1:26" ht="12.75" customHeight="1" x14ac:dyDescent="0.2">
      <c r="A40" s="101">
        <f t="shared" si="1"/>
        <v>2026</v>
      </c>
      <c r="B40" s="102">
        <f>'Table 2A BaseLoad'!B40-'Table 12'!$E21</f>
        <v>44.77024015457399</v>
      </c>
      <c r="C40" s="103">
        <f>'Table 2A BaseLoad'!C40-'Table 12'!$E21</f>
        <v>43.765011380954334</v>
      </c>
      <c r="D40" s="103">
        <f>'Table 2A BaseLoad'!D40-'Table 12'!$E21</f>
        <v>41.876385309138605</v>
      </c>
      <c r="E40" s="103">
        <f>'Table 2A BaseLoad'!E40-'Table 12'!$E21</f>
        <v>40.202835443048841</v>
      </c>
      <c r="F40" s="103">
        <f>'Table 2A BaseLoad'!F40-'Table 12'!$E21</f>
        <v>38.553886819891233</v>
      </c>
      <c r="G40" s="102">
        <f>'Table 2A BaseLoad'!G40-'Table 12'!$E21</f>
        <v>42.768580022222466</v>
      </c>
      <c r="H40" s="103">
        <f>'Table 2A BaseLoad'!H40-'Table 12'!$E21</f>
        <v>50.930869302421968</v>
      </c>
      <c r="I40" s="103">
        <f>'Table 2A BaseLoad'!I40-'Table 12'!$E21</f>
        <v>52.508752966391782</v>
      </c>
      <c r="J40" s="103">
        <f>'Table 2A BaseLoad'!J40-'Table 12'!$E21</f>
        <v>45.480368083334632</v>
      </c>
      <c r="K40" s="102">
        <f>'Table 2A BaseLoad'!K40-'Table 12'!$E21</f>
        <v>43.018458229836114</v>
      </c>
      <c r="L40" s="103">
        <f>'Table 2A BaseLoad'!L40-'Table 12'!$E21</f>
        <v>44.519395020827652</v>
      </c>
      <c r="M40" s="104">
        <f>'Table 2A BaseLoad'!M40-'Table 12'!$E21</f>
        <v>46.747759806452898</v>
      </c>
      <c r="N40" s="246"/>
      <c r="O40" s="67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186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>H10*0.56+H28*0.44</f>
        <v>29.001645963456987</v>
      </c>
      <c r="I46" s="99">
        <f t="shared" ref="I46:M46" si="2">I10*0.56+I28*0.44</f>
        <v>37.195788631025643</v>
      </c>
      <c r="J46" s="99">
        <f t="shared" si="2"/>
        <v>27.810571666121383</v>
      </c>
      <c r="K46" s="98">
        <f t="shared" si="2"/>
        <v>25.636814275770721</v>
      </c>
      <c r="L46" s="99">
        <f t="shared" si="2"/>
        <v>28.953881082687431</v>
      </c>
      <c r="M46" s="100">
        <f t="shared" si="2"/>
        <v>25.740999207748025</v>
      </c>
    </row>
    <row r="47" spans="1:26" ht="12.75" customHeight="1" x14ac:dyDescent="0.2">
      <c r="A47" s="101">
        <f t="shared" ref="A47:A58" si="3">A46+1</f>
        <v>2015</v>
      </c>
      <c r="B47" s="102">
        <f>B11*0.56+B29*0.44</f>
        <v>34.129287668721361</v>
      </c>
      <c r="C47" s="103">
        <f t="shared" ref="C47:M47" si="4">C11*0.56+C29*0.44</f>
        <v>34.567895595192681</v>
      </c>
      <c r="D47" s="103">
        <f t="shared" si="4"/>
        <v>40.262475804637312</v>
      </c>
      <c r="E47" s="103">
        <f t="shared" si="4"/>
        <v>25.252042593234535</v>
      </c>
      <c r="F47" s="103">
        <f t="shared" si="4"/>
        <v>22.711956599942816</v>
      </c>
      <c r="G47" s="102">
        <f t="shared" si="4"/>
        <v>24.57089573676264</v>
      </c>
      <c r="H47" s="103">
        <f t="shared" si="4"/>
        <v>32.551034708380413</v>
      </c>
      <c r="I47" s="103">
        <f t="shared" si="4"/>
        <v>34.839039305632824</v>
      </c>
      <c r="J47" s="103">
        <f t="shared" si="4"/>
        <v>30.119817685376034</v>
      </c>
      <c r="K47" s="102">
        <f t="shared" si="4"/>
        <v>27.359286065529062</v>
      </c>
      <c r="L47" s="103">
        <f t="shared" si="4"/>
        <v>29.299726738682232</v>
      </c>
      <c r="M47" s="104">
        <f t="shared" si="4"/>
        <v>34.247059722027664</v>
      </c>
    </row>
    <row r="48" spans="1:26" ht="12.75" customHeight="1" x14ac:dyDescent="0.2">
      <c r="A48" s="101">
        <f t="shared" si="3"/>
        <v>2016</v>
      </c>
      <c r="B48" s="102">
        <f t="shared" ref="B48:M58" si="5">B12*0.56+B30*0.44</f>
        <v>28.733002710116551</v>
      </c>
      <c r="C48" s="103">
        <f t="shared" si="5"/>
        <v>31.51311207224493</v>
      </c>
      <c r="D48" s="103">
        <f t="shared" si="5"/>
        <v>32.996553430300153</v>
      </c>
      <c r="E48" s="103">
        <f t="shared" si="5"/>
        <v>26.454726305655321</v>
      </c>
      <c r="F48" s="103">
        <f t="shared" si="5"/>
        <v>22.973931282628996</v>
      </c>
      <c r="G48" s="102">
        <f t="shared" si="5"/>
        <v>23.010359685631691</v>
      </c>
      <c r="H48" s="103">
        <f t="shared" si="5"/>
        <v>31.397425036567419</v>
      </c>
      <c r="I48" s="103">
        <f t="shared" si="5"/>
        <v>34.614809183410323</v>
      </c>
      <c r="J48" s="103">
        <f t="shared" si="5"/>
        <v>28.373645325275774</v>
      </c>
      <c r="K48" s="102">
        <f t="shared" si="5"/>
        <v>27.096302117866443</v>
      </c>
      <c r="L48" s="103">
        <f t="shared" si="5"/>
        <v>23.292570839213429</v>
      </c>
      <c r="M48" s="104">
        <f t="shared" si="5"/>
        <v>30.647563180794542</v>
      </c>
    </row>
    <row r="49" spans="1:13" ht="12.75" customHeight="1" x14ac:dyDescent="0.2">
      <c r="A49" s="101">
        <f t="shared" si="3"/>
        <v>2017</v>
      </c>
      <c r="B49" s="102">
        <f t="shared" si="5"/>
        <v>28.036781777392733</v>
      </c>
      <c r="C49" s="103">
        <f t="shared" si="5"/>
        <v>31.41280847900132</v>
      </c>
      <c r="D49" s="103">
        <f t="shared" si="5"/>
        <v>32.462666645677437</v>
      </c>
      <c r="E49" s="103">
        <f t="shared" si="5"/>
        <v>26.2068483407717</v>
      </c>
      <c r="F49" s="103">
        <f t="shared" si="5"/>
        <v>24.748715860353865</v>
      </c>
      <c r="G49" s="102">
        <f t="shared" si="5"/>
        <v>24.237115870627701</v>
      </c>
      <c r="H49" s="103">
        <f t="shared" si="5"/>
        <v>33.268115721842555</v>
      </c>
      <c r="I49" s="103">
        <f t="shared" si="5"/>
        <v>36.678677829230125</v>
      </c>
      <c r="J49" s="103">
        <f t="shared" si="5"/>
        <v>31.714185114257056</v>
      </c>
      <c r="K49" s="102">
        <f t="shared" si="5"/>
        <v>27.884269413968187</v>
      </c>
      <c r="L49" s="103">
        <f t="shared" si="5"/>
        <v>28.507492094212129</v>
      </c>
      <c r="M49" s="104">
        <f t="shared" si="5"/>
        <v>29.3238069980208</v>
      </c>
    </row>
    <row r="50" spans="1:13" ht="12.75" customHeight="1" x14ac:dyDescent="0.2">
      <c r="A50" s="101">
        <f t="shared" si="3"/>
        <v>2018</v>
      </c>
      <c r="B50" s="102">
        <f t="shared" si="5"/>
        <v>29.244024367773477</v>
      </c>
      <c r="C50" s="103">
        <f t="shared" si="5"/>
        <v>30.126639527503691</v>
      </c>
      <c r="D50" s="103">
        <f t="shared" si="5"/>
        <v>33.853614636337156</v>
      </c>
      <c r="E50" s="103">
        <f t="shared" si="5"/>
        <v>29.087845822413875</v>
      </c>
      <c r="F50" s="103">
        <f t="shared" si="5"/>
        <v>26.771855104417</v>
      </c>
      <c r="G50" s="102">
        <f t="shared" si="5"/>
        <v>26.787406489824782</v>
      </c>
      <c r="H50" s="103">
        <f t="shared" si="5"/>
        <v>36.087229141607793</v>
      </c>
      <c r="I50" s="103">
        <f t="shared" si="5"/>
        <v>39.427415352461708</v>
      </c>
      <c r="J50" s="103">
        <f t="shared" si="5"/>
        <v>32.100965815720983</v>
      </c>
      <c r="K50" s="102">
        <f t="shared" si="5"/>
        <v>31.68440385028719</v>
      </c>
      <c r="L50" s="103">
        <f t="shared" si="5"/>
        <v>37.572893721966807</v>
      </c>
      <c r="M50" s="104">
        <f t="shared" si="5"/>
        <v>31.152073214550406</v>
      </c>
    </row>
    <row r="51" spans="1:13" ht="12.75" customHeight="1" x14ac:dyDescent="0.2">
      <c r="A51" s="101">
        <f t="shared" si="3"/>
        <v>2019</v>
      </c>
      <c r="B51" s="102">
        <f t="shared" si="5"/>
        <v>31.012560920313316</v>
      </c>
      <c r="C51" s="103">
        <f t="shared" si="5"/>
        <v>31.981206851754884</v>
      </c>
      <c r="D51" s="103">
        <f t="shared" si="5"/>
        <v>34.364497661502597</v>
      </c>
      <c r="E51" s="103">
        <f t="shared" si="5"/>
        <v>32.414476459418516</v>
      </c>
      <c r="F51" s="103">
        <f t="shared" si="5"/>
        <v>28.306193856843045</v>
      </c>
      <c r="G51" s="102">
        <f t="shared" si="5"/>
        <v>28.166618665906896</v>
      </c>
      <c r="H51" s="103">
        <f t="shared" si="5"/>
        <v>37.805211466562994</v>
      </c>
      <c r="I51" s="103">
        <f t="shared" si="5"/>
        <v>41.247828695218246</v>
      </c>
      <c r="J51" s="103">
        <f t="shared" si="5"/>
        <v>34.277512990535328</v>
      </c>
      <c r="K51" s="102">
        <f t="shared" si="5"/>
        <v>34.475241788865404</v>
      </c>
      <c r="L51" s="103">
        <f t="shared" si="5"/>
        <v>32.952744247183816</v>
      </c>
      <c r="M51" s="104">
        <f t="shared" si="5"/>
        <v>33.497074627672148</v>
      </c>
    </row>
    <row r="52" spans="1:13" ht="12.75" customHeight="1" x14ac:dyDescent="0.2">
      <c r="A52" s="101">
        <f t="shared" si="3"/>
        <v>2020</v>
      </c>
      <c r="B52" s="102">
        <f t="shared" si="5"/>
        <v>35.886697630005457</v>
      </c>
      <c r="C52" s="103">
        <f t="shared" si="5"/>
        <v>34.043363086134441</v>
      </c>
      <c r="D52" s="103">
        <f t="shared" si="5"/>
        <v>35.701602837817923</v>
      </c>
      <c r="E52" s="103">
        <f t="shared" si="5"/>
        <v>35.055824727373746</v>
      </c>
      <c r="F52" s="103">
        <f t="shared" si="5"/>
        <v>31.645746399267985</v>
      </c>
      <c r="G52" s="102">
        <f t="shared" si="5"/>
        <v>33.890340479263756</v>
      </c>
      <c r="H52" s="103">
        <f t="shared" si="5"/>
        <v>43.480295694104726</v>
      </c>
      <c r="I52" s="103">
        <f t="shared" si="5"/>
        <v>43.393107282460491</v>
      </c>
      <c r="J52" s="103">
        <f t="shared" si="5"/>
        <v>38.125868433899278</v>
      </c>
      <c r="K52" s="102">
        <f t="shared" si="5"/>
        <v>34.984282672379244</v>
      </c>
      <c r="L52" s="103">
        <f t="shared" si="5"/>
        <v>35.290439280444481</v>
      </c>
      <c r="M52" s="104">
        <f t="shared" si="5"/>
        <v>34.307163823506158</v>
      </c>
    </row>
    <row r="53" spans="1:13" ht="12.75" customHeight="1" x14ac:dyDescent="0.2">
      <c r="A53" s="101">
        <f t="shared" si="3"/>
        <v>2021</v>
      </c>
      <c r="B53" s="102">
        <f t="shared" si="5"/>
        <v>36.776226860375388</v>
      </c>
      <c r="C53" s="103">
        <f t="shared" si="5"/>
        <v>38.65444014948136</v>
      </c>
      <c r="D53" s="103">
        <f t="shared" si="5"/>
        <v>37.590239487799153</v>
      </c>
      <c r="E53" s="103">
        <f t="shared" si="5"/>
        <v>36.423726014937579</v>
      </c>
      <c r="F53" s="103">
        <f t="shared" si="5"/>
        <v>34.790024215910762</v>
      </c>
      <c r="G53" s="102">
        <f t="shared" si="5"/>
        <v>36.609726329871968</v>
      </c>
      <c r="H53" s="103">
        <f t="shared" si="5"/>
        <v>43.622334015616225</v>
      </c>
      <c r="I53" s="103">
        <f t="shared" si="5"/>
        <v>43.933500623601319</v>
      </c>
      <c r="J53" s="103">
        <f t="shared" si="5"/>
        <v>40.072765730250822</v>
      </c>
      <c r="K53" s="102">
        <f t="shared" si="5"/>
        <v>38.538247271128938</v>
      </c>
      <c r="L53" s="103">
        <f t="shared" si="5"/>
        <v>41.693480349137332</v>
      </c>
      <c r="M53" s="104">
        <f t="shared" si="5"/>
        <v>41.824581342994101</v>
      </c>
    </row>
    <row r="54" spans="1:13" ht="12.75" customHeight="1" x14ac:dyDescent="0.2">
      <c r="A54" s="101">
        <f t="shared" si="3"/>
        <v>2022</v>
      </c>
      <c r="B54" s="102">
        <f t="shared" si="5"/>
        <v>38.838257922637951</v>
      </c>
      <c r="C54" s="103">
        <f t="shared" si="5"/>
        <v>38.061762586433076</v>
      </c>
      <c r="D54" s="103">
        <f t="shared" si="5"/>
        <v>38.613650430143295</v>
      </c>
      <c r="E54" s="103">
        <f t="shared" si="5"/>
        <v>35.228305079716293</v>
      </c>
      <c r="F54" s="103">
        <f t="shared" si="5"/>
        <v>34.733420120693609</v>
      </c>
      <c r="G54" s="102">
        <f t="shared" si="5"/>
        <v>37.888071893920014</v>
      </c>
      <c r="H54" s="103">
        <f t="shared" si="5"/>
        <v>44.365592398339487</v>
      </c>
      <c r="I54" s="103">
        <f t="shared" si="5"/>
        <v>43.782801923088911</v>
      </c>
      <c r="J54" s="103">
        <f t="shared" si="5"/>
        <v>39.489825532149453</v>
      </c>
      <c r="K54" s="102">
        <f t="shared" si="5"/>
        <v>38.297044841686024</v>
      </c>
      <c r="L54" s="103">
        <f t="shared" si="5"/>
        <v>38.8330208806846</v>
      </c>
      <c r="M54" s="104">
        <f t="shared" si="5"/>
        <v>41.058790395341994</v>
      </c>
    </row>
    <row r="55" spans="1:13" ht="12.75" customHeight="1" x14ac:dyDescent="0.2">
      <c r="A55" s="101">
        <f t="shared" si="3"/>
        <v>2023</v>
      </c>
      <c r="B55" s="102">
        <f t="shared" si="5"/>
        <v>39.093823522477521</v>
      </c>
      <c r="C55" s="103">
        <f t="shared" si="5"/>
        <v>38.616549552924994</v>
      </c>
      <c r="D55" s="103">
        <f t="shared" si="5"/>
        <v>38.381285045632417</v>
      </c>
      <c r="E55" s="103">
        <f t="shared" si="5"/>
        <v>36.517232519286438</v>
      </c>
      <c r="F55" s="103">
        <f t="shared" si="5"/>
        <v>35.462013018772147</v>
      </c>
      <c r="G55" s="102">
        <f t="shared" si="5"/>
        <v>37.807566524054501</v>
      </c>
      <c r="H55" s="103">
        <f t="shared" si="5"/>
        <v>44.895312815023345</v>
      </c>
      <c r="I55" s="103">
        <f t="shared" si="5"/>
        <v>44.35856540396167</v>
      </c>
      <c r="J55" s="103">
        <f t="shared" si="5"/>
        <v>38.476218937504683</v>
      </c>
      <c r="K55" s="102">
        <f t="shared" si="5"/>
        <v>38.981889756720861</v>
      </c>
      <c r="L55" s="103">
        <f t="shared" si="5"/>
        <v>40.72579048194163</v>
      </c>
      <c r="M55" s="104">
        <f t="shared" si="5"/>
        <v>43.082827666666219</v>
      </c>
    </row>
    <row r="56" spans="1:13" ht="12.75" customHeight="1" x14ac:dyDescent="0.2">
      <c r="A56" s="101">
        <f t="shared" si="3"/>
        <v>2024</v>
      </c>
      <c r="B56" s="102">
        <f t="shared" si="5"/>
        <v>42.517869698926702</v>
      </c>
      <c r="C56" s="103">
        <f t="shared" si="5"/>
        <v>42.039360860630183</v>
      </c>
      <c r="D56" s="103">
        <f t="shared" si="5"/>
        <v>41.470391853499692</v>
      </c>
      <c r="E56" s="103">
        <f t="shared" si="5"/>
        <v>39.033971086113098</v>
      </c>
      <c r="F56" s="103">
        <f t="shared" si="5"/>
        <v>37.357426236559363</v>
      </c>
      <c r="G56" s="102">
        <f t="shared" si="5"/>
        <v>40.222123319450461</v>
      </c>
      <c r="H56" s="103">
        <f t="shared" si="5"/>
        <v>48.247317293015435</v>
      </c>
      <c r="I56" s="103">
        <f t="shared" si="5"/>
        <v>49.199621612904593</v>
      </c>
      <c r="J56" s="103">
        <f t="shared" si="5"/>
        <v>41.933728245837941</v>
      </c>
      <c r="K56" s="102">
        <f t="shared" si="5"/>
        <v>42.498374318553296</v>
      </c>
      <c r="L56" s="103">
        <f t="shared" si="5"/>
        <v>43.197612706941975</v>
      </c>
      <c r="M56" s="104">
        <f t="shared" si="5"/>
        <v>44.499004403226856</v>
      </c>
    </row>
    <row r="57" spans="1:13" ht="12.75" customHeight="1" x14ac:dyDescent="0.2">
      <c r="A57" s="101">
        <f t="shared" si="3"/>
        <v>2025</v>
      </c>
      <c r="B57" s="102">
        <f t="shared" si="5"/>
        <v>46.12605790053582</v>
      </c>
      <c r="C57" s="103">
        <f t="shared" si="5"/>
        <v>45.042158946431634</v>
      </c>
      <c r="D57" s="103">
        <f t="shared" si="5"/>
        <v>43.432631752687449</v>
      </c>
      <c r="E57" s="103">
        <f t="shared" si="5"/>
        <v>40.521870013892041</v>
      </c>
      <c r="F57" s="103">
        <f t="shared" si="5"/>
        <v>39.928282629032942</v>
      </c>
      <c r="G57" s="102">
        <f t="shared" si="5"/>
        <v>43.20574094444784</v>
      </c>
      <c r="H57" s="103">
        <f t="shared" si="5"/>
        <v>51.421762448917164</v>
      </c>
      <c r="I57" s="103">
        <f t="shared" si="5"/>
        <v>52.744459002684692</v>
      </c>
      <c r="J57" s="103">
        <f t="shared" si="5"/>
        <v>45.8537244124986</v>
      </c>
      <c r="K57" s="102">
        <f t="shared" si="5"/>
        <v>44.296950094092772</v>
      </c>
      <c r="L57" s="103">
        <f t="shared" si="5"/>
        <v>45.627578659718459</v>
      </c>
      <c r="M57" s="104">
        <f t="shared" si="5"/>
        <v>47.064942354840468</v>
      </c>
    </row>
    <row r="58" spans="1:13" ht="12.75" customHeight="1" x14ac:dyDescent="0.2">
      <c r="A58" s="101">
        <f t="shared" si="3"/>
        <v>2026</v>
      </c>
      <c r="B58" s="102">
        <f t="shared" si="5"/>
        <v>47.439340154573998</v>
      </c>
      <c r="C58" s="103">
        <f t="shared" si="5"/>
        <v>46.434111380954334</v>
      </c>
      <c r="D58" s="103">
        <f t="shared" si="5"/>
        <v>44.545485309138606</v>
      </c>
      <c r="E58" s="103">
        <f t="shared" si="5"/>
        <v>42.871935443048841</v>
      </c>
      <c r="F58" s="103">
        <f t="shared" si="5"/>
        <v>41.222986819891233</v>
      </c>
      <c r="G58" s="102">
        <f t="shared" si="5"/>
        <v>45.437680022222466</v>
      </c>
      <c r="H58" s="103">
        <f t="shared" si="5"/>
        <v>53.599969302421968</v>
      </c>
      <c r="I58" s="103">
        <f t="shared" si="5"/>
        <v>55.177852966391782</v>
      </c>
      <c r="J58" s="103">
        <f t="shared" si="5"/>
        <v>48.149468083334632</v>
      </c>
      <c r="K58" s="102">
        <f t="shared" si="5"/>
        <v>45.687558229836114</v>
      </c>
      <c r="L58" s="103">
        <f t="shared" si="5"/>
        <v>47.188495020827659</v>
      </c>
      <c r="M58" s="104">
        <f t="shared" si="5"/>
        <v>49.416859806452905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4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4" s="70" customFormat="1" ht="12.75" customHeight="1" x14ac:dyDescent="0.2">
      <c r="A66" s="113">
        <f t="shared" ref="A66:A78" si="6">A10</f>
        <v>2014</v>
      </c>
      <c r="C66" s="77">
        <f>ROUND(AVERAGE(B10:F10,K10:M10),2)</f>
        <v>28.27</v>
      </c>
      <c r="D66" s="77">
        <f t="shared" ref="D66:D78" si="7">ROUND(AVERAGE(B28:F28,K28:M28),2)</f>
        <v>24.88</v>
      </c>
      <c r="E66" s="77">
        <f>ROUND(AVERAGE(B46:F46,K46:M46),2)</f>
        <v>26.78</v>
      </c>
      <c r="G66" s="103">
        <f t="shared" ref="G66:G78" si="8">ROUND(AVERAGE(G10:J10),2)</f>
        <v>32.83</v>
      </c>
      <c r="H66" s="103">
        <f t="shared" ref="H66:H78" si="9">ROUND(AVERAGE(G28:J28),2)</f>
        <v>29.44</v>
      </c>
      <c r="I66" s="103">
        <f>ROUND(AVERAGE(G46:J46),2)</f>
        <v>31.34</v>
      </c>
      <c r="K66" s="77">
        <f t="shared" ref="K66:K78" si="10">ROUND(AVERAGE(B10:M10),2)</f>
        <v>30.55</v>
      </c>
      <c r="L66" s="77">
        <f t="shared" ref="L66:L78" si="11">ROUND(AVERAGE(B28:M28),2)</f>
        <v>27.16</v>
      </c>
      <c r="M66" s="77">
        <f>ROUND(AVERAGE(B46:M46),2)</f>
        <v>29.06</v>
      </c>
    </row>
    <row r="67" spans="1:14" s="70" customFormat="1" ht="12.75" customHeight="1" x14ac:dyDescent="0.2">
      <c r="A67" s="113">
        <f t="shared" si="6"/>
        <v>2015</v>
      </c>
      <c r="C67" s="77">
        <f t="shared" ref="C67:C78" si="12">ROUND(AVERAGE(B11:F11,K11:M11),2)</f>
        <v>32.130000000000003</v>
      </c>
      <c r="D67" s="77">
        <f t="shared" si="7"/>
        <v>29.52</v>
      </c>
      <c r="E67" s="77">
        <f>ROUND(AVERAGE(B47:F47,K47:M47),2)</f>
        <v>30.98</v>
      </c>
      <c r="G67" s="103">
        <f t="shared" si="8"/>
        <v>31.67</v>
      </c>
      <c r="H67" s="103">
        <f t="shared" si="9"/>
        <v>29.06</v>
      </c>
      <c r="I67" s="103">
        <f>ROUND(AVERAGE(G47:J47),2)</f>
        <v>30.52</v>
      </c>
      <c r="K67" s="77">
        <f t="shared" si="10"/>
        <v>31.97</v>
      </c>
      <c r="L67" s="77">
        <f t="shared" si="11"/>
        <v>29.36</v>
      </c>
      <c r="M67" s="77">
        <f>ROUND(AVERAGE(B47:M47),2)</f>
        <v>30.83</v>
      </c>
    </row>
    <row r="68" spans="1:14" s="70" customFormat="1" ht="12.75" customHeight="1" x14ac:dyDescent="0.2">
      <c r="A68" s="113">
        <f t="shared" si="6"/>
        <v>2016</v>
      </c>
      <c r="C68" s="77">
        <f t="shared" si="12"/>
        <v>29.13</v>
      </c>
      <c r="D68" s="77">
        <f t="shared" si="7"/>
        <v>26.48</v>
      </c>
      <c r="E68" s="77">
        <f t="shared" ref="E68:E78" si="13">ROUND(AVERAGE(B48:F48,K48:M48),2)</f>
        <v>27.96</v>
      </c>
      <c r="G68" s="103">
        <f t="shared" si="8"/>
        <v>30.52</v>
      </c>
      <c r="H68" s="103">
        <f t="shared" si="9"/>
        <v>27.86</v>
      </c>
      <c r="I68" s="103">
        <f t="shared" ref="I68:I78" si="14">ROUND(AVERAGE(G48:J48),2)</f>
        <v>29.35</v>
      </c>
      <c r="K68" s="77">
        <f t="shared" si="10"/>
        <v>29.59</v>
      </c>
      <c r="L68" s="77">
        <f t="shared" si="11"/>
        <v>26.94</v>
      </c>
      <c r="M68" s="77">
        <f t="shared" ref="M68:M78" si="15">ROUND(AVERAGE(B48:M48),2)</f>
        <v>28.43</v>
      </c>
    </row>
    <row r="69" spans="1:14" s="70" customFormat="1" ht="12.75" customHeight="1" x14ac:dyDescent="0.2">
      <c r="A69" s="113">
        <f t="shared" si="6"/>
        <v>2017</v>
      </c>
      <c r="C69" s="77">
        <f t="shared" si="12"/>
        <v>29.76</v>
      </c>
      <c r="D69" s="77">
        <f t="shared" si="7"/>
        <v>27.06</v>
      </c>
      <c r="E69" s="77">
        <f t="shared" si="13"/>
        <v>28.57</v>
      </c>
      <c r="G69" s="103">
        <f t="shared" si="8"/>
        <v>32.659999999999997</v>
      </c>
      <c r="H69" s="103">
        <f t="shared" si="9"/>
        <v>29.96</v>
      </c>
      <c r="I69" s="103">
        <f t="shared" si="14"/>
        <v>31.47</v>
      </c>
      <c r="K69" s="77">
        <f t="shared" si="10"/>
        <v>30.73</v>
      </c>
      <c r="L69" s="77">
        <f t="shared" si="11"/>
        <v>28.03</v>
      </c>
      <c r="M69" s="77">
        <f t="shared" si="15"/>
        <v>29.54</v>
      </c>
    </row>
    <row r="70" spans="1:14" s="70" customFormat="1" ht="12.75" customHeight="1" x14ac:dyDescent="0.2">
      <c r="A70" s="113">
        <f t="shared" si="6"/>
        <v>2018</v>
      </c>
      <c r="C70" s="77">
        <f t="shared" si="12"/>
        <v>32.6</v>
      </c>
      <c r="D70" s="77">
        <f t="shared" si="7"/>
        <v>29.39</v>
      </c>
      <c r="E70" s="77">
        <f t="shared" si="13"/>
        <v>31.19</v>
      </c>
      <c r="G70" s="103">
        <f t="shared" si="8"/>
        <v>35.01</v>
      </c>
      <c r="H70" s="103">
        <f t="shared" si="9"/>
        <v>31.8</v>
      </c>
      <c r="I70" s="103">
        <f t="shared" si="14"/>
        <v>33.6</v>
      </c>
      <c r="K70" s="77">
        <f t="shared" si="10"/>
        <v>33.4</v>
      </c>
      <c r="L70" s="77">
        <f t="shared" si="11"/>
        <v>30.19</v>
      </c>
      <c r="M70" s="77">
        <f t="shared" si="15"/>
        <v>31.99</v>
      </c>
    </row>
    <row r="71" spans="1:14" s="70" customFormat="1" ht="12.75" customHeight="1" x14ac:dyDescent="0.2">
      <c r="A71" s="113">
        <f t="shared" si="6"/>
        <v>2019</v>
      </c>
      <c r="C71" s="77">
        <f t="shared" si="12"/>
        <v>33.81</v>
      </c>
      <c r="D71" s="77">
        <f t="shared" si="7"/>
        <v>30.55</v>
      </c>
      <c r="E71" s="77">
        <f t="shared" si="13"/>
        <v>32.380000000000003</v>
      </c>
      <c r="G71" s="103">
        <f t="shared" si="8"/>
        <v>36.81</v>
      </c>
      <c r="H71" s="103">
        <f t="shared" si="9"/>
        <v>33.549999999999997</v>
      </c>
      <c r="I71" s="103">
        <f t="shared" si="14"/>
        <v>35.369999999999997</v>
      </c>
      <c r="K71" s="77">
        <f t="shared" si="10"/>
        <v>34.81</v>
      </c>
      <c r="L71" s="77">
        <f t="shared" si="11"/>
        <v>31.55</v>
      </c>
      <c r="M71" s="77">
        <f t="shared" si="15"/>
        <v>33.380000000000003</v>
      </c>
    </row>
    <row r="72" spans="1:14" s="70" customFormat="1" ht="12.75" customHeight="1" x14ac:dyDescent="0.2">
      <c r="A72" s="113">
        <f t="shared" si="6"/>
        <v>2020</v>
      </c>
      <c r="C72" s="77">
        <f t="shared" si="12"/>
        <v>36.08</v>
      </c>
      <c r="D72" s="77">
        <f t="shared" si="7"/>
        <v>32.75</v>
      </c>
      <c r="E72" s="77">
        <f t="shared" si="13"/>
        <v>34.61</v>
      </c>
      <c r="G72" s="103">
        <f t="shared" si="8"/>
        <v>41.19</v>
      </c>
      <c r="H72" s="103">
        <f t="shared" si="9"/>
        <v>37.86</v>
      </c>
      <c r="I72" s="103">
        <f t="shared" si="14"/>
        <v>39.72</v>
      </c>
      <c r="K72" s="77">
        <f t="shared" si="10"/>
        <v>37.78</v>
      </c>
      <c r="L72" s="77">
        <f t="shared" si="11"/>
        <v>34.46</v>
      </c>
      <c r="M72" s="77">
        <f t="shared" si="15"/>
        <v>36.32</v>
      </c>
    </row>
    <row r="73" spans="1:14" s="70" customFormat="1" ht="12.75" customHeight="1" x14ac:dyDescent="0.2">
      <c r="A73" s="113">
        <f t="shared" si="6"/>
        <v>2021</v>
      </c>
      <c r="C73" s="77">
        <f t="shared" si="12"/>
        <v>39.99</v>
      </c>
      <c r="D73" s="77">
        <f t="shared" si="7"/>
        <v>36.119999999999997</v>
      </c>
      <c r="E73" s="77">
        <f t="shared" si="13"/>
        <v>38.29</v>
      </c>
      <c r="G73" s="103">
        <f t="shared" si="8"/>
        <v>42.76</v>
      </c>
      <c r="H73" s="103">
        <f t="shared" si="9"/>
        <v>38.89</v>
      </c>
      <c r="I73" s="103">
        <f t="shared" si="14"/>
        <v>41.06</v>
      </c>
      <c r="K73" s="77">
        <f t="shared" si="10"/>
        <v>40.909999999999997</v>
      </c>
      <c r="L73" s="77">
        <f t="shared" si="11"/>
        <v>37.04</v>
      </c>
      <c r="M73" s="77">
        <f t="shared" si="15"/>
        <v>39.21</v>
      </c>
    </row>
    <row r="74" spans="1:14" s="70" customFormat="1" ht="12.75" customHeight="1" x14ac:dyDescent="0.2">
      <c r="A74" s="113">
        <f t="shared" si="6"/>
        <v>2022</v>
      </c>
      <c r="C74" s="77">
        <f t="shared" si="12"/>
        <v>39.69</v>
      </c>
      <c r="D74" s="77">
        <f t="shared" si="7"/>
        <v>35.75</v>
      </c>
      <c r="E74" s="77">
        <f t="shared" si="13"/>
        <v>37.96</v>
      </c>
      <c r="G74" s="103">
        <f t="shared" si="8"/>
        <v>43.12</v>
      </c>
      <c r="H74" s="103">
        <f t="shared" si="9"/>
        <v>39.17</v>
      </c>
      <c r="I74" s="103">
        <f t="shared" si="14"/>
        <v>41.38</v>
      </c>
      <c r="K74" s="77">
        <f t="shared" si="10"/>
        <v>40.83</v>
      </c>
      <c r="L74" s="77">
        <f t="shared" si="11"/>
        <v>36.89</v>
      </c>
      <c r="M74" s="77">
        <f t="shared" si="15"/>
        <v>39.1</v>
      </c>
    </row>
    <row r="75" spans="1:14" s="70" customFormat="1" ht="12.75" customHeight="1" x14ac:dyDescent="0.2">
      <c r="A75" s="113">
        <f t="shared" si="6"/>
        <v>2023</v>
      </c>
      <c r="C75" s="77">
        <f t="shared" si="12"/>
        <v>40.619999999999997</v>
      </c>
      <c r="D75" s="77">
        <f t="shared" si="7"/>
        <v>36.61</v>
      </c>
      <c r="E75" s="77">
        <f t="shared" si="13"/>
        <v>38.86</v>
      </c>
      <c r="G75" s="103">
        <f t="shared" si="8"/>
        <v>43.15</v>
      </c>
      <c r="H75" s="103">
        <f t="shared" si="9"/>
        <v>39.14</v>
      </c>
      <c r="I75" s="103">
        <f t="shared" si="14"/>
        <v>41.38</v>
      </c>
      <c r="K75" s="77">
        <f t="shared" si="10"/>
        <v>41.47</v>
      </c>
      <c r="L75" s="77">
        <f t="shared" si="11"/>
        <v>37.450000000000003</v>
      </c>
      <c r="M75" s="77">
        <f t="shared" si="15"/>
        <v>39.700000000000003</v>
      </c>
    </row>
    <row r="76" spans="1:14" s="70" customFormat="1" ht="12.75" customHeight="1" x14ac:dyDescent="0.2">
      <c r="A76" s="113">
        <f t="shared" si="6"/>
        <v>2024</v>
      </c>
      <c r="C76" s="77">
        <f t="shared" si="12"/>
        <v>43.37</v>
      </c>
      <c r="D76" s="77">
        <f t="shared" si="7"/>
        <v>39.29</v>
      </c>
      <c r="E76" s="77">
        <f t="shared" si="13"/>
        <v>41.58</v>
      </c>
      <c r="G76" s="103">
        <f t="shared" si="8"/>
        <v>46.7</v>
      </c>
      <c r="H76" s="103">
        <f t="shared" si="9"/>
        <v>42.61</v>
      </c>
      <c r="I76" s="103">
        <f t="shared" si="14"/>
        <v>44.9</v>
      </c>
      <c r="K76" s="77">
        <f t="shared" si="10"/>
        <v>44.48</v>
      </c>
      <c r="L76" s="77">
        <f t="shared" si="11"/>
        <v>40.4</v>
      </c>
      <c r="M76" s="77">
        <f t="shared" si="15"/>
        <v>42.68</v>
      </c>
    </row>
    <row r="77" spans="1:14" s="70" customFormat="1" ht="12.75" customHeight="1" x14ac:dyDescent="0.2">
      <c r="A77" s="113">
        <f t="shared" si="6"/>
        <v>2025</v>
      </c>
      <c r="C77" s="77">
        <f t="shared" si="12"/>
        <v>46.06</v>
      </c>
      <c r="D77" s="77">
        <f t="shared" si="7"/>
        <v>41.39</v>
      </c>
      <c r="E77" s="77">
        <f t="shared" si="13"/>
        <v>44.01</v>
      </c>
      <c r="G77" s="103">
        <f t="shared" si="8"/>
        <v>50.36</v>
      </c>
      <c r="H77" s="103">
        <f t="shared" si="9"/>
        <v>45.69</v>
      </c>
      <c r="I77" s="103">
        <f t="shared" si="14"/>
        <v>48.31</v>
      </c>
      <c r="K77" s="77">
        <f t="shared" si="10"/>
        <v>47.5</v>
      </c>
      <c r="L77" s="77">
        <f t="shared" si="11"/>
        <v>42.82</v>
      </c>
      <c r="M77" s="77">
        <f t="shared" si="15"/>
        <v>45.44</v>
      </c>
    </row>
    <row r="78" spans="1:14" s="70" customFormat="1" ht="12.75" customHeight="1" x14ac:dyDescent="0.2">
      <c r="A78" s="113">
        <f t="shared" si="6"/>
        <v>2026</v>
      </c>
      <c r="C78" s="77">
        <f t="shared" si="12"/>
        <v>47.7</v>
      </c>
      <c r="D78" s="77">
        <f t="shared" si="7"/>
        <v>42.93</v>
      </c>
      <c r="E78" s="77">
        <f t="shared" si="13"/>
        <v>45.6</v>
      </c>
      <c r="G78" s="103">
        <f t="shared" si="8"/>
        <v>52.69</v>
      </c>
      <c r="H78" s="103">
        <f t="shared" si="9"/>
        <v>47.92</v>
      </c>
      <c r="I78" s="103">
        <f t="shared" si="14"/>
        <v>50.59</v>
      </c>
      <c r="K78" s="77">
        <f t="shared" si="10"/>
        <v>49.36</v>
      </c>
      <c r="L78" s="77">
        <f t="shared" si="11"/>
        <v>44.6</v>
      </c>
      <c r="M78" s="77">
        <f t="shared" si="15"/>
        <v>47.26</v>
      </c>
    </row>
    <row r="79" spans="1:14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4" s="70" customFormat="1" ht="12.75" hidden="1" customHeight="1" x14ac:dyDescent="0.2">
      <c r="A80" s="114"/>
      <c r="K80" s="109"/>
    </row>
    <row r="81" spans="1:17" s="70" customFormat="1" ht="12.75" hidden="1" customHeight="1" x14ac:dyDescent="0.2">
      <c r="A81" s="114"/>
      <c r="K81" s="109"/>
    </row>
    <row r="82" spans="1:17" s="70" customFormat="1" ht="12.75" customHeight="1" x14ac:dyDescent="0.2">
      <c r="A82" s="60" t="s">
        <v>83</v>
      </c>
      <c r="D82" s="77"/>
      <c r="E82" s="103"/>
      <c r="F82" s="103"/>
      <c r="G82" s="103"/>
      <c r="J82" s="103"/>
      <c r="K82" s="103"/>
    </row>
    <row r="83" spans="1:17" ht="12.75" customHeight="1" x14ac:dyDescent="0.2">
      <c r="A83" s="60" t="s">
        <v>138</v>
      </c>
      <c r="C83" s="115" t="str">
        <f>"Avoided costs from GRID plus capacity payments based on Simple Cycle CT Fixed costs adjusted by "</f>
        <v xml:space="preserve">Avoided costs from GRID plus capacity payments based on Simple Cycle CT Fixed costs adjusted by </v>
      </c>
      <c r="D83" s="77"/>
      <c r="E83" s="103"/>
      <c r="F83" s="103"/>
      <c r="G83" s="103"/>
      <c r="H83" s="70"/>
      <c r="N83" s="70"/>
      <c r="O83" s="70"/>
      <c r="P83" s="70"/>
    </row>
    <row r="84" spans="1:17" ht="12.75" customHeight="1" x14ac:dyDescent="0.2">
      <c r="C84" s="115" t="str">
        <f>"capacity contribution, and reduced by wind integration costs from Table 12 column "&amp;LEFT('Table 12'!$E$7,3)</f>
        <v>capacity contribution, and reduced by wind integration costs from Table 12 column (c)</v>
      </c>
      <c r="D84" s="77"/>
      <c r="E84" s="103"/>
      <c r="F84" s="103"/>
      <c r="G84" s="103"/>
      <c r="H84" s="70"/>
      <c r="N84" s="70"/>
      <c r="O84" s="70"/>
      <c r="P84" s="70"/>
    </row>
    <row r="85" spans="1:17" ht="12.75" customHeight="1" x14ac:dyDescent="0.2">
      <c r="A85" s="60" t="s">
        <v>139</v>
      </c>
      <c r="C85" s="115" t="str">
        <f>"Avoided costs from GRID, reduced by wind integration costs from Table 12 column "&amp;LEFT('Table 12'!$E$7,3)</f>
        <v>Avoided costs from GRID, reduced by wind integration costs from Table 12 column (c)</v>
      </c>
      <c r="D85" s="70"/>
      <c r="E85" s="70"/>
      <c r="F85" s="70"/>
      <c r="G85" s="70"/>
      <c r="N85" s="70"/>
      <c r="O85" s="70"/>
      <c r="P85" s="70"/>
    </row>
    <row r="86" spans="1:17" ht="12.75" customHeight="1" x14ac:dyDescent="0.2">
      <c r="A86" s="60" t="s">
        <v>140</v>
      </c>
      <c r="C86" s="60" t="s">
        <v>156</v>
      </c>
      <c r="D86" s="70"/>
      <c r="E86" s="70"/>
      <c r="F86" s="70"/>
      <c r="G86" s="70"/>
    </row>
    <row r="87" spans="1:17" ht="7.5" customHeight="1" x14ac:dyDescent="0.2"/>
    <row r="88" spans="1:17" x14ac:dyDescent="0.2">
      <c r="C88" s="60" t="s">
        <v>157</v>
      </c>
      <c r="D88" s="246"/>
    </row>
    <row r="89" spans="1:17" x14ac:dyDescent="0.2">
      <c r="C89" s="60" t="s">
        <v>171</v>
      </c>
      <c r="E89" s="66">
        <v>0.20499999999999999</v>
      </c>
    </row>
    <row r="90" spans="1:17" x14ac:dyDescent="0.2">
      <c r="Q90" s="246"/>
    </row>
    <row r="107" ht="24.75" customHeight="1" x14ac:dyDescent="0.2"/>
  </sheetData>
  <pageMargins left="0.7" right="0.7" top="0.75" bottom="0.75" header="0.3" footer="0.3"/>
  <pageSetup scale="71" fitToWidth="0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view="pageBreakPreview" zoomScale="60" zoomScaleNormal="100" workbookViewId="0">
      <selection activeCell="O1" sqref="O1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4" width="18.33203125" style="60" customWidth="1"/>
    <col min="15" max="15" width="10.83203125" style="60" customWidth="1"/>
    <col min="16" max="16" width="28.5" style="60" customWidth="1"/>
    <col min="17" max="17" width="6.6640625" style="60" customWidth="1"/>
    <col min="18" max="21" width="15.33203125" style="60" customWidth="1"/>
    <col min="22" max="16384" width="9.33203125" style="60"/>
  </cols>
  <sheetData>
    <row r="1" spans="1:13" s="5" customFormat="1" ht="15.75" x14ac:dyDescent="0.25">
      <c r="A1" s="1" t="s">
        <v>184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 x14ac:dyDescent="0.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13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3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3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 customHeight="1" x14ac:dyDescent="0.2">
      <c r="A9" s="13" t="str">
        <f>'Table 2A BaseLoad'!A9</f>
        <v>On-Peak (1)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3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H28+'Tables 3 to 6'!$W13*Capacity_Contr_Solar_Fixed</f>
        <v>38.725705963456988</v>
      </c>
      <c r="I10" s="99">
        <f>I28+'Tables 3 to 6'!$W13*Capacity_Contr_Solar_Fixed</f>
        <v>46.919848631025644</v>
      </c>
      <c r="J10" s="100">
        <f>J28+'Tables 3 to 6'!$W13*Capacity_Contr_Solar_Fixed</f>
        <v>37.534631666121385</v>
      </c>
      <c r="K10" s="99">
        <f>K28+'Tables 3 to 6'!$W13*Capacity_Contr_Solar_Fixed</f>
        <v>35.360874275770726</v>
      </c>
      <c r="L10" s="99">
        <f>L28+'Tables 3 to 6'!$W13*Capacity_Contr_Solar_Fixed</f>
        <v>38.677941082687425</v>
      </c>
      <c r="M10" s="100">
        <f>M28+'Tables 3 to 6'!$W13*Capacity_Contr_Solar_Fixed</f>
        <v>35.465059207748027</v>
      </c>
    </row>
    <row r="11" spans="1:13" ht="12.75" customHeight="1" x14ac:dyDescent="0.2">
      <c r="A11" s="101">
        <f t="shared" ref="A11:A22" si="0">A10+1</f>
        <v>2015</v>
      </c>
      <c r="B11" s="102">
        <f>B29+'Tables 3 to 6'!$W14*Capacity_Contr_Solar_Fixed</f>
        <v>41.764283668721362</v>
      </c>
      <c r="C11" s="103">
        <f>C29+'Tables 3 to 6'!$W14*Capacity_Contr_Solar_Fixed</f>
        <v>42.202891595192682</v>
      </c>
      <c r="D11" s="103">
        <f>D29+'Tables 3 to 6'!$W14*Capacity_Contr_Solar_Fixed</f>
        <v>47.89747180463732</v>
      </c>
      <c r="E11" s="103">
        <f>E29+'Tables 3 to 6'!$W14*Capacity_Contr_Solar_Fixed</f>
        <v>32.887038593234536</v>
      </c>
      <c r="F11" s="104">
        <f>F29+'Tables 3 to 6'!$W14*Capacity_Contr_Solar_Fixed</f>
        <v>30.346952599942814</v>
      </c>
      <c r="G11" s="103">
        <f>G29+'Tables 3 to 6'!$W14*Capacity_Contr_Solar_Fixed</f>
        <v>32.205891736762638</v>
      </c>
      <c r="H11" s="103">
        <f>H29+'Tables 3 to 6'!$W14*Capacity_Contr_Solar_Fixed</f>
        <v>40.186030708380414</v>
      </c>
      <c r="I11" s="103">
        <f>I29+'Tables 3 to 6'!$W14*Capacity_Contr_Solar_Fixed</f>
        <v>42.474035305632825</v>
      </c>
      <c r="J11" s="104">
        <f>J29+'Tables 3 to 6'!$W14*Capacity_Contr_Solar_Fixed</f>
        <v>37.754813685376035</v>
      </c>
      <c r="K11" s="103">
        <f>K29+'Tables 3 to 6'!$W14*Capacity_Contr_Solar_Fixed</f>
        <v>34.994282065529063</v>
      </c>
      <c r="L11" s="103">
        <f>L29+'Tables 3 to 6'!$W14*Capacity_Contr_Solar_Fixed</f>
        <v>36.934722738682225</v>
      </c>
      <c r="M11" s="104">
        <f>M29+'Tables 3 to 6'!$W14*Capacity_Contr_Solar_Fixed</f>
        <v>41.882055722027673</v>
      </c>
    </row>
    <row r="12" spans="1:13" ht="12.75" customHeight="1" x14ac:dyDescent="0.2">
      <c r="A12" s="101">
        <f t="shared" si="0"/>
        <v>2016</v>
      </c>
      <c r="B12" s="102">
        <f>B30+'Tables 3 to 6'!$W15*Capacity_Contr_Solar_Fixed</f>
        <v>36.507994710116556</v>
      </c>
      <c r="C12" s="103">
        <f>C30+'Tables 3 to 6'!$W15*Capacity_Contr_Solar_Fixed</f>
        <v>39.288104072244934</v>
      </c>
      <c r="D12" s="103">
        <f>D30+'Tables 3 to 6'!$W15*Capacity_Contr_Solar_Fixed</f>
        <v>40.771545430300158</v>
      </c>
      <c r="E12" s="103">
        <f>E30+'Tables 3 to 6'!$W15*Capacity_Contr_Solar_Fixed</f>
        <v>34.229718305655325</v>
      </c>
      <c r="F12" s="104">
        <f>F30+'Tables 3 to 6'!$W15*Capacity_Contr_Solar_Fixed</f>
        <v>30.748923282629001</v>
      </c>
      <c r="G12" s="103">
        <f>G30+'Tables 3 to 6'!$W15*Capacity_Contr_Solar_Fixed</f>
        <v>30.785351685631689</v>
      </c>
      <c r="H12" s="103">
        <f>H30+'Tables 3 to 6'!$W15*Capacity_Contr_Solar_Fixed</f>
        <v>39.172417036567424</v>
      </c>
      <c r="I12" s="103">
        <f>I30+'Tables 3 to 6'!$W15*Capacity_Contr_Solar_Fixed</f>
        <v>42.389801183410327</v>
      </c>
      <c r="J12" s="104">
        <f>J30+'Tables 3 to 6'!$W15*Capacity_Contr_Solar_Fixed</f>
        <v>36.148637325275772</v>
      </c>
      <c r="K12" s="103">
        <f>K30+'Tables 3 to 6'!$W15*Capacity_Contr_Solar_Fixed</f>
        <v>34.871294117866441</v>
      </c>
      <c r="L12" s="103">
        <f>L30+'Tables 3 to 6'!$W15*Capacity_Contr_Solar_Fixed</f>
        <v>31.06756283921343</v>
      </c>
      <c r="M12" s="104">
        <f>M30+'Tables 3 to 6'!$W15*Capacity_Contr_Solar_Fixed</f>
        <v>38.422555180794546</v>
      </c>
    </row>
    <row r="13" spans="1:13" ht="12.75" customHeight="1" x14ac:dyDescent="0.2">
      <c r="A13" s="101">
        <f t="shared" si="0"/>
        <v>2017</v>
      </c>
      <c r="B13" s="102">
        <f>B31+'Tables 3 to 6'!$W16*Capacity_Contr_Solar_Fixed</f>
        <v>36.021769777392734</v>
      </c>
      <c r="C13" s="103">
        <f>C31+'Tables 3 to 6'!$W16*Capacity_Contr_Solar_Fixed</f>
        <v>39.397796479001322</v>
      </c>
      <c r="D13" s="103">
        <f>D31+'Tables 3 to 6'!$W16*Capacity_Contr_Solar_Fixed</f>
        <v>40.447654645677439</v>
      </c>
      <c r="E13" s="103">
        <f>E31+'Tables 3 to 6'!$W16*Capacity_Contr_Solar_Fixed</f>
        <v>34.191836340771701</v>
      </c>
      <c r="F13" s="104">
        <f>F31+'Tables 3 to 6'!$W16*Capacity_Contr_Solar_Fixed</f>
        <v>32.733703860353863</v>
      </c>
      <c r="G13" s="103">
        <f>G31+'Tables 3 to 6'!$W16*Capacity_Contr_Solar_Fixed</f>
        <v>32.222103870627699</v>
      </c>
      <c r="H13" s="103">
        <f>H31+'Tables 3 to 6'!$W16*Capacity_Contr_Solar_Fixed</f>
        <v>41.253103721842557</v>
      </c>
      <c r="I13" s="103">
        <f>I31+'Tables 3 to 6'!$W16*Capacity_Contr_Solar_Fixed</f>
        <v>44.663665829230126</v>
      </c>
      <c r="J13" s="104">
        <f>J31+'Tables 3 to 6'!$W16*Capacity_Contr_Solar_Fixed</f>
        <v>39.699173114257057</v>
      </c>
      <c r="K13" s="103">
        <f>K31+'Tables 3 to 6'!$W16*Capacity_Contr_Solar_Fixed</f>
        <v>35.869257413968185</v>
      </c>
      <c r="L13" s="103">
        <f>L31+'Tables 3 to 6'!$W16*Capacity_Contr_Solar_Fixed</f>
        <v>36.492480094212127</v>
      </c>
      <c r="M13" s="104">
        <f>M31+'Tables 3 to 6'!$W16*Capacity_Contr_Solar_Fixed</f>
        <v>37.308794998020801</v>
      </c>
    </row>
    <row r="14" spans="1:13" ht="12.75" customHeight="1" x14ac:dyDescent="0.2">
      <c r="A14" s="101">
        <f t="shared" si="0"/>
        <v>2018</v>
      </c>
      <c r="B14" s="102">
        <f>B32+'Tables 3 to 6'!$W17*Capacity_Contr_Solar_Fixed</f>
        <v>38.900708367773476</v>
      </c>
      <c r="C14" s="103">
        <f>C32+'Tables 3 to 6'!$W17*Capacity_Contr_Solar_Fixed</f>
        <v>39.78332352750369</v>
      </c>
      <c r="D14" s="103">
        <f>D32+'Tables 3 to 6'!$W17*Capacity_Contr_Solar_Fixed</f>
        <v>43.510298636337154</v>
      </c>
      <c r="E14" s="103">
        <f>E32+'Tables 3 to 6'!$W17*Capacity_Contr_Solar_Fixed</f>
        <v>38.744529822413874</v>
      </c>
      <c r="F14" s="104">
        <f>F32+'Tables 3 to 6'!$W17*Capacity_Contr_Solar_Fixed</f>
        <v>36.428539104416998</v>
      </c>
      <c r="G14" s="103">
        <f>G32+'Tables 3 to 6'!$W17*Capacity_Contr_Solar_Fixed</f>
        <v>36.444090489824781</v>
      </c>
      <c r="H14" s="103">
        <f>H32+'Tables 3 to 6'!$W17*Capacity_Contr_Solar_Fixed</f>
        <v>45.743913141607791</v>
      </c>
      <c r="I14" s="103">
        <f>I32+'Tables 3 to 6'!$W17*Capacity_Contr_Solar_Fixed</f>
        <v>49.084099352461713</v>
      </c>
      <c r="J14" s="104">
        <f>J32+'Tables 3 to 6'!$W17*Capacity_Contr_Solar_Fixed</f>
        <v>41.757649815720981</v>
      </c>
      <c r="K14" s="103">
        <f>K32+'Tables 3 to 6'!$W17*Capacity_Contr_Solar_Fixed</f>
        <v>41.341087850287188</v>
      </c>
      <c r="L14" s="103">
        <f>L32+'Tables 3 to 6'!$W17*Capacity_Contr_Solar_Fixed</f>
        <v>47.229577721966805</v>
      </c>
      <c r="M14" s="104">
        <f>M32+'Tables 3 to 6'!$W17*Capacity_Contr_Solar_Fixed</f>
        <v>40.808757214550404</v>
      </c>
    </row>
    <row r="15" spans="1:13" ht="12.75" customHeight="1" x14ac:dyDescent="0.2">
      <c r="A15" s="101">
        <f t="shared" si="0"/>
        <v>2019</v>
      </c>
      <c r="B15" s="102">
        <f>B33+'Tables 3 to 6'!$W18*Capacity_Contr_Solar_Fixed</f>
        <v>41.116196920313314</v>
      </c>
      <c r="C15" s="103">
        <f>C33+'Tables 3 to 6'!$W18*Capacity_Contr_Solar_Fixed</f>
        <v>42.084842851754885</v>
      </c>
      <c r="D15" s="103">
        <f>D33+'Tables 3 to 6'!$W18*Capacity_Contr_Solar_Fixed</f>
        <v>44.468133661502598</v>
      </c>
      <c r="E15" s="103">
        <f>E33+'Tables 3 to 6'!$W18*Capacity_Contr_Solar_Fixed</f>
        <v>42.518112459418511</v>
      </c>
      <c r="F15" s="104">
        <f>F33+'Tables 3 to 6'!$W18*Capacity_Contr_Solar_Fixed</f>
        <v>38.409829856843047</v>
      </c>
      <c r="G15" s="103">
        <f>G33+'Tables 3 to 6'!$W18*Capacity_Contr_Solar_Fixed</f>
        <v>38.27025466590689</v>
      </c>
      <c r="H15" s="103">
        <f>H33+'Tables 3 to 6'!$W18*Capacity_Contr_Solar_Fixed</f>
        <v>47.908847466562996</v>
      </c>
      <c r="I15" s="103">
        <f>I33+'Tables 3 to 6'!$W18*Capacity_Contr_Solar_Fixed</f>
        <v>51.35146469521824</v>
      </c>
      <c r="J15" s="104">
        <f>J33+'Tables 3 to 6'!$W18*Capacity_Contr_Solar_Fixed</f>
        <v>44.381148990535323</v>
      </c>
      <c r="K15" s="103">
        <f>K33+'Tables 3 to 6'!$W18*Capacity_Contr_Solar_Fixed</f>
        <v>44.578877788865405</v>
      </c>
      <c r="L15" s="103">
        <f>L33+'Tables 3 to 6'!$W18*Capacity_Contr_Solar_Fixed</f>
        <v>43.05638024718381</v>
      </c>
      <c r="M15" s="104">
        <f>M33+'Tables 3 to 6'!$W18*Capacity_Contr_Solar_Fixed</f>
        <v>43.600710627672143</v>
      </c>
    </row>
    <row r="16" spans="1:13" ht="12.75" customHeight="1" x14ac:dyDescent="0.2">
      <c r="A16" s="101">
        <f t="shared" si="0"/>
        <v>2020</v>
      </c>
      <c r="B16" s="102">
        <f>B34+'Tables 3 to 6'!$W19*Capacity_Contr_Solar_Fixed</f>
        <v>46.724241630005459</v>
      </c>
      <c r="C16" s="103">
        <f>C34+'Tables 3 to 6'!$W19*Capacity_Contr_Solar_Fixed</f>
        <v>44.880907086134442</v>
      </c>
      <c r="D16" s="103">
        <f>D34+'Tables 3 to 6'!$W19*Capacity_Contr_Solar_Fixed</f>
        <v>46.539146837817924</v>
      </c>
      <c r="E16" s="103">
        <f>E34+'Tables 3 to 6'!$W19*Capacity_Contr_Solar_Fixed</f>
        <v>45.893368727373748</v>
      </c>
      <c r="F16" s="104">
        <f>F34+'Tables 3 to 6'!$W19*Capacity_Contr_Solar_Fixed</f>
        <v>42.483290399267986</v>
      </c>
      <c r="G16" s="103">
        <f>G34+'Tables 3 to 6'!$W19*Capacity_Contr_Solar_Fixed</f>
        <v>44.727884479263757</v>
      </c>
      <c r="H16" s="103">
        <f>H34+'Tables 3 to 6'!$W19*Capacity_Contr_Solar_Fixed</f>
        <v>54.317839694104727</v>
      </c>
      <c r="I16" s="103">
        <f>I34+'Tables 3 to 6'!$W19*Capacity_Contr_Solar_Fixed</f>
        <v>54.230651282460492</v>
      </c>
      <c r="J16" s="104">
        <f>J34+'Tables 3 to 6'!$W19*Capacity_Contr_Solar_Fixed</f>
        <v>48.963412433899279</v>
      </c>
      <c r="K16" s="103">
        <f>K34+'Tables 3 to 6'!$W19*Capacity_Contr_Solar_Fixed</f>
        <v>45.821826672379245</v>
      </c>
      <c r="L16" s="103">
        <f>L34+'Tables 3 to 6'!$W19*Capacity_Contr_Solar_Fixed</f>
        <v>46.127983280444482</v>
      </c>
      <c r="M16" s="104">
        <f>M34+'Tables 3 to 6'!$W19*Capacity_Contr_Solar_Fixed</f>
        <v>45.14470782350616</v>
      </c>
    </row>
    <row r="17" spans="1:30" ht="12.75" customHeight="1" x14ac:dyDescent="0.2">
      <c r="A17" s="101">
        <f t="shared" si="0"/>
        <v>2021</v>
      </c>
      <c r="B17" s="102">
        <f>B35+'Tables 3 to 6'!$W20*Capacity_Contr_Solar_Fixed</f>
        <v>49.822854860375386</v>
      </c>
      <c r="C17" s="103">
        <f>C35+'Tables 3 to 6'!$W20*Capacity_Contr_Solar_Fixed</f>
        <v>51.701068149481358</v>
      </c>
      <c r="D17" s="103">
        <f>D35+'Tables 3 to 6'!$W20*Capacity_Contr_Solar_Fixed</f>
        <v>50.636867487799165</v>
      </c>
      <c r="E17" s="103">
        <f>E35+'Tables 3 to 6'!$W20*Capacity_Contr_Solar_Fixed</f>
        <v>49.470354014937584</v>
      </c>
      <c r="F17" s="104">
        <f>F35+'Tables 3 to 6'!$W20*Capacity_Contr_Solar_Fixed</f>
        <v>47.83665221591076</v>
      </c>
      <c r="G17" s="103">
        <f>G35+'Tables 3 to 6'!$W20*Capacity_Contr_Solar_Fixed</f>
        <v>49.656354329871974</v>
      </c>
      <c r="H17" s="103">
        <f>H35+'Tables 3 to 6'!$W20*Capacity_Contr_Solar_Fixed</f>
        <v>56.668962015616231</v>
      </c>
      <c r="I17" s="103">
        <f>I35+'Tables 3 to 6'!$W20*Capacity_Contr_Solar_Fixed</f>
        <v>56.980128623601317</v>
      </c>
      <c r="J17" s="104">
        <f>J35+'Tables 3 to 6'!$W20*Capacity_Contr_Solar_Fixed</f>
        <v>53.119393730250835</v>
      </c>
      <c r="K17" s="103">
        <f>K35+'Tables 3 to 6'!$W20*Capacity_Contr_Solar_Fixed</f>
        <v>51.584875271128936</v>
      </c>
      <c r="L17" s="103">
        <f>L35+'Tables 3 to 6'!$W20*Capacity_Contr_Solar_Fixed</f>
        <v>54.740108349137344</v>
      </c>
      <c r="M17" s="104">
        <f>M35+'Tables 3 to 6'!$W20*Capacity_Contr_Solar_Fixed</f>
        <v>54.871209342994106</v>
      </c>
    </row>
    <row r="18" spans="1:30" ht="12.75" customHeight="1" x14ac:dyDescent="0.2">
      <c r="A18" s="101">
        <f t="shared" si="0"/>
        <v>2022</v>
      </c>
      <c r="B18" s="102">
        <f>B36+'Tables 3 to 6'!$W21*Capacity_Contr_Solar_Fixed</f>
        <v>52.997053922637946</v>
      </c>
      <c r="C18" s="103">
        <f>C36+'Tables 3 to 6'!$W21*Capacity_Contr_Solar_Fixed</f>
        <v>52.220558586433071</v>
      </c>
      <c r="D18" s="103">
        <f>D36+'Tables 3 to 6'!$W21*Capacity_Contr_Solar_Fixed</f>
        <v>52.772446430143297</v>
      </c>
      <c r="E18" s="103">
        <f>E36+'Tables 3 to 6'!$W21*Capacity_Contr_Solar_Fixed</f>
        <v>49.387101079716288</v>
      </c>
      <c r="F18" s="104">
        <f>F36+'Tables 3 to 6'!$W21*Capacity_Contr_Solar_Fixed</f>
        <v>48.892216120693604</v>
      </c>
      <c r="G18" s="103">
        <f>G36+'Tables 3 to 6'!$W21*Capacity_Contr_Solar_Fixed</f>
        <v>52.046867893920009</v>
      </c>
      <c r="H18" s="103">
        <f>H36+'Tables 3 to 6'!$W21*Capacity_Contr_Solar_Fixed</f>
        <v>58.524388398339482</v>
      </c>
      <c r="I18" s="103">
        <f>I36+'Tables 3 to 6'!$W21*Capacity_Contr_Solar_Fixed</f>
        <v>57.941597923088906</v>
      </c>
      <c r="J18" s="104">
        <f>J36+'Tables 3 to 6'!$W21*Capacity_Contr_Solar_Fixed</f>
        <v>53.648621532149448</v>
      </c>
      <c r="K18" s="103">
        <f>K36+'Tables 3 to 6'!$W21*Capacity_Contr_Solar_Fixed</f>
        <v>52.455840841686019</v>
      </c>
      <c r="L18" s="103">
        <f>L36+'Tables 3 to 6'!$W21*Capacity_Contr_Solar_Fixed</f>
        <v>52.991816880684596</v>
      </c>
      <c r="M18" s="104">
        <f>M36+'Tables 3 to 6'!$W21*Capacity_Contr_Solar_Fixed</f>
        <v>55.217586395341989</v>
      </c>
    </row>
    <row r="19" spans="1:30" ht="12.75" customHeight="1" x14ac:dyDescent="0.2">
      <c r="A19" s="101">
        <f t="shared" si="0"/>
        <v>2023</v>
      </c>
      <c r="B19" s="102">
        <f>B37+'Tables 3 to 6'!$W22*Capacity_Contr_Solar_Fixed</f>
        <v>54.364787522477521</v>
      </c>
      <c r="C19" s="103">
        <f>C37+'Tables 3 to 6'!$W22*Capacity_Contr_Solar_Fixed</f>
        <v>53.887513552924993</v>
      </c>
      <c r="D19" s="103">
        <f>D37+'Tables 3 to 6'!$W22*Capacity_Contr_Solar_Fixed</f>
        <v>53.652249045632416</v>
      </c>
      <c r="E19" s="103">
        <f>E37+'Tables 3 to 6'!$W22*Capacity_Contr_Solar_Fixed</f>
        <v>51.788196519286437</v>
      </c>
      <c r="F19" s="104">
        <f>F37+'Tables 3 to 6'!$W22*Capacity_Contr_Solar_Fixed</f>
        <v>50.732977018772146</v>
      </c>
      <c r="G19" s="103">
        <f>G37+'Tables 3 to 6'!$W22*Capacity_Contr_Solar_Fixed</f>
        <v>53.0785305240545</v>
      </c>
      <c r="H19" s="103">
        <f>H37+'Tables 3 to 6'!$W22*Capacity_Contr_Solar_Fixed</f>
        <v>60.166276815023345</v>
      </c>
      <c r="I19" s="103">
        <f>I37+'Tables 3 to 6'!$W22*Capacity_Contr_Solar_Fixed</f>
        <v>59.629529403961669</v>
      </c>
      <c r="J19" s="104">
        <f>J37+'Tables 3 to 6'!$W22*Capacity_Contr_Solar_Fixed</f>
        <v>53.747182937504682</v>
      </c>
      <c r="K19" s="103">
        <f>K37+'Tables 3 to 6'!$W22*Capacity_Contr_Solar_Fixed</f>
        <v>54.252853756720853</v>
      </c>
      <c r="L19" s="103">
        <f>L37+'Tables 3 to 6'!$W22*Capacity_Contr_Solar_Fixed</f>
        <v>55.996754481941629</v>
      </c>
      <c r="M19" s="104">
        <f>M37+'Tables 3 to 6'!$W22*Capacity_Contr_Solar_Fixed</f>
        <v>58.353791666666218</v>
      </c>
    </row>
    <row r="20" spans="1:30" ht="16.5" customHeight="1" x14ac:dyDescent="0.2">
      <c r="A20" s="101">
        <f t="shared" si="0"/>
        <v>2024</v>
      </c>
      <c r="B20" s="102">
        <f>B38+'Tables 3 to 6'!$W23*Capacity_Contr_Solar_Fixed</f>
        <v>57.072305698926698</v>
      </c>
      <c r="C20" s="103">
        <f>C38+'Tables 3 to 6'!$W23*Capacity_Contr_Solar_Fixed</f>
        <v>56.593796860630178</v>
      </c>
      <c r="D20" s="103">
        <f>D38+'Tables 3 to 6'!$W23*Capacity_Contr_Solar_Fixed</f>
        <v>56.024827853499687</v>
      </c>
      <c r="E20" s="103">
        <f>E38+'Tables 3 to 6'!$W23*Capacity_Contr_Solar_Fixed</f>
        <v>53.588407086113094</v>
      </c>
      <c r="F20" s="104">
        <f>F38+'Tables 3 to 6'!$W23*Capacity_Contr_Solar_Fixed</f>
        <v>51.911862236559358</v>
      </c>
      <c r="G20" s="103">
        <f>G38+'Tables 3 to 6'!$W23*Capacity_Contr_Solar_Fixed</f>
        <v>54.776559319450456</v>
      </c>
      <c r="H20" s="103">
        <f>H38+'Tables 3 to 6'!$W23*Capacity_Contr_Solar_Fixed</f>
        <v>62.80175329301543</v>
      </c>
      <c r="I20" s="103">
        <f>I38+'Tables 3 to 6'!$W23*Capacity_Contr_Solar_Fixed</f>
        <v>63.754057612904589</v>
      </c>
      <c r="J20" s="104">
        <f>J38+'Tables 3 to 6'!$W23*Capacity_Contr_Solar_Fixed</f>
        <v>56.488164245837929</v>
      </c>
      <c r="K20" s="103">
        <f>K38+'Tables 3 to 6'!$W23*Capacity_Contr_Solar_Fixed</f>
        <v>57.052810318553291</v>
      </c>
      <c r="L20" s="103">
        <f>L38+'Tables 3 to 6'!$W23*Capacity_Contr_Solar_Fixed</f>
        <v>57.75204870694197</v>
      </c>
      <c r="M20" s="104">
        <f>M38+'Tables 3 to 6'!$W23*Capacity_Contr_Solar_Fixed</f>
        <v>59.053440403226851</v>
      </c>
    </row>
    <row r="21" spans="1:30" ht="12.75" customHeight="1" x14ac:dyDescent="0.2">
      <c r="A21" s="101">
        <f t="shared" si="0"/>
        <v>2025</v>
      </c>
      <c r="B21" s="102">
        <f>B39+'Tables 3 to 6'!$W24*Capacity_Contr_Solar_Fixed</f>
        <v>62.363921900535821</v>
      </c>
      <c r="C21" s="103">
        <f>C39+'Tables 3 to 6'!$W24*Capacity_Contr_Solar_Fixed</f>
        <v>61.280022946431636</v>
      </c>
      <c r="D21" s="103">
        <f>D39+'Tables 3 to 6'!$W24*Capacity_Contr_Solar_Fixed</f>
        <v>59.670495752687451</v>
      </c>
      <c r="E21" s="103">
        <f>E39+'Tables 3 to 6'!$W24*Capacity_Contr_Solar_Fixed</f>
        <v>56.75973401389205</v>
      </c>
      <c r="F21" s="104">
        <f>F39+'Tables 3 to 6'!$W24*Capacity_Contr_Solar_Fixed</f>
        <v>56.166146629032944</v>
      </c>
      <c r="G21" s="103">
        <f>G39+'Tables 3 to 6'!$W24*Capacity_Contr_Solar_Fixed</f>
        <v>59.443604944447848</v>
      </c>
      <c r="H21" s="103">
        <f>H39+'Tables 3 to 6'!$W24*Capacity_Contr_Solar_Fixed</f>
        <v>67.659626448917166</v>
      </c>
      <c r="I21" s="103">
        <f>I39+'Tables 3 to 6'!$W24*Capacity_Contr_Solar_Fixed</f>
        <v>68.982323002684694</v>
      </c>
      <c r="J21" s="104">
        <f>J39+'Tables 3 to 6'!$W24*Capacity_Contr_Solar_Fixed</f>
        <v>62.091588412498602</v>
      </c>
      <c r="K21" s="103">
        <f>K39+'Tables 3 to 6'!$W24*Capacity_Contr_Solar_Fixed</f>
        <v>60.534814094092773</v>
      </c>
      <c r="L21" s="103">
        <f>L39+'Tables 3 to 6'!$W24*Capacity_Contr_Solar_Fixed</f>
        <v>61.865442659718461</v>
      </c>
      <c r="M21" s="104">
        <f>M39+'Tables 3 to 6'!$W24*Capacity_Contr_Solar_Fixed</f>
        <v>63.30280635484047</v>
      </c>
    </row>
    <row r="22" spans="1:30" ht="12.75" customHeight="1" x14ac:dyDescent="0.2">
      <c r="A22" s="101">
        <f t="shared" si="0"/>
        <v>2026</v>
      </c>
      <c r="B22" s="102">
        <f>B40+'Tables 3 to 6'!$W25*Capacity_Contr_Solar_Fixed</f>
        <v>64.350240154573996</v>
      </c>
      <c r="C22" s="103">
        <f>C40+'Tables 3 to 6'!$W25*Capacity_Contr_Solar_Fixed</f>
        <v>63.34501138095434</v>
      </c>
      <c r="D22" s="103">
        <f>D40+'Tables 3 to 6'!$W25*Capacity_Contr_Solar_Fixed</f>
        <v>61.456385309138611</v>
      </c>
      <c r="E22" s="103">
        <f>E40+'Tables 3 to 6'!$W25*Capacity_Contr_Solar_Fixed</f>
        <v>59.782835443048846</v>
      </c>
      <c r="F22" s="104">
        <f>F40+'Tables 3 to 6'!$W25*Capacity_Contr_Solar_Fixed</f>
        <v>58.133886819891238</v>
      </c>
      <c r="G22" s="103">
        <f>G40+'Tables 3 to 6'!$W25*Capacity_Contr_Solar_Fixed</f>
        <v>62.348580022222471</v>
      </c>
      <c r="H22" s="103">
        <f>H40+'Tables 3 to 6'!$W25*Capacity_Contr_Solar_Fixed</f>
        <v>70.510869302421966</v>
      </c>
      <c r="I22" s="103">
        <f>I40+'Tables 3 to 6'!$W25*Capacity_Contr_Solar_Fixed</f>
        <v>72.08875296639178</v>
      </c>
      <c r="J22" s="104">
        <f>J40+'Tables 3 to 6'!$W25*Capacity_Contr_Solar_Fixed</f>
        <v>65.060368083334637</v>
      </c>
      <c r="K22" s="103">
        <f>K40+'Tables 3 to 6'!$W25*Capacity_Contr_Solar_Fixed</f>
        <v>62.598458229836119</v>
      </c>
      <c r="L22" s="103">
        <f>L40+'Tables 3 to 6'!$W25*Capacity_Contr_Solar_Fixed</f>
        <v>64.099395020827657</v>
      </c>
      <c r="M22" s="104">
        <f>M40+'Tables 3 to 6'!$W25*Capacity_Contr_Solar_Fixed</f>
        <v>66.327759806452903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187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'Table 2A BaseLoad'!H28-Solar_Fixed_integr_cost</f>
        <v>27.471705963456984</v>
      </c>
      <c r="I28" s="99">
        <f>'Table 2A BaseLoad'!I28-Solar_Fixed_integr_cost</f>
        <v>35.665848631025646</v>
      </c>
      <c r="J28" s="100">
        <f>'Table 2A BaseLoad'!J28-Solar_Fixed_integr_cost</f>
        <v>26.28063166612138</v>
      </c>
      <c r="K28" s="98">
        <f>'Table 2A BaseLoad'!K28-Solar_Fixed_integr_cost</f>
        <v>24.106874275770721</v>
      </c>
      <c r="L28" s="99">
        <f>'Table 2A BaseLoad'!L28-Solar_Fixed_integr_cost</f>
        <v>27.423941082687428</v>
      </c>
      <c r="M28" s="100">
        <f>'Table 2A BaseLoad'!M28-Solar_Fixed_integr_cost</f>
        <v>24.211059207748022</v>
      </c>
      <c r="O28" s="67"/>
    </row>
    <row r="29" spans="1:30" ht="12.75" customHeight="1" x14ac:dyDescent="0.2">
      <c r="A29" s="101">
        <f t="shared" ref="A29:A40" si="1">A28+1</f>
        <v>2015</v>
      </c>
      <c r="B29" s="102">
        <f>'Table 2A BaseLoad'!B29-Solar_Fixed_integr_cost</f>
        <v>33.107883668721364</v>
      </c>
      <c r="C29" s="103">
        <f>'Table 2A BaseLoad'!C29-Solar_Fixed_integr_cost</f>
        <v>33.546491595192684</v>
      </c>
      <c r="D29" s="103">
        <f>'Table 2A BaseLoad'!D29-Solar_Fixed_integr_cost</f>
        <v>39.241071804637315</v>
      </c>
      <c r="E29" s="103">
        <f>'Table 2A BaseLoad'!E29-Solar_Fixed_integr_cost</f>
        <v>24.230638593234538</v>
      </c>
      <c r="F29" s="103">
        <f>'Table 2A BaseLoad'!F29-Solar_Fixed_integr_cost</f>
        <v>21.690552599942812</v>
      </c>
      <c r="G29" s="102">
        <f>'Table 2A BaseLoad'!G29-Solar_Fixed_integr_cost</f>
        <v>23.54949173676264</v>
      </c>
      <c r="H29" s="103">
        <f>'Table 2A BaseLoad'!H29-Solar_Fixed_integr_cost</f>
        <v>31.529630708380417</v>
      </c>
      <c r="I29" s="103">
        <f>'Table 2A BaseLoad'!I29-Solar_Fixed_integr_cost</f>
        <v>33.817635305632827</v>
      </c>
      <c r="J29" s="104">
        <f>'Table 2A BaseLoad'!J29-Solar_Fixed_integr_cost</f>
        <v>29.09841368537603</v>
      </c>
      <c r="K29" s="102">
        <f>'Table 2A BaseLoad'!K29-Solar_Fixed_integr_cost</f>
        <v>26.337882065529065</v>
      </c>
      <c r="L29" s="103">
        <f>'Table 2A BaseLoad'!L29-Solar_Fixed_integr_cost</f>
        <v>28.278322738682228</v>
      </c>
      <c r="M29" s="104">
        <f>'Table 2A BaseLoad'!M29-Solar_Fixed_integr_cost</f>
        <v>33.225655722027668</v>
      </c>
      <c r="O29" s="67"/>
    </row>
    <row r="30" spans="1:30" ht="12.75" customHeight="1" x14ac:dyDescent="0.2">
      <c r="A30" s="101">
        <f t="shared" si="1"/>
        <v>2016</v>
      </c>
      <c r="B30" s="102">
        <f>'Table 2A BaseLoad'!B30-Solar_Fixed_integr_cost</f>
        <v>27.695194710116553</v>
      </c>
      <c r="C30" s="103">
        <f>'Table 2A BaseLoad'!C30-Solar_Fixed_integr_cost</f>
        <v>30.475304072244931</v>
      </c>
      <c r="D30" s="103">
        <f>'Table 2A BaseLoad'!D30-Solar_Fixed_integr_cost</f>
        <v>31.958745430300155</v>
      </c>
      <c r="E30" s="103">
        <f>'Table 2A BaseLoad'!E30-Solar_Fixed_integr_cost</f>
        <v>25.416918305655322</v>
      </c>
      <c r="F30" s="103">
        <f>'Table 2A BaseLoad'!F30-Solar_Fixed_integr_cost</f>
        <v>21.936123282628998</v>
      </c>
      <c r="G30" s="102">
        <f>'Table 2A BaseLoad'!G30-Solar_Fixed_integr_cost</f>
        <v>21.972551685631686</v>
      </c>
      <c r="H30" s="103">
        <f>'Table 2A BaseLoad'!H30-Solar_Fixed_integr_cost</f>
        <v>30.359617036567421</v>
      </c>
      <c r="I30" s="103">
        <f>'Table 2A BaseLoad'!I30-Solar_Fixed_integr_cost</f>
        <v>33.577001183410324</v>
      </c>
      <c r="J30" s="104">
        <f>'Table 2A BaseLoad'!J30-Solar_Fixed_integr_cost</f>
        <v>27.335837325275769</v>
      </c>
      <c r="K30" s="102">
        <f>'Table 2A BaseLoad'!K30-Solar_Fixed_integr_cost</f>
        <v>26.058494117866438</v>
      </c>
      <c r="L30" s="103">
        <f>'Table 2A BaseLoad'!L30-Solar_Fixed_integr_cost</f>
        <v>22.254762839213427</v>
      </c>
      <c r="M30" s="104">
        <f>'Table 2A BaseLoad'!M30-Solar_Fixed_integr_cost</f>
        <v>29.609755180794544</v>
      </c>
      <c r="N30" s="246"/>
      <c r="O30" s="67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'Table 2A BaseLoad'!B31-Solar_Fixed_integr_cost</f>
        <v>27.052569777392733</v>
      </c>
      <c r="C31" s="103">
        <f>'Table 2A BaseLoad'!C31-Solar_Fixed_integr_cost</f>
        <v>30.428596479001321</v>
      </c>
      <c r="D31" s="103">
        <f>'Table 2A BaseLoad'!D31-Solar_Fixed_integr_cost</f>
        <v>31.478454645677438</v>
      </c>
      <c r="E31" s="103">
        <f>'Table 2A BaseLoad'!E31-Solar_Fixed_integr_cost</f>
        <v>25.2226363407717</v>
      </c>
      <c r="F31" s="103">
        <f>'Table 2A BaseLoad'!F31-Solar_Fixed_integr_cost</f>
        <v>23.764503860353862</v>
      </c>
      <c r="G31" s="102">
        <f>'Table 2A BaseLoad'!G31-Solar_Fixed_integr_cost</f>
        <v>23.252903870627698</v>
      </c>
      <c r="H31" s="103">
        <f>'Table 2A BaseLoad'!H31-Solar_Fixed_integr_cost</f>
        <v>32.283903721842556</v>
      </c>
      <c r="I31" s="103">
        <f>'Table 2A BaseLoad'!I31-Solar_Fixed_integr_cost</f>
        <v>35.694465829230126</v>
      </c>
      <c r="J31" s="104">
        <f>'Table 2A BaseLoad'!J31-Solar_Fixed_integr_cost</f>
        <v>30.729973114257056</v>
      </c>
      <c r="K31" s="102">
        <f>'Table 2A BaseLoad'!K31-Solar_Fixed_integr_cost</f>
        <v>26.900057413968185</v>
      </c>
      <c r="L31" s="103">
        <f>'Table 2A BaseLoad'!L31-Solar_Fixed_integr_cost</f>
        <v>27.523280094212126</v>
      </c>
      <c r="M31" s="104">
        <f>'Table 2A BaseLoad'!M31-Solar_Fixed_integr_cost</f>
        <v>28.3395949980208</v>
      </c>
      <c r="N31" s="246"/>
      <c r="O31" s="67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'Table 2A BaseLoad'!B32-Solar_Fixed_integr_cost</f>
        <v>28.245108367773476</v>
      </c>
      <c r="C32" s="103">
        <f>'Table 2A BaseLoad'!C32-Solar_Fixed_integr_cost</f>
        <v>29.12772352750369</v>
      </c>
      <c r="D32" s="103">
        <f>'Table 2A BaseLoad'!D32-Solar_Fixed_integr_cost</f>
        <v>32.854698636337154</v>
      </c>
      <c r="E32" s="103">
        <f>'Table 2A BaseLoad'!E32-Solar_Fixed_integr_cost</f>
        <v>28.088929822413874</v>
      </c>
      <c r="F32" s="103">
        <f>'Table 2A BaseLoad'!F32-Solar_Fixed_integr_cost</f>
        <v>25.772939104416999</v>
      </c>
      <c r="G32" s="102">
        <f>'Table 2A BaseLoad'!G32-Solar_Fixed_integr_cost</f>
        <v>25.788490489824781</v>
      </c>
      <c r="H32" s="103">
        <f>'Table 2A BaseLoad'!H32-Solar_Fixed_integr_cost</f>
        <v>35.088313141607792</v>
      </c>
      <c r="I32" s="103">
        <f>'Table 2A BaseLoad'!I32-Solar_Fixed_integr_cost</f>
        <v>38.428499352461714</v>
      </c>
      <c r="J32" s="104">
        <f>'Table 2A BaseLoad'!J32-Solar_Fixed_integr_cost</f>
        <v>31.102049815720981</v>
      </c>
      <c r="K32" s="102">
        <f>'Table 2A BaseLoad'!K32-Solar_Fixed_integr_cost</f>
        <v>30.685487850287188</v>
      </c>
      <c r="L32" s="103">
        <f>'Table 2A BaseLoad'!L32-Solar_Fixed_integr_cost</f>
        <v>36.573977721966806</v>
      </c>
      <c r="M32" s="104">
        <f>'Table 2A BaseLoad'!M32-Solar_Fixed_integr_cost</f>
        <v>30.153157214550404</v>
      </c>
      <c r="N32" s="246"/>
      <c r="O32" s="67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'Table 2A BaseLoad'!B33-Solar_Fixed_integr_cost</f>
        <v>30.283796920313314</v>
      </c>
      <c r="C33" s="103">
        <f>'Table 2A BaseLoad'!C33-Solar_Fixed_integr_cost</f>
        <v>31.252442851754886</v>
      </c>
      <c r="D33" s="103">
        <f>'Table 2A BaseLoad'!D33-Solar_Fixed_integr_cost</f>
        <v>33.635733661502599</v>
      </c>
      <c r="E33" s="103">
        <f>'Table 2A BaseLoad'!E33-Solar_Fixed_integr_cost</f>
        <v>31.685712459418511</v>
      </c>
      <c r="F33" s="103">
        <f>'Table 2A BaseLoad'!F33-Solar_Fixed_integr_cost</f>
        <v>27.577429856843047</v>
      </c>
      <c r="G33" s="102">
        <f>'Table 2A BaseLoad'!G33-Solar_Fixed_integr_cost</f>
        <v>27.43785466590689</v>
      </c>
      <c r="H33" s="103">
        <f>'Table 2A BaseLoad'!H33-Solar_Fixed_integr_cost</f>
        <v>37.076447466562996</v>
      </c>
      <c r="I33" s="103">
        <f>'Table 2A BaseLoad'!I33-Solar_Fixed_integr_cost</f>
        <v>40.519064695218241</v>
      </c>
      <c r="J33" s="104">
        <f>'Table 2A BaseLoad'!J33-Solar_Fixed_integr_cost</f>
        <v>33.548748990535323</v>
      </c>
      <c r="K33" s="102">
        <f>'Table 2A BaseLoad'!K33-Solar_Fixed_integr_cost</f>
        <v>33.746477788865406</v>
      </c>
      <c r="L33" s="103">
        <f>'Table 2A BaseLoad'!L33-Solar_Fixed_integr_cost</f>
        <v>32.22398024718381</v>
      </c>
      <c r="M33" s="104">
        <f>'Table 2A BaseLoad'!M33-Solar_Fixed_integr_cost</f>
        <v>32.768310627672143</v>
      </c>
      <c r="N33" s="246"/>
      <c r="O33" s="67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'Table 2A BaseLoad'!B34-Solar_Fixed_integr_cost</f>
        <v>35.694641630005457</v>
      </c>
      <c r="C34" s="103">
        <f>'Table 2A BaseLoad'!C34-Solar_Fixed_integr_cost</f>
        <v>33.85130708613444</v>
      </c>
      <c r="D34" s="103">
        <f>'Table 2A BaseLoad'!D34-Solar_Fixed_integr_cost</f>
        <v>35.509546837817922</v>
      </c>
      <c r="E34" s="103">
        <f>'Table 2A BaseLoad'!E34-Solar_Fixed_integr_cost</f>
        <v>34.863768727373746</v>
      </c>
      <c r="F34" s="103">
        <f>'Table 2A BaseLoad'!F34-Solar_Fixed_integr_cost</f>
        <v>31.453690399267984</v>
      </c>
      <c r="G34" s="102">
        <f>'Table 2A BaseLoad'!G34-Solar_Fixed_integr_cost</f>
        <v>33.698284479263755</v>
      </c>
      <c r="H34" s="103">
        <f>'Table 2A BaseLoad'!H34-Solar_Fixed_integr_cost</f>
        <v>43.288239694104725</v>
      </c>
      <c r="I34" s="103">
        <f>'Table 2A BaseLoad'!I34-Solar_Fixed_integr_cost</f>
        <v>43.20105128246049</v>
      </c>
      <c r="J34" s="104">
        <f>'Table 2A BaseLoad'!J34-Solar_Fixed_integr_cost</f>
        <v>37.933812433899277</v>
      </c>
      <c r="K34" s="102">
        <f>'Table 2A BaseLoad'!K34-Solar_Fixed_integr_cost</f>
        <v>34.792226672379243</v>
      </c>
      <c r="L34" s="103">
        <f>'Table 2A BaseLoad'!L34-Solar_Fixed_integr_cost</f>
        <v>35.09838328044448</v>
      </c>
      <c r="M34" s="104">
        <f>'Table 2A BaseLoad'!M34-Solar_Fixed_integr_cost</f>
        <v>34.115107823506158</v>
      </c>
      <c r="N34" s="246"/>
      <c r="O34" s="67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'Table 2A BaseLoad'!B35-Solar_Fixed_integr_cost</f>
        <v>36.977654860375388</v>
      </c>
      <c r="C35" s="103">
        <f>'Table 2A BaseLoad'!C35-Solar_Fixed_integr_cost</f>
        <v>38.85586814948136</v>
      </c>
      <c r="D35" s="103">
        <f>'Table 2A BaseLoad'!D35-Solar_Fixed_integr_cost</f>
        <v>37.79166748779916</v>
      </c>
      <c r="E35" s="103">
        <f>'Table 2A BaseLoad'!E35-Solar_Fixed_integr_cost</f>
        <v>36.625154014937578</v>
      </c>
      <c r="F35" s="103">
        <f>'Table 2A BaseLoad'!F35-Solar_Fixed_integr_cost</f>
        <v>34.991452215910762</v>
      </c>
      <c r="G35" s="102">
        <f>'Table 2A BaseLoad'!G35-Solar_Fixed_integr_cost</f>
        <v>36.811154329871968</v>
      </c>
      <c r="H35" s="103">
        <f>'Table 2A BaseLoad'!H35-Solar_Fixed_integr_cost</f>
        <v>43.823762015616225</v>
      </c>
      <c r="I35" s="103">
        <f>'Table 2A BaseLoad'!I35-Solar_Fixed_integr_cost</f>
        <v>44.134928623601319</v>
      </c>
      <c r="J35" s="104">
        <f>'Table 2A BaseLoad'!J35-Solar_Fixed_integr_cost</f>
        <v>40.274193730250829</v>
      </c>
      <c r="K35" s="102">
        <f>'Table 2A BaseLoad'!K35-Solar_Fixed_integr_cost</f>
        <v>38.739675271128938</v>
      </c>
      <c r="L35" s="103">
        <f>'Table 2A BaseLoad'!L35-Solar_Fixed_integr_cost</f>
        <v>41.894908349137339</v>
      </c>
      <c r="M35" s="104">
        <f>'Table 2A BaseLoad'!M35-Solar_Fixed_integr_cost</f>
        <v>42.026009342994101</v>
      </c>
      <c r="N35" s="246"/>
      <c r="O35" s="67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'Table 2A BaseLoad'!B36-Solar_Fixed_integr_cost</f>
        <v>39.920653922637946</v>
      </c>
      <c r="C36" s="103">
        <f>'Table 2A BaseLoad'!C36-Solar_Fixed_integr_cost</f>
        <v>39.144158586433072</v>
      </c>
      <c r="D36" s="103">
        <f>'Table 2A BaseLoad'!D36-Solar_Fixed_integr_cost</f>
        <v>39.696046430143298</v>
      </c>
      <c r="E36" s="103">
        <f>'Table 2A BaseLoad'!E36-Solar_Fixed_integr_cost</f>
        <v>36.310701079716289</v>
      </c>
      <c r="F36" s="103">
        <f>'Table 2A BaseLoad'!F36-Solar_Fixed_integr_cost</f>
        <v>35.815816120693604</v>
      </c>
      <c r="G36" s="102">
        <f>'Table 2A BaseLoad'!G36-Solar_Fixed_integr_cost</f>
        <v>38.970467893920009</v>
      </c>
      <c r="H36" s="103">
        <f>'Table 2A BaseLoad'!H36-Solar_Fixed_integr_cost</f>
        <v>45.447988398339483</v>
      </c>
      <c r="I36" s="103">
        <f>'Table 2A BaseLoad'!I36-Solar_Fixed_integr_cost</f>
        <v>44.865197923088907</v>
      </c>
      <c r="J36" s="104">
        <f>'Table 2A BaseLoad'!J36-Solar_Fixed_integr_cost</f>
        <v>40.572221532149449</v>
      </c>
      <c r="K36" s="102">
        <f>'Table 2A BaseLoad'!K36-Solar_Fixed_integr_cost</f>
        <v>39.379440841686019</v>
      </c>
      <c r="L36" s="103">
        <f>'Table 2A BaseLoad'!L36-Solar_Fixed_integr_cost</f>
        <v>39.915416880684596</v>
      </c>
      <c r="M36" s="104">
        <f>'Table 2A BaseLoad'!M36-Solar_Fixed_integr_cost</f>
        <v>42.14118639534199</v>
      </c>
      <c r="N36" s="246"/>
      <c r="O36" s="67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'Table 2A BaseLoad'!B37-Solar_Fixed_integr_cost</f>
        <v>41.05718752247752</v>
      </c>
      <c r="C37" s="103">
        <f>'Table 2A BaseLoad'!C37-Solar_Fixed_integr_cost</f>
        <v>40.579913552924992</v>
      </c>
      <c r="D37" s="103">
        <f>'Table 2A BaseLoad'!D37-Solar_Fixed_integr_cost</f>
        <v>40.344649045632416</v>
      </c>
      <c r="E37" s="103">
        <f>'Table 2A BaseLoad'!E37-Solar_Fixed_integr_cost</f>
        <v>38.480596519286436</v>
      </c>
      <c r="F37" s="103">
        <f>'Table 2A BaseLoad'!F37-Solar_Fixed_integr_cost</f>
        <v>37.425377018772146</v>
      </c>
      <c r="G37" s="102">
        <f>'Table 2A BaseLoad'!G37-Solar_Fixed_integr_cost</f>
        <v>39.770930524054499</v>
      </c>
      <c r="H37" s="103">
        <f>'Table 2A BaseLoad'!H37-Solar_Fixed_integr_cost</f>
        <v>46.858676815023344</v>
      </c>
      <c r="I37" s="103">
        <f>'Table 2A BaseLoad'!I37-Solar_Fixed_integr_cost</f>
        <v>46.321929403961668</v>
      </c>
      <c r="J37" s="104">
        <f>'Table 2A BaseLoad'!J37-Solar_Fixed_integr_cost</f>
        <v>40.439582937504682</v>
      </c>
      <c r="K37" s="102">
        <f>'Table 2A BaseLoad'!K37-Solar_Fixed_integr_cost</f>
        <v>40.945253756720852</v>
      </c>
      <c r="L37" s="103">
        <f>'Table 2A BaseLoad'!L37-Solar_Fixed_integr_cost</f>
        <v>42.689154481941628</v>
      </c>
      <c r="M37" s="104">
        <f>'Table 2A BaseLoad'!M37-Solar_Fixed_integr_cost</f>
        <v>45.046191666666218</v>
      </c>
      <c r="N37" s="246"/>
      <c r="O37" s="67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'Table 2A BaseLoad'!B38-Solar_Fixed_integr_cost</f>
        <v>43.519905698926699</v>
      </c>
      <c r="C38" s="103">
        <f>'Table 2A BaseLoad'!C38-Solar_Fixed_integr_cost</f>
        <v>43.041396860630179</v>
      </c>
      <c r="D38" s="103">
        <f>'Table 2A BaseLoad'!D38-Solar_Fixed_integr_cost</f>
        <v>42.472427853499688</v>
      </c>
      <c r="E38" s="103">
        <f>'Table 2A BaseLoad'!E38-Solar_Fixed_integr_cost</f>
        <v>40.036007086113095</v>
      </c>
      <c r="F38" s="103">
        <f>'Table 2A BaseLoad'!F38-Solar_Fixed_integr_cost</f>
        <v>38.359462236559359</v>
      </c>
      <c r="G38" s="102">
        <f>'Table 2A BaseLoad'!G38-Solar_Fixed_integr_cost</f>
        <v>41.224159319450457</v>
      </c>
      <c r="H38" s="103">
        <f>'Table 2A BaseLoad'!H38-Solar_Fixed_integr_cost</f>
        <v>49.249353293015432</v>
      </c>
      <c r="I38" s="103">
        <f>'Table 2A BaseLoad'!I38-Solar_Fixed_integr_cost</f>
        <v>50.20165761290459</v>
      </c>
      <c r="J38" s="103">
        <f>'Table 2A BaseLoad'!J38-Solar_Fixed_integr_cost</f>
        <v>42.93576424583793</v>
      </c>
      <c r="K38" s="102">
        <f>'Table 2A BaseLoad'!K38-Solar_Fixed_integr_cost</f>
        <v>43.500410318553293</v>
      </c>
      <c r="L38" s="103">
        <f>'Table 2A BaseLoad'!L38-Solar_Fixed_integr_cost</f>
        <v>44.199648706941971</v>
      </c>
      <c r="M38" s="104">
        <f>'Table 2A BaseLoad'!M38-Solar_Fixed_integr_cost</f>
        <v>45.501040403226853</v>
      </c>
      <c r="N38" s="246"/>
      <c r="O38" s="6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'Table 2A BaseLoad'!B39-Solar_Fixed_integr_cost</f>
        <v>46.84632190053582</v>
      </c>
      <c r="C39" s="103">
        <f>'Table 2A BaseLoad'!C39-Solar_Fixed_integr_cost</f>
        <v>45.762422946431634</v>
      </c>
      <c r="D39" s="103">
        <f>'Table 2A BaseLoad'!D39-Solar_Fixed_integr_cost</f>
        <v>44.152895752687449</v>
      </c>
      <c r="E39" s="103">
        <f>'Table 2A BaseLoad'!E39-Solar_Fixed_integr_cost</f>
        <v>41.242134013892048</v>
      </c>
      <c r="F39" s="103">
        <f>'Table 2A BaseLoad'!F39-Solar_Fixed_integr_cost</f>
        <v>40.648546629032943</v>
      </c>
      <c r="G39" s="102">
        <f>'Table 2A BaseLoad'!G39-Solar_Fixed_integr_cost</f>
        <v>43.926004944447847</v>
      </c>
      <c r="H39" s="103">
        <f>'Table 2A BaseLoad'!H39-Solar_Fixed_integr_cost</f>
        <v>52.142026448917164</v>
      </c>
      <c r="I39" s="103">
        <f>'Table 2A BaseLoad'!I39-Solar_Fixed_integr_cost</f>
        <v>53.464723002684693</v>
      </c>
      <c r="J39" s="103">
        <f>'Table 2A BaseLoad'!J39-Solar_Fixed_integr_cost</f>
        <v>46.573988412498601</v>
      </c>
      <c r="K39" s="102">
        <f>'Table 2A BaseLoad'!K39-Solar_Fixed_integr_cost</f>
        <v>45.017214094092772</v>
      </c>
      <c r="L39" s="103">
        <f>'Table 2A BaseLoad'!L39-Solar_Fixed_integr_cost</f>
        <v>46.347842659718459</v>
      </c>
      <c r="M39" s="104">
        <f>'Table 2A BaseLoad'!M39-Solar_Fixed_integr_cost</f>
        <v>47.785206354840469</v>
      </c>
      <c r="N39" s="246"/>
      <c r="O39" s="67"/>
    </row>
    <row r="40" spans="1:26" ht="12.75" customHeight="1" x14ac:dyDescent="0.2">
      <c r="A40" s="101">
        <f t="shared" si="1"/>
        <v>2026</v>
      </c>
      <c r="B40" s="102">
        <f>'Table 2A BaseLoad'!B40-Solar_Fixed_integr_cost</f>
        <v>48.540240154573993</v>
      </c>
      <c r="C40" s="103">
        <f>'Table 2A BaseLoad'!C40-Solar_Fixed_integr_cost</f>
        <v>47.535011380954337</v>
      </c>
      <c r="D40" s="103">
        <f>'Table 2A BaseLoad'!D40-Solar_Fixed_integr_cost</f>
        <v>45.646385309138608</v>
      </c>
      <c r="E40" s="103">
        <f>'Table 2A BaseLoad'!E40-Solar_Fixed_integr_cost</f>
        <v>43.972835443048844</v>
      </c>
      <c r="F40" s="103">
        <f>'Table 2A BaseLoad'!F40-Solar_Fixed_integr_cost</f>
        <v>42.323886819891236</v>
      </c>
      <c r="G40" s="102">
        <f>'Table 2A BaseLoad'!G40-Solar_Fixed_integr_cost</f>
        <v>46.538580022222469</v>
      </c>
      <c r="H40" s="103">
        <f>'Table 2A BaseLoad'!H40-Solar_Fixed_integr_cost</f>
        <v>54.700869302421971</v>
      </c>
      <c r="I40" s="103">
        <f>'Table 2A BaseLoad'!I40-Solar_Fixed_integr_cost</f>
        <v>56.278752966391785</v>
      </c>
      <c r="J40" s="103">
        <f>'Table 2A BaseLoad'!J40-Solar_Fixed_integr_cost</f>
        <v>49.250368083334635</v>
      </c>
      <c r="K40" s="102">
        <f>'Table 2A BaseLoad'!K40-Solar_Fixed_integr_cost</f>
        <v>46.788458229836117</v>
      </c>
      <c r="L40" s="103">
        <f>'Table 2A BaseLoad'!L40-Solar_Fixed_integr_cost</f>
        <v>48.289395020827655</v>
      </c>
      <c r="M40" s="104">
        <f>'Table 2A BaseLoad'!M40-Solar_Fixed_integr_cost</f>
        <v>50.517759806452901</v>
      </c>
      <c r="N40" s="246"/>
      <c r="O40" s="67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186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>H10*0.56+H28*0.44</f>
        <v>33.773945963456988</v>
      </c>
      <c r="I46" s="99">
        <f t="shared" ref="I46:M46" si="2">I10*0.56+I28*0.44</f>
        <v>41.968088631025651</v>
      </c>
      <c r="J46" s="99">
        <f t="shared" si="2"/>
        <v>32.582871666121385</v>
      </c>
      <c r="K46" s="98">
        <f t="shared" si="2"/>
        <v>30.409114275770726</v>
      </c>
      <c r="L46" s="99">
        <f t="shared" si="2"/>
        <v>33.726181082687432</v>
      </c>
      <c r="M46" s="100">
        <f t="shared" si="2"/>
        <v>30.513299207748027</v>
      </c>
    </row>
    <row r="47" spans="1:26" ht="12.75" customHeight="1" x14ac:dyDescent="0.2">
      <c r="A47" s="101">
        <f t="shared" ref="A47:A58" si="3">A46+1</f>
        <v>2015</v>
      </c>
      <c r="B47" s="102">
        <f>B11*0.56+B29*0.44</f>
        <v>37.955467668721369</v>
      </c>
      <c r="C47" s="103">
        <f t="shared" ref="C47:M47" si="4">C11*0.56+C29*0.44</f>
        <v>38.394075595192689</v>
      </c>
      <c r="D47" s="103">
        <f t="shared" si="4"/>
        <v>44.08865580463732</v>
      </c>
      <c r="E47" s="103">
        <f t="shared" si="4"/>
        <v>29.078222593234539</v>
      </c>
      <c r="F47" s="103">
        <f t="shared" si="4"/>
        <v>26.538136599942817</v>
      </c>
      <c r="G47" s="102">
        <f t="shared" si="4"/>
        <v>28.397075736762641</v>
      </c>
      <c r="H47" s="103">
        <f t="shared" si="4"/>
        <v>36.377214708380421</v>
      </c>
      <c r="I47" s="103">
        <f t="shared" si="4"/>
        <v>38.665219305632824</v>
      </c>
      <c r="J47" s="103">
        <f t="shared" si="4"/>
        <v>33.945997685376035</v>
      </c>
      <c r="K47" s="102">
        <f t="shared" si="4"/>
        <v>31.185466065529067</v>
      </c>
      <c r="L47" s="103">
        <f t="shared" si="4"/>
        <v>33.125906738682232</v>
      </c>
      <c r="M47" s="104">
        <f t="shared" si="4"/>
        <v>38.073239722027672</v>
      </c>
    </row>
    <row r="48" spans="1:26" ht="12.75" customHeight="1" x14ac:dyDescent="0.2">
      <c r="A48" s="101">
        <f t="shared" si="3"/>
        <v>2016</v>
      </c>
      <c r="B48" s="102">
        <f t="shared" ref="B48:M58" si="5">B12*0.56+B30*0.44</f>
        <v>32.630362710116557</v>
      </c>
      <c r="C48" s="103">
        <f t="shared" si="5"/>
        <v>35.410472072244936</v>
      </c>
      <c r="D48" s="103">
        <f t="shared" si="5"/>
        <v>36.893913430300159</v>
      </c>
      <c r="E48" s="103">
        <f t="shared" si="5"/>
        <v>30.352086305655327</v>
      </c>
      <c r="F48" s="103">
        <f t="shared" si="5"/>
        <v>26.871291282629002</v>
      </c>
      <c r="G48" s="102">
        <f t="shared" si="5"/>
        <v>26.90771968563169</v>
      </c>
      <c r="H48" s="103">
        <f t="shared" si="5"/>
        <v>35.294785036567426</v>
      </c>
      <c r="I48" s="103">
        <f t="shared" si="5"/>
        <v>38.512169183410329</v>
      </c>
      <c r="J48" s="103">
        <f t="shared" si="5"/>
        <v>32.271005325275773</v>
      </c>
      <c r="K48" s="102">
        <f t="shared" si="5"/>
        <v>30.993662117866442</v>
      </c>
      <c r="L48" s="103">
        <f t="shared" si="5"/>
        <v>27.189930839213432</v>
      </c>
      <c r="M48" s="104">
        <f t="shared" si="5"/>
        <v>34.544923180794548</v>
      </c>
    </row>
    <row r="49" spans="1:13" ht="12.75" customHeight="1" x14ac:dyDescent="0.2">
      <c r="A49" s="101">
        <f t="shared" si="3"/>
        <v>2017</v>
      </c>
      <c r="B49" s="102">
        <f t="shared" si="5"/>
        <v>32.07532177739273</v>
      </c>
      <c r="C49" s="103">
        <f t="shared" si="5"/>
        <v>35.451348479001325</v>
      </c>
      <c r="D49" s="103">
        <f t="shared" si="5"/>
        <v>36.501206645677442</v>
      </c>
      <c r="E49" s="103">
        <f t="shared" si="5"/>
        <v>30.245388340771704</v>
      </c>
      <c r="F49" s="103">
        <f t="shared" si="5"/>
        <v>28.787255860353863</v>
      </c>
      <c r="G49" s="102">
        <f t="shared" si="5"/>
        <v>28.275655870627702</v>
      </c>
      <c r="H49" s="103">
        <f t="shared" si="5"/>
        <v>37.30665572184256</v>
      </c>
      <c r="I49" s="103">
        <f t="shared" si="5"/>
        <v>40.71721782923013</v>
      </c>
      <c r="J49" s="103">
        <f t="shared" si="5"/>
        <v>35.752725114257061</v>
      </c>
      <c r="K49" s="102">
        <f t="shared" si="5"/>
        <v>31.922809413968189</v>
      </c>
      <c r="L49" s="103">
        <f t="shared" si="5"/>
        <v>32.54603209421213</v>
      </c>
      <c r="M49" s="104">
        <f t="shared" si="5"/>
        <v>33.362346998020804</v>
      </c>
    </row>
    <row r="50" spans="1:13" ht="12.75" customHeight="1" x14ac:dyDescent="0.2">
      <c r="A50" s="101">
        <f t="shared" si="3"/>
        <v>2018</v>
      </c>
      <c r="B50" s="102">
        <f t="shared" si="5"/>
        <v>34.212244367773479</v>
      </c>
      <c r="C50" s="103">
        <f t="shared" si="5"/>
        <v>35.094859527503694</v>
      </c>
      <c r="D50" s="103">
        <f t="shared" si="5"/>
        <v>38.821834636337158</v>
      </c>
      <c r="E50" s="103">
        <f t="shared" si="5"/>
        <v>34.056065822413878</v>
      </c>
      <c r="F50" s="103">
        <f t="shared" si="5"/>
        <v>31.740075104416999</v>
      </c>
      <c r="G50" s="102">
        <f t="shared" si="5"/>
        <v>31.755626489824785</v>
      </c>
      <c r="H50" s="103">
        <f t="shared" si="5"/>
        <v>41.055449141607795</v>
      </c>
      <c r="I50" s="103">
        <f t="shared" si="5"/>
        <v>44.395635352461717</v>
      </c>
      <c r="J50" s="103">
        <f t="shared" si="5"/>
        <v>37.069185815720985</v>
      </c>
      <c r="K50" s="102">
        <f t="shared" si="5"/>
        <v>36.652623850287192</v>
      </c>
      <c r="L50" s="103">
        <f t="shared" si="5"/>
        <v>42.541113721966809</v>
      </c>
      <c r="M50" s="104">
        <f t="shared" si="5"/>
        <v>36.120293214550408</v>
      </c>
    </row>
    <row r="51" spans="1:13" ht="12.75" customHeight="1" x14ac:dyDescent="0.2">
      <c r="A51" s="101">
        <f t="shared" si="3"/>
        <v>2019</v>
      </c>
      <c r="B51" s="102">
        <f t="shared" si="5"/>
        <v>36.349940920313315</v>
      </c>
      <c r="C51" s="103">
        <f t="shared" si="5"/>
        <v>37.318586851754887</v>
      </c>
      <c r="D51" s="103">
        <f t="shared" si="5"/>
        <v>39.7018776615026</v>
      </c>
      <c r="E51" s="103">
        <f t="shared" si="5"/>
        <v>37.751856459418512</v>
      </c>
      <c r="F51" s="103">
        <f t="shared" si="5"/>
        <v>33.643573856843048</v>
      </c>
      <c r="G51" s="102">
        <f t="shared" si="5"/>
        <v>33.503998665906892</v>
      </c>
      <c r="H51" s="103">
        <f t="shared" si="5"/>
        <v>43.142591466562997</v>
      </c>
      <c r="I51" s="103">
        <f t="shared" si="5"/>
        <v>46.585208695218242</v>
      </c>
      <c r="J51" s="103">
        <f t="shared" si="5"/>
        <v>39.614892990535324</v>
      </c>
      <c r="K51" s="102">
        <f t="shared" si="5"/>
        <v>39.812621788865407</v>
      </c>
      <c r="L51" s="103">
        <f t="shared" si="5"/>
        <v>38.290124247183812</v>
      </c>
      <c r="M51" s="104">
        <f t="shared" si="5"/>
        <v>38.834454627672145</v>
      </c>
    </row>
    <row r="52" spans="1:13" ht="12.75" customHeight="1" x14ac:dyDescent="0.2">
      <c r="A52" s="101">
        <f t="shared" si="3"/>
        <v>2020</v>
      </c>
      <c r="B52" s="102">
        <f t="shared" si="5"/>
        <v>41.871217630005461</v>
      </c>
      <c r="C52" s="103">
        <f t="shared" si="5"/>
        <v>40.027883086134445</v>
      </c>
      <c r="D52" s="103">
        <f t="shared" si="5"/>
        <v>41.686122837817926</v>
      </c>
      <c r="E52" s="103">
        <f t="shared" si="5"/>
        <v>41.04034472737375</v>
      </c>
      <c r="F52" s="103">
        <f t="shared" si="5"/>
        <v>37.630266399267988</v>
      </c>
      <c r="G52" s="102">
        <f t="shared" si="5"/>
        <v>39.874860479263759</v>
      </c>
      <c r="H52" s="103">
        <f t="shared" si="5"/>
        <v>49.464815694104729</v>
      </c>
      <c r="I52" s="103">
        <f t="shared" si="5"/>
        <v>49.377627282460494</v>
      </c>
      <c r="J52" s="103">
        <f t="shared" si="5"/>
        <v>44.110388433899281</v>
      </c>
      <c r="K52" s="102">
        <f t="shared" si="5"/>
        <v>40.968802672379248</v>
      </c>
      <c r="L52" s="103">
        <f t="shared" si="5"/>
        <v>41.274959280444484</v>
      </c>
      <c r="M52" s="104">
        <f t="shared" si="5"/>
        <v>40.291683823506162</v>
      </c>
    </row>
    <row r="53" spans="1:13" ht="12.75" customHeight="1" x14ac:dyDescent="0.2">
      <c r="A53" s="101">
        <f t="shared" si="3"/>
        <v>2021</v>
      </c>
      <c r="B53" s="102">
        <f t="shared" si="5"/>
        <v>44.170966860375387</v>
      </c>
      <c r="C53" s="103">
        <f t="shared" si="5"/>
        <v>46.049180149481359</v>
      </c>
      <c r="D53" s="103">
        <f t="shared" si="5"/>
        <v>44.984979487799166</v>
      </c>
      <c r="E53" s="103">
        <f t="shared" si="5"/>
        <v>43.818466014937584</v>
      </c>
      <c r="F53" s="103">
        <f t="shared" si="5"/>
        <v>42.184764215910761</v>
      </c>
      <c r="G53" s="102">
        <f t="shared" si="5"/>
        <v>44.004466329871974</v>
      </c>
      <c r="H53" s="103">
        <f t="shared" si="5"/>
        <v>51.017074015616231</v>
      </c>
      <c r="I53" s="103">
        <f t="shared" si="5"/>
        <v>51.328240623601317</v>
      </c>
      <c r="J53" s="103">
        <f t="shared" si="5"/>
        <v>47.467505730250835</v>
      </c>
      <c r="K53" s="102">
        <f t="shared" si="5"/>
        <v>45.932987271128937</v>
      </c>
      <c r="L53" s="103">
        <f t="shared" si="5"/>
        <v>49.088220349137345</v>
      </c>
      <c r="M53" s="104">
        <f t="shared" si="5"/>
        <v>49.219321342994107</v>
      </c>
    </row>
    <row r="54" spans="1:13" ht="12.75" customHeight="1" x14ac:dyDescent="0.2">
      <c r="A54" s="101">
        <f t="shared" si="3"/>
        <v>2022</v>
      </c>
      <c r="B54" s="102">
        <f t="shared" si="5"/>
        <v>47.243437922637952</v>
      </c>
      <c r="C54" s="103">
        <f t="shared" si="5"/>
        <v>46.466942586433078</v>
      </c>
      <c r="D54" s="103">
        <f t="shared" si="5"/>
        <v>47.018830430143296</v>
      </c>
      <c r="E54" s="103">
        <f t="shared" si="5"/>
        <v>43.633485079716294</v>
      </c>
      <c r="F54" s="103">
        <f t="shared" si="5"/>
        <v>43.13860012069361</v>
      </c>
      <c r="G54" s="102">
        <f t="shared" si="5"/>
        <v>46.293251893920015</v>
      </c>
      <c r="H54" s="103">
        <f t="shared" si="5"/>
        <v>52.770772398339489</v>
      </c>
      <c r="I54" s="103">
        <f t="shared" si="5"/>
        <v>52.187981923088913</v>
      </c>
      <c r="J54" s="103">
        <f t="shared" si="5"/>
        <v>47.895005532149455</v>
      </c>
      <c r="K54" s="102">
        <f t="shared" si="5"/>
        <v>46.702224841686018</v>
      </c>
      <c r="L54" s="103">
        <f t="shared" si="5"/>
        <v>47.238200880684602</v>
      </c>
      <c r="M54" s="104">
        <f t="shared" si="5"/>
        <v>49.463970395341988</v>
      </c>
    </row>
    <row r="55" spans="1:13" ht="12.75" customHeight="1" x14ac:dyDescent="0.2">
      <c r="A55" s="101">
        <f t="shared" si="3"/>
        <v>2023</v>
      </c>
      <c r="B55" s="102">
        <f t="shared" si="5"/>
        <v>48.509443522477525</v>
      </c>
      <c r="C55" s="103">
        <f t="shared" si="5"/>
        <v>48.032169552924998</v>
      </c>
      <c r="D55" s="103">
        <f t="shared" si="5"/>
        <v>47.796905045632421</v>
      </c>
      <c r="E55" s="103">
        <f t="shared" si="5"/>
        <v>45.932852519286442</v>
      </c>
      <c r="F55" s="103">
        <f t="shared" si="5"/>
        <v>44.877633018772144</v>
      </c>
      <c r="G55" s="102">
        <f t="shared" si="5"/>
        <v>47.223186524054505</v>
      </c>
      <c r="H55" s="103">
        <f t="shared" si="5"/>
        <v>54.310932815023349</v>
      </c>
      <c r="I55" s="103">
        <f t="shared" si="5"/>
        <v>53.774185403961667</v>
      </c>
      <c r="J55" s="103">
        <f t="shared" si="5"/>
        <v>47.891838937504687</v>
      </c>
      <c r="K55" s="102">
        <f t="shared" si="5"/>
        <v>48.397509756720851</v>
      </c>
      <c r="L55" s="103">
        <f t="shared" si="5"/>
        <v>50.141410481941634</v>
      </c>
      <c r="M55" s="104">
        <f t="shared" si="5"/>
        <v>52.498447666666223</v>
      </c>
    </row>
    <row r="56" spans="1:13" ht="12.75" customHeight="1" x14ac:dyDescent="0.2">
      <c r="A56" s="101">
        <f t="shared" si="3"/>
        <v>2024</v>
      </c>
      <c r="B56" s="102">
        <f t="shared" si="5"/>
        <v>51.109249698926703</v>
      </c>
      <c r="C56" s="103">
        <f t="shared" si="5"/>
        <v>50.630740860630183</v>
      </c>
      <c r="D56" s="103">
        <f t="shared" si="5"/>
        <v>50.061771853499692</v>
      </c>
      <c r="E56" s="103">
        <f t="shared" si="5"/>
        <v>47.625351086113099</v>
      </c>
      <c r="F56" s="103">
        <f t="shared" si="5"/>
        <v>45.948806236559363</v>
      </c>
      <c r="G56" s="102">
        <f t="shared" si="5"/>
        <v>48.813503319450462</v>
      </c>
      <c r="H56" s="103">
        <f t="shared" si="5"/>
        <v>56.838697293015429</v>
      </c>
      <c r="I56" s="103">
        <f t="shared" si="5"/>
        <v>57.791001612904594</v>
      </c>
      <c r="J56" s="103">
        <f t="shared" si="5"/>
        <v>50.525108245837927</v>
      </c>
      <c r="K56" s="102">
        <f t="shared" si="5"/>
        <v>51.089754318553297</v>
      </c>
      <c r="L56" s="103">
        <f t="shared" si="5"/>
        <v>51.788992706941976</v>
      </c>
      <c r="M56" s="104">
        <f t="shared" si="5"/>
        <v>53.090384403226857</v>
      </c>
    </row>
    <row r="57" spans="1:13" ht="12.75" customHeight="1" x14ac:dyDescent="0.2">
      <c r="A57" s="101">
        <f t="shared" si="3"/>
        <v>2025</v>
      </c>
      <c r="B57" s="102">
        <f t="shared" si="5"/>
        <v>55.536177900535826</v>
      </c>
      <c r="C57" s="103">
        <f t="shared" si="5"/>
        <v>54.452278946431633</v>
      </c>
      <c r="D57" s="103">
        <f t="shared" si="5"/>
        <v>52.842751752687455</v>
      </c>
      <c r="E57" s="103">
        <f t="shared" si="5"/>
        <v>49.931990013892047</v>
      </c>
      <c r="F57" s="103">
        <f t="shared" si="5"/>
        <v>49.338402629032942</v>
      </c>
      <c r="G57" s="102">
        <f t="shared" si="5"/>
        <v>52.615860944447853</v>
      </c>
      <c r="H57" s="103">
        <f t="shared" si="5"/>
        <v>60.83188244891717</v>
      </c>
      <c r="I57" s="103">
        <f t="shared" si="5"/>
        <v>62.154579002684699</v>
      </c>
      <c r="J57" s="103">
        <f t="shared" si="5"/>
        <v>55.263844412498599</v>
      </c>
      <c r="K57" s="102">
        <f t="shared" si="5"/>
        <v>53.707070094092778</v>
      </c>
      <c r="L57" s="103">
        <f t="shared" si="5"/>
        <v>55.037698659718458</v>
      </c>
      <c r="M57" s="104">
        <f t="shared" si="5"/>
        <v>56.475062354840475</v>
      </c>
    </row>
    <row r="58" spans="1:13" ht="12.75" customHeight="1" x14ac:dyDescent="0.2">
      <c r="A58" s="101">
        <f t="shared" si="3"/>
        <v>2026</v>
      </c>
      <c r="B58" s="102">
        <f t="shared" si="5"/>
        <v>57.393840154574001</v>
      </c>
      <c r="C58" s="103">
        <f t="shared" si="5"/>
        <v>56.388611380954345</v>
      </c>
      <c r="D58" s="103">
        <f t="shared" si="5"/>
        <v>54.499985309138609</v>
      </c>
      <c r="E58" s="103">
        <f t="shared" si="5"/>
        <v>52.826435443048851</v>
      </c>
      <c r="F58" s="103">
        <f t="shared" si="5"/>
        <v>51.177486819891243</v>
      </c>
      <c r="G58" s="102">
        <f t="shared" si="5"/>
        <v>55.392180022222476</v>
      </c>
      <c r="H58" s="103">
        <f t="shared" si="5"/>
        <v>63.554469302421964</v>
      </c>
      <c r="I58" s="103">
        <f t="shared" si="5"/>
        <v>65.132352966391778</v>
      </c>
      <c r="J58" s="103">
        <f t="shared" si="5"/>
        <v>58.103968083334635</v>
      </c>
      <c r="K58" s="102">
        <f t="shared" si="5"/>
        <v>55.642058229836124</v>
      </c>
      <c r="L58" s="103">
        <f t="shared" si="5"/>
        <v>57.142995020827662</v>
      </c>
      <c r="M58" s="104">
        <f t="shared" si="5"/>
        <v>59.371359806452901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4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4" s="70" customFormat="1" ht="12.75" customHeight="1" x14ac:dyDescent="0.2">
      <c r="A66" s="113">
        <f t="shared" ref="A66:A78" si="6">A10</f>
        <v>2014</v>
      </c>
      <c r="C66" s="77">
        <f>ROUND(AVERAGE(B10:F10,K10:M10),2)</f>
        <v>36.5</v>
      </c>
      <c r="D66" s="77">
        <f t="shared" ref="D66:D78" si="7">ROUND(AVERAGE(B28:F28,K28:M28),2)</f>
        <v>25.25</v>
      </c>
      <c r="E66" s="77">
        <f>ROUND(AVERAGE(B46:F46,K46:M46),2)</f>
        <v>31.55</v>
      </c>
      <c r="G66" s="103">
        <f t="shared" ref="G66:G78" si="8">ROUND(AVERAGE(G10:J10),2)</f>
        <v>41.06</v>
      </c>
      <c r="H66" s="103">
        <f t="shared" ref="H66:H78" si="9">ROUND(AVERAGE(G28:J28),2)</f>
        <v>29.81</v>
      </c>
      <c r="I66" s="103">
        <f>ROUND(AVERAGE(G46:J46),2)</f>
        <v>36.11</v>
      </c>
      <c r="K66" s="77">
        <f t="shared" ref="K66:K78" si="10">ROUND(AVERAGE(B10:M10),2)</f>
        <v>38.78</v>
      </c>
      <c r="L66" s="77">
        <f t="shared" ref="L66:L78" si="11">ROUND(AVERAGE(B28:M28),2)</f>
        <v>27.53</v>
      </c>
      <c r="M66" s="77">
        <f>ROUND(AVERAGE(B46:M46),2)</f>
        <v>33.83</v>
      </c>
    </row>
    <row r="67" spans="1:14" s="70" customFormat="1" ht="12.75" customHeight="1" x14ac:dyDescent="0.2">
      <c r="A67" s="113">
        <f t="shared" si="6"/>
        <v>2015</v>
      </c>
      <c r="C67" s="77">
        <f t="shared" ref="C67:C78" si="12">ROUND(AVERAGE(B11:F11,K11:M11),2)</f>
        <v>38.61</v>
      </c>
      <c r="D67" s="77">
        <f t="shared" si="7"/>
        <v>29.96</v>
      </c>
      <c r="E67" s="77">
        <f>ROUND(AVERAGE(B47:F47,K47:M47),2)</f>
        <v>34.799999999999997</v>
      </c>
      <c r="G67" s="103">
        <f t="shared" si="8"/>
        <v>38.159999999999997</v>
      </c>
      <c r="H67" s="103">
        <f t="shared" si="9"/>
        <v>29.5</v>
      </c>
      <c r="I67" s="103">
        <f>ROUND(AVERAGE(G47:J47),2)</f>
        <v>34.35</v>
      </c>
      <c r="K67" s="77">
        <f t="shared" si="10"/>
        <v>38.46</v>
      </c>
      <c r="L67" s="77">
        <f t="shared" si="11"/>
        <v>29.8</v>
      </c>
      <c r="M67" s="77">
        <f>ROUND(AVERAGE(B47:M47),2)</f>
        <v>34.65</v>
      </c>
    </row>
    <row r="68" spans="1:14" s="70" customFormat="1" ht="12.75" customHeight="1" x14ac:dyDescent="0.2">
      <c r="A68" s="113">
        <f t="shared" si="6"/>
        <v>2016</v>
      </c>
      <c r="C68" s="77">
        <f t="shared" si="12"/>
        <v>35.74</v>
      </c>
      <c r="D68" s="77">
        <f t="shared" si="7"/>
        <v>26.93</v>
      </c>
      <c r="E68" s="77">
        <f t="shared" ref="E68:E78" si="13">ROUND(AVERAGE(B48:F48,K48:M48),2)</f>
        <v>31.86</v>
      </c>
      <c r="G68" s="103">
        <f t="shared" si="8"/>
        <v>37.119999999999997</v>
      </c>
      <c r="H68" s="103">
        <f t="shared" si="9"/>
        <v>28.31</v>
      </c>
      <c r="I68" s="103">
        <f t="shared" ref="I68:I78" si="14">ROUND(AVERAGE(G48:J48),2)</f>
        <v>33.25</v>
      </c>
      <c r="K68" s="77">
        <f t="shared" si="10"/>
        <v>36.200000000000003</v>
      </c>
      <c r="L68" s="77">
        <f t="shared" si="11"/>
        <v>27.39</v>
      </c>
      <c r="M68" s="77">
        <f t="shared" ref="M68:M78" si="15">ROUND(AVERAGE(B48:M48),2)</f>
        <v>32.32</v>
      </c>
    </row>
    <row r="69" spans="1:14" s="70" customFormat="1" ht="12.75" customHeight="1" x14ac:dyDescent="0.2">
      <c r="A69" s="113">
        <f t="shared" si="6"/>
        <v>2017</v>
      </c>
      <c r="C69" s="77">
        <f t="shared" si="12"/>
        <v>36.56</v>
      </c>
      <c r="D69" s="77">
        <f t="shared" si="7"/>
        <v>27.59</v>
      </c>
      <c r="E69" s="77">
        <f t="shared" si="13"/>
        <v>32.61</v>
      </c>
      <c r="G69" s="103">
        <f t="shared" si="8"/>
        <v>39.46</v>
      </c>
      <c r="H69" s="103">
        <f t="shared" si="9"/>
        <v>30.49</v>
      </c>
      <c r="I69" s="103">
        <f t="shared" si="14"/>
        <v>35.51</v>
      </c>
      <c r="K69" s="77">
        <f t="shared" si="10"/>
        <v>37.53</v>
      </c>
      <c r="L69" s="77">
        <f t="shared" si="11"/>
        <v>28.56</v>
      </c>
      <c r="M69" s="77">
        <f t="shared" si="15"/>
        <v>33.58</v>
      </c>
    </row>
    <row r="70" spans="1:14" s="70" customFormat="1" ht="12.75" customHeight="1" x14ac:dyDescent="0.2">
      <c r="A70" s="113">
        <f t="shared" si="6"/>
        <v>2018</v>
      </c>
      <c r="C70" s="77">
        <f t="shared" si="12"/>
        <v>40.840000000000003</v>
      </c>
      <c r="D70" s="77">
        <f t="shared" si="7"/>
        <v>30.19</v>
      </c>
      <c r="E70" s="77">
        <f t="shared" si="13"/>
        <v>36.15</v>
      </c>
      <c r="G70" s="103">
        <f t="shared" si="8"/>
        <v>43.26</v>
      </c>
      <c r="H70" s="103">
        <f t="shared" si="9"/>
        <v>32.6</v>
      </c>
      <c r="I70" s="103">
        <f t="shared" si="14"/>
        <v>38.57</v>
      </c>
      <c r="K70" s="77">
        <f t="shared" si="10"/>
        <v>41.65</v>
      </c>
      <c r="L70" s="77">
        <f t="shared" si="11"/>
        <v>30.99</v>
      </c>
      <c r="M70" s="77">
        <f t="shared" si="15"/>
        <v>36.96</v>
      </c>
    </row>
    <row r="71" spans="1:14" s="70" customFormat="1" ht="12.75" customHeight="1" x14ac:dyDescent="0.2">
      <c r="A71" s="113">
        <f t="shared" si="6"/>
        <v>2019</v>
      </c>
      <c r="C71" s="77">
        <f t="shared" si="12"/>
        <v>42.48</v>
      </c>
      <c r="D71" s="77">
        <f t="shared" si="7"/>
        <v>31.65</v>
      </c>
      <c r="E71" s="77">
        <f t="shared" si="13"/>
        <v>37.71</v>
      </c>
      <c r="G71" s="103">
        <f t="shared" si="8"/>
        <v>45.48</v>
      </c>
      <c r="H71" s="103">
        <f t="shared" si="9"/>
        <v>34.65</v>
      </c>
      <c r="I71" s="103">
        <f t="shared" si="14"/>
        <v>40.71</v>
      </c>
      <c r="K71" s="77">
        <f t="shared" si="10"/>
        <v>43.48</v>
      </c>
      <c r="L71" s="77">
        <f t="shared" si="11"/>
        <v>32.65</v>
      </c>
      <c r="M71" s="77">
        <f t="shared" si="15"/>
        <v>38.71</v>
      </c>
    </row>
    <row r="72" spans="1:14" s="70" customFormat="1" ht="12.75" customHeight="1" x14ac:dyDescent="0.2">
      <c r="A72" s="113">
        <f t="shared" si="6"/>
        <v>2020</v>
      </c>
      <c r="C72" s="77">
        <f t="shared" si="12"/>
        <v>45.45</v>
      </c>
      <c r="D72" s="77">
        <f t="shared" si="7"/>
        <v>34.42</v>
      </c>
      <c r="E72" s="77">
        <f t="shared" si="13"/>
        <v>40.6</v>
      </c>
      <c r="G72" s="103">
        <f t="shared" si="8"/>
        <v>50.56</v>
      </c>
      <c r="H72" s="103">
        <f t="shared" si="9"/>
        <v>39.53</v>
      </c>
      <c r="I72" s="103">
        <f t="shared" si="14"/>
        <v>45.71</v>
      </c>
      <c r="K72" s="77">
        <f t="shared" si="10"/>
        <v>47.15</v>
      </c>
      <c r="L72" s="77">
        <f t="shared" si="11"/>
        <v>36.130000000000003</v>
      </c>
      <c r="M72" s="77">
        <f t="shared" si="15"/>
        <v>42.3</v>
      </c>
    </row>
    <row r="73" spans="1:14" s="70" customFormat="1" ht="12.75" customHeight="1" x14ac:dyDescent="0.2">
      <c r="A73" s="113">
        <f t="shared" si="6"/>
        <v>2021</v>
      </c>
      <c r="C73" s="77">
        <f t="shared" si="12"/>
        <v>51.33</v>
      </c>
      <c r="D73" s="77">
        <f t="shared" si="7"/>
        <v>38.49</v>
      </c>
      <c r="E73" s="77">
        <f t="shared" si="13"/>
        <v>45.68</v>
      </c>
      <c r="G73" s="103">
        <f t="shared" si="8"/>
        <v>54.11</v>
      </c>
      <c r="H73" s="103">
        <f t="shared" si="9"/>
        <v>41.26</v>
      </c>
      <c r="I73" s="103">
        <f t="shared" si="14"/>
        <v>48.45</v>
      </c>
      <c r="K73" s="77">
        <f t="shared" si="10"/>
        <v>52.26</v>
      </c>
      <c r="L73" s="77">
        <f t="shared" si="11"/>
        <v>39.409999999999997</v>
      </c>
      <c r="M73" s="77">
        <f t="shared" si="15"/>
        <v>46.61</v>
      </c>
    </row>
    <row r="74" spans="1:14" s="70" customFormat="1" ht="12.75" customHeight="1" x14ac:dyDescent="0.2">
      <c r="A74" s="113">
        <f t="shared" si="6"/>
        <v>2022</v>
      </c>
      <c r="C74" s="77">
        <f t="shared" si="12"/>
        <v>52.12</v>
      </c>
      <c r="D74" s="77">
        <f t="shared" si="7"/>
        <v>39.04</v>
      </c>
      <c r="E74" s="77">
        <f t="shared" si="13"/>
        <v>46.36</v>
      </c>
      <c r="G74" s="103">
        <f t="shared" si="8"/>
        <v>55.54</v>
      </c>
      <c r="H74" s="103">
        <f t="shared" si="9"/>
        <v>42.46</v>
      </c>
      <c r="I74" s="103">
        <f t="shared" si="14"/>
        <v>49.79</v>
      </c>
      <c r="K74" s="77">
        <f t="shared" si="10"/>
        <v>53.26</v>
      </c>
      <c r="L74" s="77">
        <f t="shared" si="11"/>
        <v>40.18</v>
      </c>
      <c r="M74" s="77">
        <f t="shared" si="15"/>
        <v>47.5</v>
      </c>
    </row>
    <row r="75" spans="1:14" s="70" customFormat="1" ht="12.75" customHeight="1" x14ac:dyDescent="0.2">
      <c r="A75" s="113">
        <f t="shared" si="6"/>
        <v>2023</v>
      </c>
      <c r="C75" s="77">
        <f t="shared" si="12"/>
        <v>54.13</v>
      </c>
      <c r="D75" s="77">
        <f t="shared" si="7"/>
        <v>40.82</v>
      </c>
      <c r="E75" s="77">
        <f t="shared" si="13"/>
        <v>48.27</v>
      </c>
      <c r="G75" s="103">
        <f t="shared" si="8"/>
        <v>56.66</v>
      </c>
      <c r="H75" s="103">
        <f t="shared" si="9"/>
        <v>43.35</v>
      </c>
      <c r="I75" s="103">
        <f t="shared" si="14"/>
        <v>50.8</v>
      </c>
      <c r="K75" s="77">
        <f t="shared" si="10"/>
        <v>54.97</v>
      </c>
      <c r="L75" s="77">
        <f t="shared" si="11"/>
        <v>41.66</v>
      </c>
      <c r="M75" s="77">
        <f t="shared" si="15"/>
        <v>49.12</v>
      </c>
    </row>
    <row r="76" spans="1:14" s="70" customFormat="1" ht="12.75" customHeight="1" x14ac:dyDescent="0.2">
      <c r="A76" s="113">
        <f t="shared" si="6"/>
        <v>2024</v>
      </c>
      <c r="C76" s="77">
        <f t="shared" si="12"/>
        <v>56.13</v>
      </c>
      <c r="D76" s="77">
        <f t="shared" si="7"/>
        <v>42.58</v>
      </c>
      <c r="E76" s="77">
        <f t="shared" si="13"/>
        <v>50.17</v>
      </c>
      <c r="G76" s="103">
        <f t="shared" si="8"/>
        <v>59.46</v>
      </c>
      <c r="H76" s="103">
        <f t="shared" si="9"/>
        <v>45.9</v>
      </c>
      <c r="I76" s="103">
        <f t="shared" si="14"/>
        <v>53.49</v>
      </c>
      <c r="K76" s="77">
        <f t="shared" si="10"/>
        <v>57.24</v>
      </c>
      <c r="L76" s="77">
        <f t="shared" si="11"/>
        <v>43.69</v>
      </c>
      <c r="M76" s="77">
        <f t="shared" si="15"/>
        <v>51.28</v>
      </c>
    </row>
    <row r="77" spans="1:14" s="70" customFormat="1" ht="12.75" customHeight="1" x14ac:dyDescent="0.2">
      <c r="A77" s="113">
        <f t="shared" si="6"/>
        <v>2025</v>
      </c>
      <c r="C77" s="77">
        <f t="shared" si="12"/>
        <v>60.24</v>
      </c>
      <c r="D77" s="77">
        <f t="shared" si="7"/>
        <v>44.73</v>
      </c>
      <c r="E77" s="77">
        <f t="shared" si="13"/>
        <v>53.42</v>
      </c>
      <c r="G77" s="103">
        <f t="shared" si="8"/>
        <v>64.540000000000006</v>
      </c>
      <c r="H77" s="103">
        <f t="shared" si="9"/>
        <v>49.03</v>
      </c>
      <c r="I77" s="103">
        <f t="shared" si="14"/>
        <v>57.72</v>
      </c>
      <c r="K77" s="77">
        <f t="shared" si="10"/>
        <v>61.68</v>
      </c>
      <c r="L77" s="77">
        <f t="shared" si="11"/>
        <v>46.16</v>
      </c>
      <c r="M77" s="77">
        <f t="shared" si="15"/>
        <v>54.85</v>
      </c>
    </row>
    <row r="78" spans="1:14" s="70" customFormat="1" ht="12.75" customHeight="1" x14ac:dyDescent="0.2">
      <c r="A78" s="113">
        <f t="shared" si="6"/>
        <v>2026</v>
      </c>
      <c r="C78" s="77">
        <f t="shared" si="12"/>
        <v>62.51</v>
      </c>
      <c r="D78" s="77">
        <f t="shared" si="7"/>
        <v>46.7</v>
      </c>
      <c r="E78" s="77">
        <f t="shared" si="13"/>
        <v>55.56</v>
      </c>
      <c r="G78" s="103">
        <f t="shared" si="8"/>
        <v>67.5</v>
      </c>
      <c r="H78" s="103">
        <f t="shared" si="9"/>
        <v>51.69</v>
      </c>
      <c r="I78" s="103">
        <f t="shared" si="14"/>
        <v>60.55</v>
      </c>
      <c r="K78" s="77">
        <f t="shared" si="10"/>
        <v>64.180000000000007</v>
      </c>
      <c r="L78" s="77">
        <f t="shared" si="11"/>
        <v>48.37</v>
      </c>
      <c r="M78" s="77">
        <f t="shared" si="15"/>
        <v>57.22</v>
      </c>
    </row>
    <row r="79" spans="1:14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4" s="70" customFormat="1" ht="12.75" hidden="1" customHeight="1" x14ac:dyDescent="0.2">
      <c r="A80" s="114"/>
      <c r="K80" s="109"/>
    </row>
    <row r="81" spans="1:17" s="70" customFormat="1" ht="12.75" hidden="1" customHeight="1" x14ac:dyDescent="0.2">
      <c r="A81" s="114"/>
      <c r="K81" s="109"/>
    </row>
    <row r="82" spans="1:17" s="70" customFormat="1" ht="12.75" customHeight="1" x14ac:dyDescent="0.2">
      <c r="A82" s="60" t="s">
        <v>83</v>
      </c>
      <c r="D82" s="77"/>
      <c r="E82" s="103"/>
      <c r="F82" s="103"/>
      <c r="G82" s="103"/>
      <c r="J82" s="103"/>
      <c r="K82" s="103"/>
    </row>
    <row r="83" spans="1:17" ht="12.75" customHeight="1" x14ac:dyDescent="0.2">
      <c r="A83" s="60" t="s">
        <v>138</v>
      </c>
      <c r="C83" s="115" t="str">
        <f>"Avoided costs from GRID plus capacity payments based on Simple Cycle CT Fixed costs adjusted by "</f>
        <v xml:space="preserve">Avoided costs from GRID plus capacity payments based on Simple Cycle CT Fixed costs adjusted by </v>
      </c>
      <c r="D83" s="77"/>
      <c r="E83" s="103"/>
      <c r="F83" s="103"/>
      <c r="G83" s="103"/>
      <c r="H83" s="70"/>
      <c r="N83" s="70"/>
      <c r="O83" s="70"/>
      <c r="P83" s="70"/>
    </row>
    <row r="84" spans="1:17" ht="12.75" customHeight="1" x14ac:dyDescent="0.2">
      <c r="C84" s="115" t="str">
        <f>"capacity contribution, and reduced by wind integration costs from Table 12 column "&amp;LEFT('Table 12'!$E$7,3)</f>
        <v>capacity contribution, and reduced by wind integration costs from Table 12 column (c)</v>
      </c>
      <c r="D84" s="77"/>
      <c r="E84" s="103"/>
      <c r="F84" s="103"/>
      <c r="G84" s="103"/>
      <c r="H84" s="70"/>
      <c r="N84" s="70"/>
      <c r="O84" s="70"/>
      <c r="P84" s="70"/>
    </row>
    <row r="85" spans="1:17" ht="12.75" customHeight="1" x14ac:dyDescent="0.2">
      <c r="A85" s="60" t="s">
        <v>139</v>
      </c>
      <c r="C85" s="115" t="str">
        <f>"Avoided costs from GRID, reduced by wind integration costs from Table 12 column "&amp;LEFT('Table 12'!$E$7,3)</f>
        <v>Avoided costs from GRID, reduced by wind integration costs from Table 12 column (c)</v>
      </c>
      <c r="D85" s="70"/>
      <c r="E85" s="70"/>
      <c r="F85" s="70"/>
      <c r="G85" s="70"/>
      <c r="N85" s="70"/>
      <c r="O85" s="70"/>
      <c r="P85" s="70"/>
    </row>
    <row r="86" spans="1:17" ht="12.75" customHeight="1" x14ac:dyDescent="0.2">
      <c r="A86" s="60" t="s">
        <v>140</v>
      </c>
      <c r="C86" s="60" t="s">
        <v>156</v>
      </c>
      <c r="D86" s="70"/>
      <c r="E86" s="70"/>
      <c r="F86" s="70"/>
      <c r="G86" s="70"/>
    </row>
    <row r="87" spans="1:17" ht="6.75" customHeight="1" x14ac:dyDescent="0.2"/>
    <row r="88" spans="1:17" x14ac:dyDescent="0.2">
      <c r="C88" s="60" t="s">
        <v>157</v>
      </c>
    </row>
    <row r="89" spans="1:17" x14ac:dyDescent="0.2">
      <c r="C89" s="60" t="s">
        <v>172</v>
      </c>
      <c r="F89" s="246">
        <v>0.68</v>
      </c>
    </row>
    <row r="91" spans="1:17" x14ac:dyDescent="0.2">
      <c r="Q91" s="246"/>
    </row>
    <row r="92" spans="1:17" x14ac:dyDescent="0.2">
      <c r="Q92" s="66"/>
    </row>
    <row r="107" ht="24.75" customHeight="1" x14ac:dyDescent="0.2"/>
  </sheetData>
  <pageMargins left="0.7" right="0.7" top="0.75" bottom="0.75" header="0.3" footer="0.3"/>
  <pageSetup scale="69" fitToWidth="0" orientation="portrait" r:id="rId1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view="pageBreakPreview" zoomScale="60" zoomScaleNormal="100" workbookViewId="0">
      <selection activeCell="O1" sqref="O1"/>
    </sheetView>
  </sheetViews>
  <sheetFormatPr defaultRowHeight="12.75" x14ac:dyDescent="0.2"/>
  <cols>
    <col min="1" max="1" width="9.33203125" style="60"/>
    <col min="2" max="10" width="8.5" style="60" customWidth="1"/>
    <col min="11" max="11" width="8.5" style="70" customWidth="1"/>
    <col min="12" max="13" width="8.5" style="60" customWidth="1"/>
    <col min="14" max="14" width="20.83203125" style="60" customWidth="1"/>
    <col min="15" max="15" width="10.83203125" style="60" customWidth="1"/>
    <col min="16" max="16" width="28" style="60" customWidth="1"/>
    <col min="17" max="17" width="7.5" style="60" customWidth="1"/>
    <col min="18" max="21" width="15.33203125" style="60" customWidth="1"/>
    <col min="22" max="16384" width="9.33203125" style="60"/>
  </cols>
  <sheetData>
    <row r="1" spans="1:13" s="5" customFormat="1" ht="15.75" x14ac:dyDescent="0.25">
      <c r="A1" s="1" t="s">
        <v>185</v>
      </c>
      <c r="B1" s="1"/>
      <c r="C1" s="1"/>
      <c r="D1" s="1"/>
      <c r="E1" s="6"/>
      <c r="F1" s="1"/>
      <c r="G1" s="1"/>
      <c r="H1" s="1"/>
      <c r="I1" s="1"/>
      <c r="J1" s="14"/>
      <c r="K1" s="15"/>
      <c r="L1" s="6"/>
      <c r="M1" s="6"/>
    </row>
    <row r="2" spans="1:13" s="7" customFormat="1" ht="15" x14ac:dyDescent="0.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16"/>
      <c r="L2" s="14"/>
      <c r="M2" s="14"/>
    </row>
    <row r="3" spans="1:13" s="7" customFormat="1" ht="15" x14ac:dyDescent="0.25">
      <c r="A3" s="3" t="str">
        <f>"Avoided Resource ("&amp;A10&amp;" through "&amp;MAX(A10:A27)&amp;")"</f>
        <v>Avoided Resource (2014 through 2026)</v>
      </c>
      <c r="B3" s="3"/>
      <c r="C3" s="3"/>
      <c r="D3" s="3"/>
      <c r="E3" s="3"/>
      <c r="F3" s="3"/>
      <c r="G3" s="3"/>
      <c r="H3" s="3"/>
      <c r="I3" s="3"/>
      <c r="J3" s="3"/>
      <c r="K3" s="16"/>
      <c r="L3" s="14"/>
      <c r="M3" s="14"/>
    </row>
    <row r="4" spans="1:13" ht="15" x14ac:dyDescent="0.25">
      <c r="A4" s="3" t="s">
        <v>40</v>
      </c>
      <c r="B4" s="3"/>
      <c r="C4" s="3"/>
      <c r="D4" s="3"/>
      <c r="E4" s="3"/>
      <c r="F4" s="3"/>
      <c r="G4" s="3"/>
      <c r="H4" s="3"/>
      <c r="I4" s="3"/>
      <c r="J4" s="3"/>
      <c r="K4" s="16"/>
      <c r="L4" s="14"/>
      <c r="M4" s="14"/>
    </row>
    <row r="5" spans="1:13" x14ac:dyDescent="0.2">
      <c r="B5" s="88"/>
      <c r="C5" s="88"/>
      <c r="D5" s="88"/>
      <c r="E5" s="4"/>
      <c r="F5" s="4"/>
      <c r="G5" s="4"/>
      <c r="H5" s="4"/>
      <c r="I5" s="4"/>
      <c r="J5" s="4"/>
      <c r="K5" s="17"/>
    </row>
    <row r="6" spans="1:13" x14ac:dyDescent="0.2">
      <c r="A6" s="89" t="s">
        <v>2</v>
      </c>
      <c r="B6" s="90" t="s">
        <v>60</v>
      </c>
      <c r="C6" s="91"/>
      <c r="D6" s="91"/>
      <c r="E6" s="90"/>
      <c r="F6" s="90"/>
      <c r="G6" s="90" t="s">
        <v>61</v>
      </c>
      <c r="H6" s="90"/>
      <c r="I6" s="90"/>
      <c r="J6" s="90"/>
      <c r="K6" s="90" t="s">
        <v>60</v>
      </c>
      <c r="L6" s="90"/>
      <c r="M6" s="90"/>
    </row>
    <row r="7" spans="1:13" x14ac:dyDescent="0.2">
      <c r="A7" s="92"/>
      <c r="B7" s="93" t="s">
        <v>48</v>
      </c>
      <c r="C7" s="93" t="s">
        <v>49</v>
      </c>
      <c r="D7" s="93" t="s">
        <v>50</v>
      </c>
      <c r="E7" s="93" t="s">
        <v>51</v>
      </c>
      <c r="F7" s="94" t="s">
        <v>52</v>
      </c>
      <c r="G7" s="93" t="s">
        <v>53</v>
      </c>
      <c r="H7" s="93" t="s">
        <v>54</v>
      </c>
      <c r="I7" s="93" t="s">
        <v>55</v>
      </c>
      <c r="J7" s="94" t="s">
        <v>56</v>
      </c>
      <c r="K7" s="93" t="s">
        <v>57</v>
      </c>
      <c r="L7" s="93" t="s">
        <v>58</v>
      </c>
      <c r="M7" s="94" t="s">
        <v>59</v>
      </c>
    </row>
    <row r="8" spans="1:13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12.75" customHeight="1" x14ac:dyDescent="0.2">
      <c r="A9" s="13" t="str">
        <f>'Table 2A BaseLoad'!A9</f>
        <v>On-Peak (1)</v>
      </c>
      <c r="C9" s="88"/>
      <c r="D9" s="88"/>
      <c r="E9" s="88"/>
      <c r="F9" s="88"/>
      <c r="G9" s="88"/>
      <c r="H9" s="88"/>
      <c r="I9" s="88"/>
      <c r="J9" s="88"/>
      <c r="K9" s="96"/>
      <c r="L9" s="70"/>
      <c r="M9" s="70"/>
    </row>
    <row r="10" spans="1:13" ht="12.75" customHeight="1" x14ac:dyDescent="0.2">
      <c r="A10" s="97">
        <f>'Tables 3 to 6'!$B$13</f>
        <v>2014</v>
      </c>
      <c r="B10" s="98"/>
      <c r="C10" s="99"/>
      <c r="D10" s="99"/>
      <c r="E10" s="99"/>
      <c r="F10" s="100"/>
      <c r="G10" s="99"/>
      <c r="H10" s="99">
        <f>H28+'Tables 3 to 6'!$W13*Capacity_Contr_Solar_Tracking</f>
        <v>42.023705963456983</v>
      </c>
      <c r="I10" s="99">
        <f>I28+'Tables 3 to 6'!$W13*Capacity_Contr_Solar_Tracking</f>
        <v>50.217848631025646</v>
      </c>
      <c r="J10" s="100">
        <f>J28+'Tables 3 to 6'!$W13*Capacity_Contr_Solar_Tracking</f>
        <v>40.83263166612138</v>
      </c>
      <c r="K10" s="99">
        <f>K28+'Tables 3 to 6'!$W13*Capacity_Contr_Solar_Tracking</f>
        <v>38.658874275770721</v>
      </c>
      <c r="L10" s="99">
        <f>L28+'Tables 3 to 6'!$W13*Capacity_Contr_Solar_Tracking</f>
        <v>41.975941082687427</v>
      </c>
      <c r="M10" s="100">
        <f>M28+'Tables 3 to 6'!$W13*Capacity_Contr_Solar_Tracking</f>
        <v>38.763059207748022</v>
      </c>
    </row>
    <row r="11" spans="1:13" ht="12.75" customHeight="1" x14ac:dyDescent="0.2">
      <c r="A11" s="101">
        <f t="shared" ref="A11:A22" si="0">A10+1</f>
        <v>2015</v>
      </c>
      <c r="B11" s="102">
        <f>B29+'Tables 3 to 6'!$W14*Capacity_Contr_Solar_Tracking</f>
        <v>44.45108366872136</v>
      </c>
      <c r="C11" s="103">
        <f>C29+'Tables 3 to 6'!$W14*Capacity_Contr_Solar_Tracking</f>
        <v>44.88969159519268</v>
      </c>
      <c r="D11" s="103">
        <f>D29+'Tables 3 to 6'!$W14*Capacity_Contr_Solar_Tracking</f>
        <v>50.584271804637311</v>
      </c>
      <c r="E11" s="103">
        <f>E29+'Tables 3 to 6'!$W14*Capacity_Contr_Solar_Tracking</f>
        <v>35.573838593234534</v>
      </c>
      <c r="F11" s="104">
        <f>F29+'Tables 3 to 6'!$W14*Capacity_Contr_Solar_Tracking</f>
        <v>33.033752599942815</v>
      </c>
      <c r="G11" s="103">
        <f>G29+'Tables 3 to 6'!$W14*Capacity_Contr_Solar_Tracking</f>
        <v>34.892691736762636</v>
      </c>
      <c r="H11" s="103">
        <f>H29+'Tables 3 to 6'!$W14*Capacity_Contr_Solar_Tracking</f>
        <v>42.872830708380413</v>
      </c>
      <c r="I11" s="103">
        <f>I29+'Tables 3 to 6'!$W14*Capacity_Contr_Solar_Tracking</f>
        <v>45.160835305632823</v>
      </c>
      <c r="J11" s="104">
        <f>J29+'Tables 3 to 6'!$W14*Capacity_Contr_Solar_Tracking</f>
        <v>40.441613685376034</v>
      </c>
      <c r="K11" s="103">
        <f>K29+'Tables 3 to 6'!$W14*Capacity_Contr_Solar_Tracking</f>
        <v>37.681082065529061</v>
      </c>
      <c r="L11" s="103">
        <f>L29+'Tables 3 to 6'!$W14*Capacity_Contr_Solar_Tracking</f>
        <v>39.621522738682231</v>
      </c>
      <c r="M11" s="104">
        <f>M29+'Tables 3 to 6'!$W14*Capacity_Contr_Solar_Tracking</f>
        <v>44.568855722027664</v>
      </c>
    </row>
    <row r="12" spans="1:13" ht="12.75" customHeight="1" x14ac:dyDescent="0.2">
      <c r="A12" s="101">
        <f t="shared" si="0"/>
        <v>2016</v>
      </c>
      <c r="B12" s="102">
        <f>B30+'Tables 3 to 6'!$W15*Capacity_Contr_Solar_Tracking</f>
        <v>39.231594710116553</v>
      </c>
      <c r="C12" s="103">
        <f>C30+'Tables 3 to 6'!$W15*Capacity_Contr_Solar_Tracking</f>
        <v>42.011704072244932</v>
      </c>
      <c r="D12" s="103">
        <f>D30+'Tables 3 to 6'!$W15*Capacity_Contr_Solar_Tracking</f>
        <v>43.495145430300155</v>
      </c>
      <c r="E12" s="103">
        <f>E30+'Tables 3 to 6'!$W15*Capacity_Contr_Solar_Tracking</f>
        <v>36.953318305655323</v>
      </c>
      <c r="F12" s="104">
        <f>F30+'Tables 3 to 6'!$W15*Capacity_Contr_Solar_Tracking</f>
        <v>33.472523282628998</v>
      </c>
      <c r="G12" s="103">
        <f>G30+'Tables 3 to 6'!$W15*Capacity_Contr_Solar_Tracking</f>
        <v>33.508951685631686</v>
      </c>
      <c r="H12" s="103">
        <f>H30+'Tables 3 to 6'!$W15*Capacity_Contr_Solar_Tracking</f>
        <v>41.896017036567422</v>
      </c>
      <c r="I12" s="103">
        <f>I30+'Tables 3 to 6'!$W15*Capacity_Contr_Solar_Tracking</f>
        <v>45.113401183410325</v>
      </c>
      <c r="J12" s="104">
        <f>J30+'Tables 3 to 6'!$W15*Capacity_Contr_Solar_Tracking</f>
        <v>38.872237325275769</v>
      </c>
      <c r="K12" s="103">
        <f>K30+'Tables 3 to 6'!$W15*Capacity_Contr_Solar_Tracking</f>
        <v>37.594894117866438</v>
      </c>
      <c r="L12" s="103">
        <f>L30+'Tables 3 to 6'!$W15*Capacity_Contr_Solar_Tracking</f>
        <v>33.791162839213428</v>
      </c>
      <c r="M12" s="104">
        <f>M30+'Tables 3 to 6'!$W15*Capacity_Contr_Solar_Tracking</f>
        <v>41.146155180794544</v>
      </c>
    </row>
    <row r="13" spans="1:13" ht="12.75" customHeight="1" x14ac:dyDescent="0.2">
      <c r="A13" s="101">
        <f t="shared" si="0"/>
        <v>2017</v>
      </c>
      <c r="B13" s="102">
        <f>B31+'Tables 3 to 6'!$W16*Capacity_Contr_Solar_Tracking</f>
        <v>38.782169777392731</v>
      </c>
      <c r="C13" s="103">
        <f>C31+'Tables 3 to 6'!$W16*Capacity_Contr_Solar_Tracking</f>
        <v>42.158196479001319</v>
      </c>
      <c r="D13" s="103">
        <f>D31+'Tables 3 to 6'!$W16*Capacity_Contr_Solar_Tracking</f>
        <v>43.208054645677436</v>
      </c>
      <c r="E13" s="103">
        <f>E31+'Tables 3 to 6'!$W16*Capacity_Contr_Solar_Tracking</f>
        <v>36.952236340771698</v>
      </c>
      <c r="F13" s="104">
        <f>F31+'Tables 3 to 6'!$W16*Capacity_Contr_Solar_Tracking</f>
        <v>35.49410386035386</v>
      </c>
      <c r="G13" s="103">
        <f>G31+'Tables 3 to 6'!$W16*Capacity_Contr_Solar_Tracking</f>
        <v>34.982503870627696</v>
      </c>
      <c r="H13" s="103">
        <f>H31+'Tables 3 to 6'!$W16*Capacity_Contr_Solar_Tracking</f>
        <v>44.013503721842554</v>
      </c>
      <c r="I13" s="103">
        <f>I31+'Tables 3 to 6'!$W16*Capacity_Contr_Solar_Tracking</f>
        <v>47.424065829230123</v>
      </c>
      <c r="J13" s="104">
        <f>J31+'Tables 3 to 6'!$W16*Capacity_Contr_Solar_Tracking</f>
        <v>42.459573114257054</v>
      </c>
      <c r="K13" s="103">
        <f>K31+'Tables 3 to 6'!$W16*Capacity_Contr_Solar_Tracking</f>
        <v>38.629657413968189</v>
      </c>
      <c r="L13" s="103">
        <f>L31+'Tables 3 to 6'!$W16*Capacity_Contr_Solar_Tracking</f>
        <v>39.252880094212131</v>
      </c>
      <c r="M13" s="104">
        <f>M31+'Tables 3 to 6'!$W16*Capacity_Contr_Solar_Tracking</f>
        <v>40.069194998020798</v>
      </c>
    </row>
    <row r="14" spans="1:13" ht="12.75" customHeight="1" x14ac:dyDescent="0.2">
      <c r="A14" s="101">
        <f t="shared" si="0"/>
        <v>2018</v>
      </c>
      <c r="B14" s="102">
        <f>B32+'Tables 3 to 6'!$W17*Capacity_Contr_Solar_Tracking</f>
        <v>42.057908367773472</v>
      </c>
      <c r="C14" s="103">
        <f>C32+'Tables 3 to 6'!$W17*Capacity_Contr_Solar_Tracking</f>
        <v>42.940523527503686</v>
      </c>
      <c r="D14" s="103">
        <f>D32+'Tables 3 to 6'!$W17*Capacity_Contr_Solar_Tracking</f>
        <v>46.66749863633715</v>
      </c>
      <c r="E14" s="103">
        <f>E32+'Tables 3 to 6'!$W17*Capacity_Contr_Solar_Tracking</f>
        <v>41.90172982241387</v>
      </c>
      <c r="F14" s="104">
        <f>F32+'Tables 3 to 6'!$W17*Capacity_Contr_Solar_Tracking</f>
        <v>39.585739104416994</v>
      </c>
      <c r="G14" s="103">
        <f>G32+'Tables 3 to 6'!$W17*Capacity_Contr_Solar_Tracking</f>
        <v>39.601290489824777</v>
      </c>
      <c r="H14" s="103">
        <f>H32+'Tables 3 to 6'!$W17*Capacity_Contr_Solar_Tracking</f>
        <v>48.901113141607787</v>
      </c>
      <c r="I14" s="103">
        <f>I32+'Tables 3 to 6'!$W17*Capacity_Contr_Solar_Tracking</f>
        <v>52.241299352461709</v>
      </c>
      <c r="J14" s="104">
        <f>J32+'Tables 3 to 6'!$W17*Capacity_Contr_Solar_Tracking</f>
        <v>44.914849815720977</v>
      </c>
      <c r="K14" s="103">
        <f>K32+'Tables 3 to 6'!$W17*Capacity_Contr_Solar_Tracking</f>
        <v>44.498287850287184</v>
      </c>
      <c r="L14" s="103">
        <f>L32+'Tables 3 to 6'!$W17*Capacity_Contr_Solar_Tracking</f>
        <v>50.386777721966801</v>
      </c>
      <c r="M14" s="104">
        <f>M32+'Tables 3 to 6'!$W17*Capacity_Contr_Solar_Tracking</f>
        <v>43.9659572145504</v>
      </c>
    </row>
    <row r="15" spans="1:13" ht="12.75" customHeight="1" x14ac:dyDescent="0.2">
      <c r="A15" s="101">
        <f t="shared" si="0"/>
        <v>2019</v>
      </c>
      <c r="B15" s="102">
        <f>B33+'Tables 3 to 6'!$W18*Capacity_Contr_Solar_Tracking</f>
        <v>44.314996920313313</v>
      </c>
      <c r="C15" s="103">
        <f>C33+'Tables 3 to 6'!$W18*Capacity_Contr_Solar_Tracking</f>
        <v>45.283642851754884</v>
      </c>
      <c r="D15" s="103">
        <f>D33+'Tables 3 to 6'!$W18*Capacity_Contr_Solar_Tracking</f>
        <v>47.666933661502597</v>
      </c>
      <c r="E15" s="103">
        <f>E33+'Tables 3 to 6'!$W18*Capacity_Contr_Solar_Tracking</f>
        <v>45.716912459418509</v>
      </c>
      <c r="F15" s="104">
        <f>F33+'Tables 3 to 6'!$W18*Capacity_Contr_Solar_Tracking</f>
        <v>41.608629856843045</v>
      </c>
      <c r="G15" s="103">
        <f>G33+'Tables 3 to 6'!$W18*Capacity_Contr_Solar_Tracking</f>
        <v>41.469054665906896</v>
      </c>
      <c r="H15" s="103">
        <f>H33+'Tables 3 to 6'!$W18*Capacity_Contr_Solar_Tracking</f>
        <v>51.107647466562995</v>
      </c>
      <c r="I15" s="103">
        <f>I33+'Tables 3 to 6'!$W18*Capacity_Contr_Solar_Tracking</f>
        <v>54.550264695218239</v>
      </c>
      <c r="J15" s="104">
        <f>J33+'Tables 3 to 6'!$W18*Capacity_Contr_Solar_Tracking</f>
        <v>47.579948990535321</v>
      </c>
      <c r="K15" s="103">
        <f>K33+'Tables 3 to 6'!$W18*Capacity_Contr_Solar_Tracking</f>
        <v>47.777677788865404</v>
      </c>
      <c r="L15" s="103">
        <f>L33+'Tables 3 to 6'!$W18*Capacity_Contr_Solar_Tracking</f>
        <v>46.255180247183809</v>
      </c>
      <c r="M15" s="104">
        <f>M33+'Tables 3 to 6'!$W18*Capacity_Contr_Solar_Tracking</f>
        <v>46.799510627672142</v>
      </c>
    </row>
    <row r="16" spans="1:13" ht="12.75" customHeight="1" x14ac:dyDescent="0.2">
      <c r="A16" s="101">
        <f t="shared" si="0"/>
        <v>2020</v>
      </c>
      <c r="B16" s="102">
        <f>B34+'Tables 3 to 6'!$W19*Capacity_Contr_Solar_Tracking</f>
        <v>49.969441630005456</v>
      </c>
      <c r="C16" s="103">
        <f>C34+'Tables 3 to 6'!$W19*Capacity_Contr_Solar_Tracking</f>
        <v>48.126107086134439</v>
      </c>
      <c r="D16" s="103">
        <f>D34+'Tables 3 to 6'!$W19*Capacity_Contr_Solar_Tracking</f>
        <v>49.784346837817921</v>
      </c>
      <c r="E16" s="103">
        <f>E34+'Tables 3 to 6'!$W19*Capacity_Contr_Solar_Tracking</f>
        <v>49.138568727373745</v>
      </c>
      <c r="F16" s="104">
        <f>F34+'Tables 3 to 6'!$W19*Capacity_Contr_Solar_Tracking</f>
        <v>45.728490399267983</v>
      </c>
      <c r="G16" s="103">
        <f>G34+'Tables 3 to 6'!$W19*Capacity_Contr_Solar_Tracking</f>
        <v>47.973084479263754</v>
      </c>
      <c r="H16" s="103">
        <f>H34+'Tables 3 to 6'!$W19*Capacity_Contr_Solar_Tracking</f>
        <v>57.563039694104724</v>
      </c>
      <c r="I16" s="103">
        <f>I34+'Tables 3 to 6'!$W19*Capacity_Contr_Solar_Tracking</f>
        <v>57.475851282460489</v>
      </c>
      <c r="J16" s="104">
        <f>J34+'Tables 3 to 6'!$W19*Capacity_Contr_Solar_Tracking</f>
        <v>52.208612433899276</v>
      </c>
      <c r="K16" s="103">
        <f>K34+'Tables 3 to 6'!$W19*Capacity_Contr_Solar_Tracking</f>
        <v>49.067026672379242</v>
      </c>
      <c r="L16" s="103">
        <f>L34+'Tables 3 to 6'!$W19*Capacity_Contr_Solar_Tracking</f>
        <v>49.373183280444479</v>
      </c>
      <c r="M16" s="104">
        <f>M34+'Tables 3 to 6'!$W19*Capacity_Contr_Solar_Tracking</f>
        <v>48.389907823506157</v>
      </c>
    </row>
    <row r="17" spans="1:30" ht="12.75" customHeight="1" x14ac:dyDescent="0.2">
      <c r="A17" s="101">
        <f t="shared" si="0"/>
        <v>2021</v>
      </c>
      <c r="B17" s="102">
        <f>B35+'Tables 3 to 6'!$W20*Capacity_Contr_Solar_Tracking</f>
        <v>53.495254860375383</v>
      </c>
      <c r="C17" s="103">
        <f>C35+'Tables 3 to 6'!$W20*Capacity_Contr_Solar_Tracking</f>
        <v>55.373468149481354</v>
      </c>
      <c r="D17" s="103">
        <f>D35+'Tables 3 to 6'!$W20*Capacity_Contr_Solar_Tracking</f>
        <v>54.309267487799161</v>
      </c>
      <c r="E17" s="103">
        <f>E35+'Tables 3 to 6'!$W20*Capacity_Contr_Solar_Tracking</f>
        <v>53.14275401493758</v>
      </c>
      <c r="F17" s="104">
        <f>F35+'Tables 3 to 6'!$W20*Capacity_Contr_Solar_Tracking</f>
        <v>51.509052215910756</v>
      </c>
      <c r="G17" s="103">
        <f>G35+'Tables 3 to 6'!$W20*Capacity_Contr_Solar_Tracking</f>
        <v>53.32875432987197</v>
      </c>
      <c r="H17" s="103">
        <f>H35+'Tables 3 to 6'!$W20*Capacity_Contr_Solar_Tracking</f>
        <v>60.341362015616227</v>
      </c>
      <c r="I17" s="103">
        <f>I35+'Tables 3 to 6'!$W20*Capacity_Contr_Solar_Tracking</f>
        <v>60.652528623601313</v>
      </c>
      <c r="J17" s="104">
        <f>J35+'Tables 3 to 6'!$W20*Capacity_Contr_Solar_Tracking</f>
        <v>56.791793730250831</v>
      </c>
      <c r="K17" s="103">
        <f>K35+'Tables 3 to 6'!$W20*Capacity_Contr_Solar_Tracking</f>
        <v>55.257275271128933</v>
      </c>
      <c r="L17" s="103">
        <f>L35+'Tables 3 to 6'!$W20*Capacity_Contr_Solar_Tracking</f>
        <v>58.41250834913734</v>
      </c>
      <c r="M17" s="104">
        <f>M35+'Tables 3 to 6'!$W20*Capacity_Contr_Solar_Tracking</f>
        <v>58.543609342994102</v>
      </c>
    </row>
    <row r="18" spans="1:30" ht="12.75" customHeight="1" x14ac:dyDescent="0.2">
      <c r="A18" s="101">
        <f t="shared" si="0"/>
        <v>2022</v>
      </c>
      <c r="B18" s="102">
        <f>B36+'Tables 3 to 6'!$W21*Capacity_Contr_Solar_Tracking</f>
        <v>56.723853922637943</v>
      </c>
      <c r="C18" s="103">
        <f>C36+'Tables 3 to 6'!$W21*Capacity_Contr_Solar_Tracking</f>
        <v>55.947358586433069</v>
      </c>
      <c r="D18" s="103">
        <f>D36+'Tables 3 to 6'!$W21*Capacity_Contr_Solar_Tracking</f>
        <v>56.499246430143295</v>
      </c>
      <c r="E18" s="103">
        <f>E36+'Tables 3 to 6'!$W21*Capacity_Contr_Solar_Tracking</f>
        <v>53.113901079716285</v>
      </c>
      <c r="F18" s="104">
        <f>F36+'Tables 3 to 6'!$W21*Capacity_Contr_Solar_Tracking</f>
        <v>52.619016120693601</v>
      </c>
      <c r="G18" s="103">
        <f>G36+'Tables 3 to 6'!$W21*Capacity_Contr_Solar_Tracking</f>
        <v>55.773667893920006</v>
      </c>
      <c r="H18" s="103">
        <f>H36+'Tables 3 to 6'!$W21*Capacity_Contr_Solar_Tracking</f>
        <v>62.25118839833948</v>
      </c>
      <c r="I18" s="103">
        <f>I36+'Tables 3 to 6'!$W21*Capacity_Contr_Solar_Tracking</f>
        <v>61.668397923088904</v>
      </c>
      <c r="J18" s="104">
        <f>J36+'Tables 3 to 6'!$W21*Capacity_Contr_Solar_Tracking</f>
        <v>57.375421532149446</v>
      </c>
      <c r="K18" s="103">
        <f>K36+'Tables 3 to 6'!$W21*Capacity_Contr_Solar_Tracking</f>
        <v>56.182640841686016</v>
      </c>
      <c r="L18" s="103">
        <f>L36+'Tables 3 to 6'!$W21*Capacity_Contr_Solar_Tracking</f>
        <v>56.718616880684593</v>
      </c>
      <c r="M18" s="104">
        <f>M36+'Tables 3 to 6'!$W21*Capacity_Contr_Solar_Tracking</f>
        <v>58.944386395341986</v>
      </c>
    </row>
    <row r="19" spans="1:30" ht="12.75" customHeight="1" x14ac:dyDescent="0.2">
      <c r="A19" s="101">
        <f t="shared" si="0"/>
        <v>2023</v>
      </c>
      <c r="B19" s="102">
        <f>B37+'Tables 3 to 6'!$W22*Capacity_Contr_Solar_Tracking</f>
        <v>58.145987522477519</v>
      </c>
      <c r="C19" s="103">
        <f>C37+'Tables 3 to 6'!$W22*Capacity_Contr_Solar_Tracking</f>
        <v>57.668713552924991</v>
      </c>
      <c r="D19" s="103">
        <f>D37+'Tables 3 to 6'!$W22*Capacity_Contr_Solar_Tracking</f>
        <v>57.433449045632415</v>
      </c>
      <c r="E19" s="103">
        <f>E37+'Tables 3 to 6'!$W22*Capacity_Contr_Solar_Tracking</f>
        <v>55.569396519286435</v>
      </c>
      <c r="F19" s="104">
        <f>F37+'Tables 3 to 6'!$W22*Capacity_Contr_Solar_Tracking</f>
        <v>54.514177018772145</v>
      </c>
      <c r="G19" s="103">
        <f>G37+'Tables 3 to 6'!$W22*Capacity_Contr_Solar_Tracking</f>
        <v>56.859730524054498</v>
      </c>
      <c r="H19" s="103">
        <f>H37+'Tables 3 to 6'!$W22*Capacity_Contr_Solar_Tracking</f>
        <v>63.947476815023343</v>
      </c>
      <c r="I19" s="103">
        <f>I37+'Tables 3 to 6'!$W22*Capacity_Contr_Solar_Tracking</f>
        <v>63.410729403961668</v>
      </c>
      <c r="J19" s="104">
        <f>J37+'Tables 3 to 6'!$W22*Capacity_Contr_Solar_Tracking</f>
        <v>57.528382937504681</v>
      </c>
      <c r="K19" s="103">
        <f>K37+'Tables 3 to 6'!$W22*Capacity_Contr_Solar_Tracking</f>
        <v>58.034053756720851</v>
      </c>
      <c r="L19" s="103">
        <f>L37+'Tables 3 to 6'!$W22*Capacity_Contr_Solar_Tracking</f>
        <v>59.777954481941627</v>
      </c>
      <c r="M19" s="104">
        <f>M37+'Tables 3 to 6'!$W22*Capacity_Contr_Solar_Tracking</f>
        <v>62.134991666666217</v>
      </c>
    </row>
    <row r="20" spans="1:30" ht="12.75" customHeight="1" x14ac:dyDescent="0.2">
      <c r="A20" s="101">
        <f t="shared" si="0"/>
        <v>2024</v>
      </c>
      <c r="B20" s="102">
        <f>B38+'Tables 3 to 6'!$W23*Capacity_Contr_Solar_Tracking</f>
        <v>60.911105698926697</v>
      </c>
      <c r="C20" s="103">
        <f>C38+'Tables 3 to 6'!$W23*Capacity_Contr_Solar_Tracking</f>
        <v>60.432596860630177</v>
      </c>
      <c r="D20" s="103">
        <f>D38+'Tables 3 to 6'!$W23*Capacity_Contr_Solar_Tracking</f>
        <v>59.863627853499686</v>
      </c>
      <c r="E20" s="103">
        <f>E38+'Tables 3 to 6'!$W23*Capacity_Contr_Solar_Tracking</f>
        <v>57.427207086113093</v>
      </c>
      <c r="F20" s="104">
        <f>F38+'Tables 3 to 6'!$W23*Capacity_Contr_Solar_Tracking</f>
        <v>55.750662236559357</v>
      </c>
      <c r="G20" s="103">
        <f>G38+'Tables 3 to 6'!$W23*Capacity_Contr_Solar_Tracking</f>
        <v>58.615359319450455</v>
      </c>
      <c r="H20" s="103">
        <f>H38+'Tables 3 to 6'!$W23*Capacity_Contr_Solar_Tracking</f>
        <v>66.640553293015429</v>
      </c>
      <c r="I20" s="103">
        <f>I38+'Tables 3 to 6'!$W23*Capacity_Contr_Solar_Tracking</f>
        <v>67.592857612904595</v>
      </c>
      <c r="J20" s="104">
        <f>J38+'Tables 3 to 6'!$W23*Capacity_Contr_Solar_Tracking</f>
        <v>60.326964245837928</v>
      </c>
      <c r="K20" s="103">
        <f>K38+'Tables 3 to 6'!$W23*Capacity_Contr_Solar_Tracking</f>
        <v>60.89161031855329</v>
      </c>
      <c r="L20" s="103">
        <f>L38+'Tables 3 to 6'!$W23*Capacity_Contr_Solar_Tracking</f>
        <v>61.590848706941969</v>
      </c>
      <c r="M20" s="104">
        <f>M38+'Tables 3 to 6'!$W23*Capacity_Contr_Solar_Tracking</f>
        <v>62.89224040322685</v>
      </c>
    </row>
    <row r="21" spans="1:30" ht="12.75" customHeight="1" x14ac:dyDescent="0.2">
      <c r="A21" s="101">
        <f t="shared" si="0"/>
        <v>2025</v>
      </c>
      <c r="B21" s="102">
        <f>B39+'Tables 3 to 6'!$W24*Capacity_Contr_Solar_Tracking</f>
        <v>66.665121900535823</v>
      </c>
      <c r="C21" s="103">
        <f>C39+'Tables 3 to 6'!$W24*Capacity_Contr_Solar_Tracking</f>
        <v>65.581222946431637</v>
      </c>
      <c r="D21" s="103">
        <f>D39+'Tables 3 to 6'!$W24*Capacity_Contr_Solar_Tracking</f>
        <v>63.971695752687452</v>
      </c>
      <c r="E21" s="103">
        <f>E39+'Tables 3 to 6'!$W24*Capacity_Contr_Solar_Tracking</f>
        <v>61.060934013892052</v>
      </c>
      <c r="F21" s="104">
        <f>F39+'Tables 3 to 6'!$W24*Capacity_Contr_Solar_Tracking</f>
        <v>60.467346629032946</v>
      </c>
      <c r="G21" s="103">
        <f>G39+'Tables 3 to 6'!$W24*Capacity_Contr_Solar_Tracking</f>
        <v>63.74480494444785</v>
      </c>
      <c r="H21" s="103">
        <f>H39+'Tables 3 to 6'!$W24*Capacity_Contr_Solar_Tracking</f>
        <v>71.96082644891716</v>
      </c>
      <c r="I21" s="103">
        <f>I39+'Tables 3 to 6'!$W24*Capacity_Contr_Solar_Tracking</f>
        <v>73.283523002684689</v>
      </c>
      <c r="J21" s="104">
        <f>J39+'Tables 3 to 6'!$W24*Capacity_Contr_Solar_Tracking</f>
        <v>66.392788412498604</v>
      </c>
      <c r="K21" s="103">
        <f>K39+'Tables 3 to 6'!$W24*Capacity_Contr_Solar_Tracking</f>
        <v>64.836014094092775</v>
      </c>
      <c r="L21" s="103">
        <f>L39+'Tables 3 to 6'!$W24*Capacity_Contr_Solar_Tracking</f>
        <v>66.166642659718462</v>
      </c>
      <c r="M21" s="104">
        <f>M39+'Tables 3 to 6'!$W24*Capacity_Contr_Solar_Tracking</f>
        <v>67.604006354840465</v>
      </c>
    </row>
    <row r="22" spans="1:30" ht="12.75" customHeight="1" x14ac:dyDescent="0.2">
      <c r="A22" s="101">
        <f t="shared" si="0"/>
        <v>2026</v>
      </c>
      <c r="B22" s="102">
        <f>B40+'Tables 3 to 6'!$W25*Capacity_Contr_Solar_Tracking</f>
        <v>68.720240154573986</v>
      </c>
      <c r="C22" s="103">
        <f>C40+'Tables 3 to 6'!$W25*Capacity_Contr_Solar_Tracking</f>
        <v>67.715011380954337</v>
      </c>
      <c r="D22" s="103">
        <f>D40+'Tables 3 to 6'!$W25*Capacity_Contr_Solar_Tracking</f>
        <v>65.826385309138601</v>
      </c>
      <c r="E22" s="103">
        <f>E40+'Tables 3 to 6'!$W25*Capacity_Contr_Solar_Tracking</f>
        <v>64.152835443048843</v>
      </c>
      <c r="F22" s="104">
        <f>F40+'Tables 3 to 6'!$W25*Capacity_Contr_Solar_Tracking</f>
        <v>62.503886819891235</v>
      </c>
      <c r="G22" s="103">
        <f>G40+'Tables 3 to 6'!$W25*Capacity_Contr_Solar_Tracking</f>
        <v>66.718580022222469</v>
      </c>
      <c r="H22" s="103">
        <f>H40+'Tables 3 to 6'!$W25*Capacity_Contr_Solar_Tracking</f>
        <v>74.880869302421971</v>
      </c>
      <c r="I22" s="103">
        <f>I40+'Tables 3 to 6'!$W25*Capacity_Contr_Solar_Tracking</f>
        <v>76.458752966391785</v>
      </c>
      <c r="J22" s="104">
        <f>J40+'Tables 3 to 6'!$W25*Capacity_Contr_Solar_Tracking</f>
        <v>69.430368083334628</v>
      </c>
      <c r="K22" s="103">
        <f>K40+'Tables 3 to 6'!$W25*Capacity_Contr_Solar_Tracking</f>
        <v>66.968458229836116</v>
      </c>
      <c r="L22" s="103">
        <f>L40+'Tables 3 to 6'!$W25*Capacity_Contr_Solar_Tracking</f>
        <v>68.469395020827648</v>
      </c>
      <c r="M22" s="104">
        <f>M40+'Tables 3 to 6'!$W25*Capacity_Contr_Solar_Tracking</f>
        <v>70.697759806452893</v>
      </c>
    </row>
    <row r="23" spans="1:30" ht="12.75" hidden="1" customHeight="1" x14ac:dyDescent="0.2">
      <c r="A23" s="101"/>
      <c r="B23" s="102"/>
      <c r="C23" s="103"/>
      <c r="D23" s="103"/>
      <c r="E23" s="103"/>
      <c r="F23" s="104"/>
      <c r="G23" s="103"/>
      <c r="H23" s="103"/>
      <c r="I23" s="103"/>
      <c r="J23" s="104"/>
      <c r="K23" s="103"/>
      <c r="L23" s="103"/>
      <c r="M23" s="104"/>
    </row>
    <row r="24" spans="1:30" ht="12.75" hidden="1" customHeight="1" x14ac:dyDescent="0.2">
      <c r="A24" s="101"/>
      <c r="B24" s="102"/>
      <c r="C24" s="103"/>
      <c r="D24" s="103"/>
      <c r="E24" s="103"/>
      <c r="F24" s="104"/>
      <c r="G24" s="103"/>
      <c r="H24" s="103"/>
      <c r="I24" s="103"/>
      <c r="J24" s="104"/>
      <c r="K24" s="103"/>
      <c r="L24" s="103"/>
      <c r="M24" s="104"/>
    </row>
    <row r="25" spans="1:30" ht="12.75" hidden="1" customHeight="1" x14ac:dyDescent="0.2">
      <c r="A25" s="105"/>
      <c r="B25" s="106"/>
      <c r="C25" s="107"/>
      <c r="D25" s="107"/>
      <c r="E25" s="107"/>
      <c r="F25" s="108"/>
      <c r="G25" s="107"/>
      <c r="H25" s="107"/>
      <c r="I25" s="107"/>
      <c r="J25" s="108"/>
      <c r="K25" s="107"/>
      <c r="L25" s="107"/>
      <c r="M25" s="108"/>
    </row>
    <row r="26" spans="1:30" ht="12.75" customHeight="1" x14ac:dyDescent="0.2">
      <c r="A26" s="218"/>
      <c r="B26" s="216"/>
      <c r="C26" s="216"/>
      <c r="D26" s="216"/>
      <c r="E26" s="216"/>
      <c r="F26" s="215"/>
      <c r="G26" s="215"/>
      <c r="H26" s="215"/>
      <c r="I26" s="215"/>
      <c r="J26" s="217"/>
      <c r="K26" s="215"/>
      <c r="L26" s="215"/>
      <c r="M26" s="215"/>
    </row>
    <row r="27" spans="1:30" ht="12.75" customHeight="1" x14ac:dyDescent="0.2">
      <c r="A27" s="13" t="s">
        <v>187</v>
      </c>
      <c r="C27" s="88"/>
      <c r="D27" s="88"/>
      <c r="E27" s="88"/>
      <c r="G27" s="88"/>
      <c r="H27" s="88"/>
      <c r="I27" s="88"/>
      <c r="J27" s="96"/>
      <c r="L27" s="88"/>
      <c r="M27" s="70"/>
    </row>
    <row r="28" spans="1:30" ht="12.75" customHeight="1" x14ac:dyDescent="0.2">
      <c r="A28" s="97">
        <f>'Tables 3 to 6'!$B$13</f>
        <v>2014</v>
      </c>
      <c r="B28" s="98"/>
      <c r="C28" s="99"/>
      <c r="D28" s="99"/>
      <c r="E28" s="99"/>
      <c r="F28" s="100"/>
      <c r="G28" s="99"/>
      <c r="H28" s="99">
        <f>'Table 2A BaseLoad'!H28-Solar_Tracking_integr_cost</f>
        <v>28.121705963456982</v>
      </c>
      <c r="I28" s="99">
        <f>'Table 2A BaseLoad'!I28-Solar_Tracking_integr_cost</f>
        <v>36.315848631025645</v>
      </c>
      <c r="J28" s="100">
        <f>'Table 2A BaseLoad'!J28-Solar_Tracking_integr_cost</f>
        <v>26.930631666121382</v>
      </c>
      <c r="K28" s="98">
        <f>'Table 2A BaseLoad'!K28-Solar_Tracking_integr_cost</f>
        <v>24.75687427577072</v>
      </c>
      <c r="L28" s="99">
        <f>'Table 2A BaseLoad'!L28-Solar_Tracking_integr_cost</f>
        <v>28.073941082687426</v>
      </c>
      <c r="M28" s="100">
        <f>'Table 2A BaseLoad'!M28-Solar_Tracking_integr_cost</f>
        <v>24.861059207748021</v>
      </c>
      <c r="O28" s="67"/>
    </row>
    <row r="29" spans="1:30" ht="12.75" customHeight="1" x14ac:dyDescent="0.2">
      <c r="A29" s="101">
        <f t="shared" ref="A29:A40" si="1">A28+1</f>
        <v>2015</v>
      </c>
      <c r="B29" s="102">
        <f>'Table 2A BaseLoad'!B29-Solar_Tracking_integr_cost</f>
        <v>33.757883668721362</v>
      </c>
      <c r="C29" s="103">
        <f>'Table 2A BaseLoad'!C29-Solar_Tracking_integr_cost</f>
        <v>34.196491595192683</v>
      </c>
      <c r="D29" s="103">
        <f>'Table 2A BaseLoad'!D29-Solar_Tracking_integr_cost</f>
        <v>39.891071804637313</v>
      </c>
      <c r="E29" s="103">
        <f>'Table 2A BaseLoad'!E29-Solar_Tracking_integr_cost</f>
        <v>24.880638593234536</v>
      </c>
      <c r="F29" s="103">
        <f>'Table 2A BaseLoad'!F29-Solar_Tracking_integr_cost</f>
        <v>22.340552599942814</v>
      </c>
      <c r="G29" s="102">
        <f>'Table 2A BaseLoad'!G29-Solar_Tracking_integr_cost</f>
        <v>24.199491736762639</v>
      </c>
      <c r="H29" s="103">
        <f>'Table 2A BaseLoad'!H29-Solar_Tracking_integr_cost</f>
        <v>32.179630708380415</v>
      </c>
      <c r="I29" s="103">
        <f>'Table 2A BaseLoad'!I29-Solar_Tracking_integr_cost</f>
        <v>34.467635305632825</v>
      </c>
      <c r="J29" s="104">
        <f>'Table 2A BaseLoad'!J29-Solar_Tracking_integr_cost</f>
        <v>29.748413685376033</v>
      </c>
      <c r="K29" s="102">
        <f>'Table 2A BaseLoad'!K29-Solar_Tracking_integr_cost</f>
        <v>26.987882065529064</v>
      </c>
      <c r="L29" s="103">
        <f>'Table 2A BaseLoad'!L29-Solar_Tracking_integr_cost</f>
        <v>28.92832273868223</v>
      </c>
      <c r="M29" s="104">
        <f>'Table 2A BaseLoad'!M29-Solar_Tracking_integr_cost</f>
        <v>33.875655722027666</v>
      </c>
      <c r="O29" s="67"/>
    </row>
    <row r="30" spans="1:30" ht="12.75" customHeight="1" x14ac:dyDescent="0.2">
      <c r="A30" s="101">
        <f t="shared" si="1"/>
        <v>2016</v>
      </c>
      <c r="B30" s="102">
        <f>'Table 2A BaseLoad'!B30-Solar_Tracking_integr_cost</f>
        <v>28.345194710116552</v>
      </c>
      <c r="C30" s="103">
        <f>'Table 2A BaseLoad'!C30-Solar_Tracking_integr_cost</f>
        <v>31.12530407224493</v>
      </c>
      <c r="D30" s="103">
        <f>'Table 2A BaseLoad'!D30-Solar_Tracking_integr_cost</f>
        <v>32.608745430300154</v>
      </c>
      <c r="E30" s="103">
        <f>'Table 2A BaseLoad'!E30-Solar_Tracking_integr_cost</f>
        <v>26.066918305655321</v>
      </c>
      <c r="F30" s="103">
        <f>'Table 2A BaseLoad'!F30-Solar_Tracking_integr_cost</f>
        <v>22.586123282628996</v>
      </c>
      <c r="G30" s="102">
        <f>'Table 2A BaseLoad'!G30-Solar_Tracking_integr_cost</f>
        <v>22.622551685631688</v>
      </c>
      <c r="H30" s="103">
        <f>'Table 2A BaseLoad'!H30-Solar_Tracking_integr_cost</f>
        <v>31.00961703656742</v>
      </c>
      <c r="I30" s="103">
        <f>'Table 2A BaseLoad'!I30-Solar_Tracking_integr_cost</f>
        <v>34.227001183410323</v>
      </c>
      <c r="J30" s="104">
        <f>'Table 2A BaseLoad'!J30-Solar_Tracking_integr_cost</f>
        <v>27.985837325275771</v>
      </c>
      <c r="K30" s="102">
        <f>'Table 2A BaseLoad'!K30-Solar_Tracking_integr_cost</f>
        <v>26.70849411786644</v>
      </c>
      <c r="L30" s="103">
        <f>'Table 2A BaseLoad'!L30-Solar_Tracking_integr_cost</f>
        <v>22.904762839213429</v>
      </c>
      <c r="M30" s="104">
        <f>'Table 2A BaseLoad'!M30-Solar_Tracking_integr_cost</f>
        <v>30.259755180794542</v>
      </c>
      <c r="N30" s="246"/>
      <c r="O30" s="67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30" ht="12.75" customHeight="1" x14ac:dyDescent="0.2">
      <c r="A31" s="101">
        <f t="shared" si="1"/>
        <v>2017</v>
      </c>
      <c r="B31" s="102">
        <f>'Table 2A BaseLoad'!B31-Solar_Tracking_integr_cost</f>
        <v>27.702569777392732</v>
      </c>
      <c r="C31" s="103">
        <f>'Table 2A BaseLoad'!C31-Solar_Tracking_integr_cost</f>
        <v>31.07859647900132</v>
      </c>
      <c r="D31" s="103">
        <f>'Table 2A BaseLoad'!D31-Solar_Tracking_integr_cost</f>
        <v>32.128454645677436</v>
      </c>
      <c r="E31" s="103">
        <f>'Table 2A BaseLoad'!E31-Solar_Tracking_integr_cost</f>
        <v>25.872636340771699</v>
      </c>
      <c r="F31" s="103">
        <f>'Table 2A BaseLoad'!F31-Solar_Tracking_integr_cost</f>
        <v>24.414503860353864</v>
      </c>
      <c r="G31" s="102">
        <f>'Table 2A BaseLoad'!G31-Solar_Tracking_integr_cost</f>
        <v>23.9029038706277</v>
      </c>
      <c r="H31" s="103">
        <f>'Table 2A BaseLoad'!H31-Solar_Tracking_integr_cost</f>
        <v>32.933903721842555</v>
      </c>
      <c r="I31" s="103">
        <f>'Table 2A BaseLoad'!I31-Solar_Tracking_integr_cost</f>
        <v>36.344465829230124</v>
      </c>
      <c r="J31" s="104">
        <f>'Table 2A BaseLoad'!J31-Solar_Tracking_integr_cost</f>
        <v>31.379973114257055</v>
      </c>
      <c r="K31" s="102">
        <f>'Table 2A BaseLoad'!K31-Solar_Tracking_integr_cost</f>
        <v>27.550057413968187</v>
      </c>
      <c r="L31" s="103">
        <f>'Table 2A BaseLoad'!L31-Solar_Tracking_integr_cost</f>
        <v>28.173280094212128</v>
      </c>
      <c r="M31" s="104">
        <f>'Table 2A BaseLoad'!M31-Solar_Tracking_integr_cost</f>
        <v>28.989594998020799</v>
      </c>
      <c r="N31" s="246"/>
      <c r="O31" s="67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2.75" customHeight="1" x14ac:dyDescent="0.2">
      <c r="A32" s="101">
        <f t="shared" si="1"/>
        <v>2018</v>
      </c>
      <c r="B32" s="102">
        <f>'Table 2A BaseLoad'!B32-Solar_Tracking_integr_cost</f>
        <v>28.895108367773474</v>
      </c>
      <c r="C32" s="103">
        <f>'Table 2A BaseLoad'!C32-Solar_Tracking_integr_cost</f>
        <v>29.777723527503689</v>
      </c>
      <c r="D32" s="103">
        <f>'Table 2A BaseLoad'!D32-Solar_Tracking_integr_cost</f>
        <v>33.504698636337153</v>
      </c>
      <c r="E32" s="103">
        <f>'Table 2A BaseLoad'!E32-Solar_Tracking_integr_cost</f>
        <v>28.738929822413873</v>
      </c>
      <c r="F32" s="103">
        <f>'Table 2A BaseLoad'!F32-Solar_Tracking_integr_cost</f>
        <v>26.422939104416997</v>
      </c>
      <c r="G32" s="102">
        <f>'Table 2A BaseLoad'!G32-Solar_Tracking_integr_cost</f>
        <v>26.43849048982478</v>
      </c>
      <c r="H32" s="103">
        <f>'Table 2A BaseLoad'!H32-Solar_Tracking_integr_cost</f>
        <v>35.73831314160779</v>
      </c>
      <c r="I32" s="103">
        <f>'Table 2A BaseLoad'!I32-Solar_Tracking_integr_cost</f>
        <v>39.078499352461712</v>
      </c>
      <c r="J32" s="104">
        <f>'Table 2A BaseLoad'!J32-Solar_Tracking_integr_cost</f>
        <v>31.75204981572098</v>
      </c>
      <c r="K32" s="102">
        <f>'Table 2A BaseLoad'!K32-Solar_Tracking_integr_cost</f>
        <v>31.335487850287187</v>
      </c>
      <c r="L32" s="103">
        <f>'Table 2A BaseLoad'!L32-Solar_Tracking_integr_cost</f>
        <v>37.223977721966804</v>
      </c>
      <c r="M32" s="104">
        <f>'Table 2A BaseLoad'!M32-Solar_Tracking_integr_cost</f>
        <v>30.803157214550403</v>
      </c>
      <c r="N32" s="246"/>
      <c r="O32" s="67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2.75" customHeight="1" x14ac:dyDescent="0.2">
      <c r="A33" s="101">
        <f t="shared" si="1"/>
        <v>2019</v>
      </c>
      <c r="B33" s="102">
        <f>'Table 2A BaseLoad'!B33-Solar_Tracking_integr_cost</f>
        <v>30.933796920313313</v>
      </c>
      <c r="C33" s="103">
        <f>'Table 2A BaseLoad'!C33-Solar_Tracking_integr_cost</f>
        <v>31.902442851754884</v>
      </c>
      <c r="D33" s="103">
        <f>'Table 2A BaseLoad'!D33-Solar_Tracking_integr_cost</f>
        <v>34.285733661502597</v>
      </c>
      <c r="E33" s="103">
        <f>'Table 2A BaseLoad'!E33-Solar_Tracking_integr_cost</f>
        <v>32.335712459418509</v>
      </c>
      <c r="F33" s="103">
        <f>'Table 2A BaseLoad'!F33-Solar_Tracking_integr_cost</f>
        <v>28.227429856843045</v>
      </c>
      <c r="G33" s="102">
        <f>'Table 2A BaseLoad'!G33-Solar_Tracking_integr_cost</f>
        <v>28.087854665906892</v>
      </c>
      <c r="H33" s="103">
        <f>'Table 2A BaseLoad'!H33-Solar_Tracking_integr_cost</f>
        <v>37.726447466562995</v>
      </c>
      <c r="I33" s="103">
        <f>'Table 2A BaseLoad'!I33-Solar_Tracking_integr_cost</f>
        <v>41.169064695218239</v>
      </c>
      <c r="J33" s="104">
        <f>'Table 2A BaseLoad'!J33-Solar_Tracking_integr_cost</f>
        <v>34.198748990535321</v>
      </c>
      <c r="K33" s="102">
        <f>'Table 2A BaseLoad'!K33-Solar_Tracking_integr_cost</f>
        <v>34.396477788865404</v>
      </c>
      <c r="L33" s="103">
        <f>'Table 2A BaseLoad'!L33-Solar_Tracking_integr_cost</f>
        <v>32.873980247183809</v>
      </c>
      <c r="M33" s="104">
        <f>'Table 2A BaseLoad'!M33-Solar_Tracking_integr_cost</f>
        <v>33.418310627672142</v>
      </c>
      <c r="N33" s="246"/>
      <c r="O33" s="67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2.75" customHeight="1" x14ac:dyDescent="0.2">
      <c r="A34" s="101">
        <f t="shared" si="1"/>
        <v>2020</v>
      </c>
      <c r="B34" s="102">
        <f>'Table 2A BaseLoad'!B34-Solar_Tracking_integr_cost</f>
        <v>36.344641630005455</v>
      </c>
      <c r="C34" s="103">
        <f>'Table 2A BaseLoad'!C34-Solar_Tracking_integr_cost</f>
        <v>34.501307086134439</v>
      </c>
      <c r="D34" s="103">
        <f>'Table 2A BaseLoad'!D34-Solar_Tracking_integr_cost</f>
        <v>36.159546837817921</v>
      </c>
      <c r="E34" s="103">
        <f>'Table 2A BaseLoad'!E34-Solar_Tracking_integr_cost</f>
        <v>35.513768727373744</v>
      </c>
      <c r="F34" s="103">
        <f>'Table 2A BaseLoad'!F34-Solar_Tracking_integr_cost</f>
        <v>32.103690399267983</v>
      </c>
      <c r="G34" s="102">
        <f>'Table 2A BaseLoad'!G34-Solar_Tracking_integr_cost</f>
        <v>34.348284479263754</v>
      </c>
      <c r="H34" s="103">
        <f>'Table 2A BaseLoad'!H34-Solar_Tracking_integr_cost</f>
        <v>43.938239694104723</v>
      </c>
      <c r="I34" s="103">
        <f>'Table 2A BaseLoad'!I34-Solar_Tracking_integr_cost</f>
        <v>43.851051282460489</v>
      </c>
      <c r="J34" s="104">
        <f>'Table 2A BaseLoad'!J34-Solar_Tracking_integr_cost</f>
        <v>38.583812433899276</v>
      </c>
      <c r="K34" s="102">
        <f>'Table 2A BaseLoad'!K34-Solar_Tracking_integr_cost</f>
        <v>35.442226672379242</v>
      </c>
      <c r="L34" s="103">
        <f>'Table 2A BaseLoad'!L34-Solar_Tracking_integr_cost</f>
        <v>35.748383280444479</v>
      </c>
      <c r="M34" s="104">
        <f>'Table 2A BaseLoad'!M34-Solar_Tracking_integr_cost</f>
        <v>34.765107823506156</v>
      </c>
      <c r="N34" s="246"/>
      <c r="O34" s="67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2.75" customHeight="1" x14ac:dyDescent="0.2">
      <c r="A35" s="101">
        <f t="shared" si="1"/>
        <v>2021</v>
      </c>
      <c r="B35" s="102">
        <f>'Table 2A BaseLoad'!B35-Solar_Tracking_integr_cost</f>
        <v>37.627654860375387</v>
      </c>
      <c r="C35" s="103">
        <f>'Table 2A BaseLoad'!C35-Solar_Tracking_integr_cost</f>
        <v>39.505868149481358</v>
      </c>
      <c r="D35" s="103">
        <f>'Table 2A BaseLoad'!D35-Solar_Tracking_integr_cost</f>
        <v>38.441667487799158</v>
      </c>
      <c r="E35" s="103">
        <f>'Table 2A BaseLoad'!E35-Solar_Tracking_integr_cost</f>
        <v>37.275154014937577</v>
      </c>
      <c r="F35" s="103">
        <f>'Table 2A BaseLoad'!F35-Solar_Tracking_integr_cost</f>
        <v>35.641452215910761</v>
      </c>
      <c r="G35" s="102">
        <f>'Table 2A BaseLoad'!G35-Solar_Tracking_integr_cost</f>
        <v>37.461154329871967</v>
      </c>
      <c r="H35" s="103">
        <f>'Table 2A BaseLoad'!H35-Solar_Tracking_integr_cost</f>
        <v>44.473762015616224</v>
      </c>
      <c r="I35" s="103">
        <f>'Table 2A BaseLoad'!I35-Solar_Tracking_integr_cost</f>
        <v>44.784928623601317</v>
      </c>
      <c r="J35" s="104">
        <f>'Table 2A BaseLoad'!J35-Solar_Tracking_integr_cost</f>
        <v>40.924193730250828</v>
      </c>
      <c r="K35" s="102">
        <f>'Table 2A BaseLoad'!K35-Solar_Tracking_integr_cost</f>
        <v>39.389675271128937</v>
      </c>
      <c r="L35" s="103">
        <f>'Table 2A BaseLoad'!L35-Solar_Tracking_integr_cost</f>
        <v>42.544908349137337</v>
      </c>
      <c r="M35" s="104">
        <f>'Table 2A BaseLoad'!M35-Solar_Tracking_integr_cost</f>
        <v>42.676009342994099</v>
      </c>
      <c r="N35" s="246"/>
      <c r="O35" s="67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2.75" customHeight="1" x14ac:dyDescent="0.2">
      <c r="A36" s="101">
        <f t="shared" si="1"/>
        <v>2022</v>
      </c>
      <c r="B36" s="102">
        <f>'Table 2A BaseLoad'!B36-Solar_Tracking_integr_cost</f>
        <v>40.570653922637945</v>
      </c>
      <c r="C36" s="103">
        <f>'Table 2A BaseLoad'!C36-Solar_Tracking_integr_cost</f>
        <v>39.79415858643307</v>
      </c>
      <c r="D36" s="103">
        <f>'Table 2A BaseLoad'!D36-Solar_Tracking_integr_cost</f>
        <v>40.346046430143296</v>
      </c>
      <c r="E36" s="103">
        <f>'Table 2A BaseLoad'!E36-Solar_Tracking_integr_cost</f>
        <v>36.960701079716287</v>
      </c>
      <c r="F36" s="103">
        <f>'Table 2A BaseLoad'!F36-Solar_Tracking_integr_cost</f>
        <v>36.465816120693603</v>
      </c>
      <c r="G36" s="102">
        <f>'Table 2A BaseLoad'!G36-Solar_Tracking_integr_cost</f>
        <v>39.620467893920008</v>
      </c>
      <c r="H36" s="103">
        <f>'Table 2A BaseLoad'!H36-Solar_Tracking_integr_cost</f>
        <v>46.097988398339481</v>
      </c>
      <c r="I36" s="103">
        <f>'Table 2A BaseLoad'!I36-Solar_Tracking_integr_cost</f>
        <v>45.515197923088905</v>
      </c>
      <c r="J36" s="104">
        <f>'Table 2A BaseLoad'!J36-Solar_Tracking_integr_cost</f>
        <v>41.222221532149447</v>
      </c>
      <c r="K36" s="102">
        <f>'Table 2A BaseLoad'!K36-Solar_Tracking_integr_cost</f>
        <v>40.029440841686018</v>
      </c>
      <c r="L36" s="103">
        <f>'Table 2A BaseLoad'!L36-Solar_Tracking_integr_cost</f>
        <v>40.565416880684595</v>
      </c>
      <c r="M36" s="104">
        <f>'Table 2A BaseLoad'!M36-Solar_Tracking_integr_cost</f>
        <v>42.791186395341988</v>
      </c>
      <c r="N36" s="246"/>
      <c r="O36" s="67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2.75" customHeight="1" x14ac:dyDescent="0.2">
      <c r="A37" s="101">
        <f t="shared" si="1"/>
        <v>2023</v>
      </c>
      <c r="B37" s="102">
        <f>'Table 2A BaseLoad'!B37-Solar_Tracking_integr_cost</f>
        <v>41.707187522477518</v>
      </c>
      <c r="C37" s="103">
        <f>'Table 2A BaseLoad'!C37-Solar_Tracking_integr_cost</f>
        <v>41.229913552924991</v>
      </c>
      <c r="D37" s="103">
        <f>'Table 2A BaseLoad'!D37-Solar_Tracking_integr_cost</f>
        <v>40.994649045632414</v>
      </c>
      <c r="E37" s="103">
        <f>'Table 2A BaseLoad'!E37-Solar_Tracking_integr_cost</f>
        <v>39.130596519286435</v>
      </c>
      <c r="F37" s="103">
        <f>'Table 2A BaseLoad'!F37-Solar_Tracking_integr_cost</f>
        <v>38.075377018772144</v>
      </c>
      <c r="G37" s="102">
        <f>'Table 2A BaseLoad'!G37-Solar_Tracking_integr_cost</f>
        <v>40.420930524054498</v>
      </c>
      <c r="H37" s="103">
        <f>'Table 2A BaseLoad'!H37-Solar_Tracking_integr_cost</f>
        <v>47.508676815023342</v>
      </c>
      <c r="I37" s="103">
        <f>'Table 2A BaseLoad'!I37-Solar_Tracking_integr_cost</f>
        <v>46.971929403961667</v>
      </c>
      <c r="J37" s="104">
        <f>'Table 2A BaseLoad'!J37-Solar_Tracking_integr_cost</f>
        <v>41.08958293750468</v>
      </c>
      <c r="K37" s="102">
        <f>'Table 2A BaseLoad'!K37-Solar_Tracking_integr_cost</f>
        <v>41.595253756720851</v>
      </c>
      <c r="L37" s="103">
        <f>'Table 2A BaseLoad'!L37-Solar_Tracking_integr_cost</f>
        <v>43.339154481941627</v>
      </c>
      <c r="M37" s="104">
        <f>'Table 2A BaseLoad'!M37-Solar_Tracking_integr_cost</f>
        <v>45.696191666666216</v>
      </c>
      <c r="N37" s="246"/>
      <c r="O37" s="67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2.75" customHeight="1" x14ac:dyDescent="0.2">
      <c r="A38" s="101">
        <f t="shared" si="1"/>
        <v>2024</v>
      </c>
      <c r="B38" s="102">
        <f>'Table 2A BaseLoad'!B38-Solar_Tracking_integr_cost</f>
        <v>44.169905698926698</v>
      </c>
      <c r="C38" s="103">
        <f>'Table 2A BaseLoad'!C38-Solar_Tracking_integr_cost</f>
        <v>43.691396860630178</v>
      </c>
      <c r="D38" s="103">
        <f>'Table 2A BaseLoad'!D38-Solar_Tracking_integr_cost</f>
        <v>43.122427853499687</v>
      </c>
      <c r="E38" s="103">
        <f>'Table 2A BaseLoad'!E38-Solar_Tracking_integr_cost</f>
        <v>40.686007086113094</v>
      </c>
      <c r="F38" s="103">
        <f>'Table 2A BaseLoad'!F38-Solar_Tracking_integr_cost</f>
        <v>39.009462236559358</v>
      </c>
      <c r="G38" s="102">
        <f>'Table 2A BaseLoad'!G38-Solar_Tracking_integr_cost</f>
        <v>41.874159319450456</v>
      </c>
      <c r="H38" s="103">
        <f>'Table 2A BaseLoad'!H38-Solar_Tracking_integr_cost</f>
        <v>49.89935329301543</v>
      </c>
      <c r="I38" s="103">
        <f>'Table 2A BaseLoad'!I38-Solar_Tracking_integr_cost</f>
        <v>50.851657612904589</v>
      </c>
      <c r="J38" s="103">
        <f>'Table 2A BaseLoad'!J38-Solar_Tracking_integr_cost</f>
        <v>43.585764245837929</v>
      </c>
      <c r="K38" s="102">
        <f>'Table 2A BaseLoad'!K38-Solar_Tracking_integr_cost</f>
        <v>44.150410318553291</v>
      </c>
      <c r="L38" s="103">
        <f>'Table 2A BaseLoad'!L38-Solar_Tracking_integr_cost</f>
        <v>44.84964870694197</v>
      </c>
      <c r="M38" s="104">
        <f>'Table 2A BaseLoad'!M38-Solar_Tracking_integr_cost</f>
        <v>46.151040403226851</v>
      </c>
      <c r="N38" s="246"/>
      <c r="O38" s="6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ht="12.75" customHeight="1" x14ac:dyDescent="0.2">
      <c r="A39" s="101">
        <f t="shared" si="1"/>
        <v>2025</v>
      </c>
      <c r="B39" s="102">
        <f>'Table 2A BaseLoad'!B39-Solar_Tracking_integr_cost</f>
        <v>47.496321900535818</v>
      </c>
      <c r="C39" s="103">
        <f>'Table 2A BaseLoad'!C39-Solar_Tracking_integr_cost</f>
        <v>46.412422946431633</v>
      </c>
      <c r="D39" s="103">
        <f>'Table 2A BaseLoad'!D39-Solar_Tracking_integr_cost</f>
        <v>44.802895752687448</v>
      </c>
      <c r="E39" s="103">
        <f>'Table 2A BaseLoad'!E39-Solar_Tracking_integr_cost</f>
        <v>41.892134013892047</v>
      </c>
      <c r="F39" s="103">
        <f>'Table 2A BaseLoad'!F39-Solar_Tracking_integr_cost</f>
        <v>41.298546629032941</v>
      </c>
      <c r="G39" s="102">
        <f>'Table 2A BaseLoad'!G39-Solar_Tracking_integr_cost</f>
        <v>44.576004944447845</v>
      </c>
      <c r="H39" s="103">
        <f>'Table 2A BaseLoad'!H39-Solar_Tracking_integr_cost</f>
        <v>52.792026448917163</v>
      </c>
      <c r="I39" s="103">
        <f>'Table 2A BaseLoad'!I39-Solar_Tracking_integr_cost</f>
        <v>54.114723002684691</v>
      </c>
      <c r="J39" s="103">
        <f>'Table 2A BaseLoad'!J39-Solar_Tracking_integr_cost</f>
        <v>47.223988412498599</v>
      </c>
      <c r="K39" s="102">
        <f>'Table 2A BaseLoad'!K39-Solar_Tracking_integr_cost</f>
        <v>45.66721409409277</v>
      </c>
      <c r="L39" s="103">
        <f>'Table 2A BaseLoad'!L39-Solar_Tracking_integr_cost</f>
        <v>46.997842659718458</v>
      </c>
      <c r="M39" s="104">
        <f>'Table 2A BaseLoad'!M39-Solar_Tracking_integr_cost</f>
        <v>48.435206354840467</v>
      </c>
      <c r="N39" s="246"/>
      <c r="O39" s="67"/>
    </row>
    <row r="40" spans="1:26" ht="12.75" customHeight="1" x14ac:dyDescent="0.2">
      <c r="A40" s="101">
        <f t="shared" si="1"/>
        <v>2026</v>
      </c>
      <c r="B40" s="102">
        <f>'Table 2A BaseLoad'!B40-Solar_Tracking_integr_cost</f>
        <v>49.190240154573992</v>
      </c>
      <c r="C40" s="103">
        <f>'Table 2A BaseLoad'!C40-Solar_Tracking_integr_cost</f>
        <v>48.185011380954336</v>
      </c>
      <c r="D40" s="103">
        <f>'Table 2A BaseLoad'!D40-Solar_Tracking_integr_cost</f>
        <v>46.296385309138607</v>
      </c>
      <c r="E40" s="103">
        <f>'Table 2A BaseLoad'!E40-Solar_Tracking_integr_cost</f>
        <v>44.622835443048842</v>
      </c>
      <c r="F40" s="103">
        <f>'Table 2A BaseLoad'!F40-Solar_Tracking_integr_cost</f>
        <v>42.973886819891234</v>
      </c>
      <c r="G40" s="102">
        <f>'Table 2A BaseLoad'!G40-Solar_Tracking_integr_cost</f>
        <v>47.188580022222467</v>
      </c>
      <c r="H40" s="103">
        <f>'Table 2A BaseLoad'!H40-Solar_Tracking_integr_cost</f>
        <v>55.35086930242197</v>
      </c>
      <c r="I40" s="103">
        <f>'Table 2A BaseLoad'!I40-Solar_Tracking_integr_cost</f>
        <v>56.928752966391784</v>
      </c>
      <c r="J40" s="103">
        <f>'Table 2A BaseLoad'!J40-Solar_Tracking_integr_cost</f>
        <v>49.900368083334634</v>
      </c>
      <c r="K40" s="102">
        <f>'Table 2A BaseLoad'!K40-Solar_Tracking_integr_cost</f>
        <v>47.438458229836115</v>
      </c>
      <c r="L40" s="103">
        <f>'Table 2A BaseLoad'!L40-Solar_Tracking_integr_cost</f>
        <v>48.939395020827654</v>
      </c>
      <c r="M40" s="104">
        <f>'Table 2A BaseLoad'!M40-Solar_Tracking_integr_cost</f>
        <v>51.167759806452899</v>
      </c>
      <c r="N40" s="246"/>
      <c r="O40" s="67"/>
    </row>
    <row r="41" spans="1:26" ht="12.75" hidden="1" customHeight="1" x14ac:dyDescent="0.2">
      <c r="A41" s="101"/>
      <c r="B41" s="102"/>
      <c r="C41" s="103"/>
      <c r="D41" s="103"/>
      <c r="E41" s="103"/>
      <c r="F41" s="103"/>
      <c r="G41" s="102"/>
      <c r="H41" s="103"/>
      <c r="I41" s="103"/>
      <c r="J41" s="103"/>
      <c r="K41" s="102"/>
      <c r="L41" s="103"/>
      <c r="M41" s="104"/>
    </row>
    <row r="42" spans="1:26" ht="12.75" hidden="1" customHeight="1" x14ac:dyDescent="0.2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1:26" ht="12.75" hidden="1" customHeight="1" x14ac:dyDescent="0.2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1:26" ht="12.75" customHeight="1" x14ac:dyDescent="0.2">
      <c r="A44" s="218"/>
      <c r="B44" s="216"/>
      <c r="C44" s="216"/>
      <c r="D44" s="216"/>
      <c r="E44" s="216"/>
      <c r="F44" s="215"/>
      <c r="G44" s="215"/>
      <c r="H44" s="215"/>
      <c r="I44" s="215"/>
      <c r="J44" s="217"/>
      <c r="K44" s="215"/>
      <c r="L44" s="215"/>
      <c r="M44" s="215"/>
    </row>
    <row r="45" spans="1:26" ht="12.75" customHeight="1" x14ac:dyDescent="0.2">
      <c r="A45" s="13" t="s">
        <v>186</v>
      </c>
      <c r="C45" s="88"/>
      <c r="D45" s="88"/>
      <c r="E45" s="88"/>
      <c r="G45" s="88"/>
      <c r="H45" s="88"/>
      <c r="I45" s="88"/>
      <c r="J45" s="96"/>
      <c r="L45" s="88"/>
      <c r="M45" s="70"/>
    </row>
    <row r="46" spans="1:26" ht="12.75" customHeight="1" x14ac:dyDescent="0.2">
      <c r="A46" s="97">
        <f>'Tables 3 to 6'!$B$13</f>
        <v>2014</v>
      </c>
      <c r="B46" s="98"/>
      <c r="C46" s="99"/>
      <c r="D46" s="99"/>
      <c r="E46" s="99"/>
      <c r="F46" s="99"/>
      <c r="G46" s="98"/>
      <c r="H46" s="99">
        <f>H10*0.56+H28*0.44</f>
        <v>35.906825963456981</v>
      </c>
      <c r="I46" s="99">
        <f t="shared" ref="I46:M46" si="2">I10*0.56+I28*0.44</f>
        <v>44.100968631025651</v>
      </c>
      <c r="J46" s="99">
        <f t="shared" si="2"/>
        <v>34.715751666121385</v>
      </c>
      <c r="K46" s="98">
        <f t="shared" si="2"/>
        <v>32.541994275770719</v>
      </c>
      <c r="L46" s="99">
        <f t="shared" si="2"/>
        <v>35.859061082687425</v>
      </c>
      <c r="M46" s="100">
        <f t="shared" si="2"/>
        <v>32.64617920774802</v>
      </c>
    </row>
    <row r="47" spans="1:26" ht="12.75" customHeight="1" x14ac:dyDescent="0.2">
      <c r="A47" s="101">
        <f t="shared" ref="A47:A58" si="3">A46+1</f>
        <v>2015</v>
      </c>
      <c r="B47" s="102">
        <f>B11*0.56+B29*0.44</f>
        <v>39.74607566872136</v>
      </c>
      <c r="C47" s="103">
        <f t="shared" ref="C47:M47" si="4">C11*0.56+C29*0.44</f>
        <v>40.184683595192681</v>
      </c>
      <c r="D47" s="103">
        <f t="shared" si="4"/>
        <v>45.879263804637318</v>
      </c>
      <c r="E47" s="103">
        <f t="shared" si="4"/>
        <v>30.868830593234534</v>
      </c>
      <c r="F47" s="103">
        <f t="shared" si="4"/>
        <v>28.328744599942816</v>
      </c>
      <c r="G47" s="102">
        <f t="shared" si="4"/>
        <v>30.187683736762636</v>
      </c>
      <c r="H47" s="103">
        <f t="shared" si="4"/>
        <v>38.167822708380413</v>
      </c>
      <c r="I47" s="103">
        <f t="shared" si="4"/>
        <v>40.455827305632823</v>
      </c>
      <c r="J47" s="103">
        <f t="shared" si="4"/>
        <v>35.736605685376034</v>
      </c>
      <c r="K47" s="102">
        <f t="shared" si="4"/>
        <v>32.976074065529062</v>
      </c>
      <c r="L47" s="103">
        <f t="shared" si="4"/>
        <v>34.916514738682231</v>
      </c>
      <c r="M47" s="104">
        <f t="shared" si="4"/>
        <v>39.863847722027664</v>
      </c>
    </row>
    <row r="48" spans="1:26" ht="12.75" customHeight="1" x14ac:dyDescent="0.2">
      <c r="A48" s="101">
        <f t="shared" si="3"/>
        <v>2016</v>
      </c>
      <c r="B48" s="102">
        <f t="shared" ref="B48:M58" si="5">B12*0.56+B30*0.44</f>
        <v>34.441578710116559</v>
      </c>
      <c r="C48" s="103">
        <f t="shared" si="5"/>
        <v>37.22168807224493</v>
      </c>
      <c r="D48" s="103">
        <f t="shared" si="5"/>
        <v>38.705129430300161</v>
      </c>
      <c r="E48" s="103">
        <f t="shared" si="5"/>
        <v>32.163302305655321</v>
      </c>
      <c r="F48" s="103">
        <f t="shared" si="5"/>
        <v>28.682507282629</v>
      </c>
      <c r="G48" s="102">
        <f t="shared" si="5"/>
        <v>28.718935685631688</v>
      </c>
      <c r="H48" s="103">
        <f t="shared" si="5"/>
        <v>37.10600103656742</v>
      </c>
      <c r="I48" s="103">
        <f t="shared" si="5"/>
        <v>40.323385183410323</v>
      </c>
      <c r="J48" s="103">
        <f t="shared" si="5"/>
        <v>34.082221325275768</v>
      </c>
      <c r="K48" s="102">
        <f t="shared" si="5"/>
        <v>32.804878117866444</v>
      </c>
      <c r="L48" s="103">
        <f t="shared" si="5"/>
        <v>29.001146839213433</v>
      </c>
      <c r="M48" s="104">
        <f t="shared" si="5"/>
        <v>36.35613918079455</v>
      </c>
    </row>
    <row r="49" spans="1:13" ht="12.75" customHeight="1" x14ac:dyDescent="0.2">
      <c r="A49" s="101">
        <f t="shared" si="3"/>
        <v>2017</v>
      </c>
      <c r="B49" s="102">
        <f t="shared" si="5"/>
        <v>33.907145777392735</v>
      </c>
      <c r="C49" s="103">
        <f t="shared" si="5"/>
        <v>37.283172479001323</v>
      </c>
      <c r="D49" s="103">
        <f t="shared" si="5"/>
        <v>38.333030645677439</v>
      </c>
      <c r="E49" s="103">
        <f t="shared" si="5"/>
        <v>32.077212340771702</v>
      </c>
      <c r="F49" s="103">
        <f t="shared" si="5"/>
        <v>30.619079860353864</v>
      </c>
      <c r="G49" s="102">
        <f t="shared" si="5"/>
        <v>30.107479870627699</v>
      </c>
      <c r="H49" s="103">
        <f t="shared" si="5"/>
        <v>39.138479721842558</v>
      </c>
      <c r="I49" s="103">
        <f t="shared" si="5"/>
        <v>42.549041829230127</v>
      </c>
      <c r="J49" s="103">
        <f t="shared" si="5"/>
        <v>37.584549114257058</v>
      </c>
      <c r="K49" s="102">
        <f t="shared" si="5"/>
        <v>33.754633413968193</v>
      </c>
      <c r="L49" s="103">
        <f t="shared" si="5"/>
        <v>34.377856094212135</v>
      </c>
      <c r="M49" s="104">
        <f t="shared" si="5"/>
        <v>35.194170998020802</v>
      </c>
    </row>
    <row r="50" spans="1:13" ht="12.75" customHeight="1" x14ac:dyDescent="0.2">
      <c r="A50" s="101">
        <f t="shared" si="3"/>
        <v>2018</v>
      </c>
      <c r="B50" s="102">
        <f t="shared" si="5"/>
        <v>36.266276367773472</v>
      </c>
      <c r="C50" s="103">
        <f t="shared" si="5"/>
        <v>37.148891527503693</v>
      </c>
      <c r="D50" s="103">
        <f t="shared" si="5"/>
        <v>40.87586663633715</v>
      </c>
      <c r="E50" s="103">
        <f t="shared" si="5"/>
        <v>36.11009782241387</v>
      </c>
      <c r="F50" s="103">
        <f t="shared" si="5"/>
        <v>33.794107104416995</v>
      </c>
      <c r="G50" s="102">
        <f t="shared" si="5"/>
        <v>33.809658489824784</v>
      </c>
      <c r="H50" s="103">
        <f t="shared" si="5"/>
        <v>43.109481141607787</v>
      </c>
      <c r="I50" s="103">
        <f t="shared" si="5"/>
        <v>46.449667352461717</v>
      </c>
      <c r="J50" s="103">
        <f t="shared" si="5"/>
        <v>39.123217815720977</v>
      </c>
      <c r="K50" s="102">
        <f t="shared" si="5"/>
        <v>38.706655850287191</v>
      </c>
      <c r="L50" s="103">
        <f t="shared" si="5"/>
        <v>44.595145721966801</v>
      </c>
      <c r="M50" s="104">
        <f t="shared" si="5"/>
        <v>38.174325214550407</v>
      </c>
    </row>
    <row r="51" spans="1:13" ht="12.75" customHeight="1" x14ac:dyDescent="0.2">
      <c r="A51" s="101">
        <f t="shared" si="3"/>
        <v>2019</v>
      </c>
      <c r="B51" s="102">
        <f t="shared" si="5"/>
        <v>38.427268920313317</v>
      </c>
      <c r="C51" s="103">
        <f t="shared" si="5"/>
        <v>39.395914851754888</v>
      </c>
      <c r="D51" s="103">
        <f t="shared" si="5"/>
        <v>41.779205661502601</v>
      </c>
      <c r="E51" s="103">
        <f t="shared" si="5"/>
        <v>39.829184459418514</v>
      </c>
      <c r="F51" s="103">
        <f t="shared" si="5"/>
        <v>35.720901856843049</v>
      </c>
      <c r="G51" s="102">
        <f t="shared" si="5"/>
        <v>35.581326665906893</v>
      </c>
      <c r="H51" s="103">
        <f t="shared" si="5"/>
        <v>45.219919466562999</v>
      </c>
      <c r="I51" s="103">
        <f t="shared" si="5"/>
        <v>48.662536695218236</v>
      </c>
      <c r="J51" s="103">
        <f t="shared" si="5"/>
        <v>41.692220990535326</v>
      </c>
      <c r="K51" s="102">
        <f t="shared" si="5"/>
        <v>41.889949788865408</v>
      </c>
      <c r="L51" s="103">
        <f t="shared" si="5"/>
        <v>40.367452247183813</v>
      </c>
      <c r="M51" s="104">
        <f t="shared" si="5"/>
        <v>40.911782627672146</v>
      </c>
    </row>
    <row r="52" spans="1:13" ht="12.75" customHeight="1" x14ac:dyDescent="0.2">
      <c r="A52" s="101">
        <f t="shared" si="3"/>
        <v>2020</v>
      </c>
      <c r="B52" s="102">
        <f t="shared" si="5"/>
        <v>43.974529630005456</v>
      </c>
      <c r="C52" s="103">
        <f t="shared" si="5"/>
        <v>42.13119508613444</v>
      </c>
      <c r="D52" s="103">
        <f t="shared" si="5"/>
        <v>43.789434837817922</v>
      </c>
      <c r="E52" s="103">
        <f t="shared" si="5"/>
        <v>43.143656727373745</v>
      </c>
      <c r="F52" s="103">
        <f t="shared" si="5"/>
        <v>39.733578399267984</v>
      </c>
      <c r="G52" s="102">
        <f t="shared" si="5"/>
        <v>41.978172479263762</v>
      </c>
      <c r="H52" s="103">
        <f t="shared" si="5"/>
        <v>51.568127694104732</v>
      </c>
      <c r="I52" s="103">
        <f t="shared" si="5"/>
        <v>51.480939282460497</v>
      </c>
      <c r="J52" s="103">
        <f t="shared" si="5"/>
        <v>46.213700433899277</v>
      </c>
      <c r="K52" s="102">
        <f t="shared" si="5"/>
        <v>43.072114672379243</v>
      </c>
      <c r="L52" s="103">
        <f t="shared" si="5"/>
        <v>43.37827128044448</v>
      </c>
      <c r="M52" s="104">
        <f t="shared" si="5"/>
        <v>42.394995823506157</v>
      </c>
    </row>
    <row r="53" spans="1:13" ht="12.75" customHeight="1" x14ac:dyDescent="0.2">
      <c r="A53" s="101">
        <f t="shared" si="3"/>
        <v>2021</v>
      </c>
      <c r="B53" s="102">
        <f t="shared" si="5"/>
        <v>46.513510860375391</v>
      </c>
      <c r="C53" s="103">
        <f t="shared" si="5"/>
        <v>48.391724149481362</v>
      </c>
      <c r="D53" s="103">
        <f t="shared" si="5"/>
        <v>47.327523487799162</v>
      </c>
      <c r="E53" s="103">
        <f t="shared" si="5"/>
        <v>46.161010014937581</v>
      </c>
      <c r="F53" s="103">
        <f t="shared" si="5"/>
        <v>44.527308215910757</v>
      </c>
      <c r="G53" s="102">
        <f t="shared" si="5"/>
        <v>46.347010329871971</v>
      </c>
      <c r="H53" s="103">
        <f t="shared" si="5"/>
        <v>53.359618015616235</v>
      </c>
      <c r="I53" s="103">
        <f t="shared" si="5"/>
        <v>53.670784623601321</v>
      </c>
      <c r="J53" s="103">
        <f t="shared" si="5"/>
        <v>49.810049730250832</v>
      </c>
      <c r="K53" s="102">
        <f t="shared" si="5"/>
        <v>48.275531271128941</v>
      </c>
      <c r="L53" s="103">
        <f t="shared" si="5"/>
        <v>51.430764349137334</v>
      </c>
      <c r="M53" s="104">
        <f t="shared" si="5"/>
        <v>51.561865342994111</v>
      </c>
    </row>
    <row r="54" spans="1:13" ht="12.75" customHeight="1" x14ac:dyDescent="0.2">
      <c r="A54" s="101">
        <f t="shared" si="3"/>
        <v>2022</v>
      </c>
      <c r="B54" s="102">
        <f t="shared" si="5"/>
        <v>49.616445922637951</v>
      </c>
      <c r="C54" s="103">
        <f t="shared" si="5"/>
        <v>48.839950586433076</v>
      </c>
      <c r="D54" s="103">
        <f t="shared" si="5"/>
        <v>49.391838430143295</v>
      </c>
      <c r="E54" s="103">
        <f t="shared" si="5"/>
        <v>46.006493079716286</v>
      </c>
      <c r="F54" s="103">
        <f t="shared" si="5"/>
        <v>45.511608120693609</v>
      </c>
      <c r="G54" s="102">
        <f t="shared" si="5"/>
        <v>48.666259893920014</v>
      </c>
      <c r="H54" s="103">
        <f t="shared" si="5"/>
        <v>55.14378039833948</v>
      </c>
      <c r="I54" s="103">
        <f t="shared" si="5"/>
        <v>54.560989923088911</v>
      </c>
      <c r="J54" s="103">
        <f t="shared" si="5"/>
        <v>50.268013532149453</v>
      </c>
      <c r="K54" s="102">
        <f t="shared" si="5"/>
        <v>49.075232841686017</v>
      </c>
      <c r="L54" s="103">
        <f t="shared" si="5"/>
        <v>49.6112088806846</v>
      </c>
      <c r="M54" s="104">
        <f t="shared" si="5"/>
        <v>51.836978395341987</v>
      </c>
    </row>
    <row r="55" spans="1:13" ht="12.75" customHeight="1" x14ac:dyDescent="0.2">
      <c r="A55" s="101">
        <f t="shared" si="3"/>
        <v>2023</v>
      </c>
      <c r="B55" s="102">
        <f t="shared" si="5"/>
        <v>50.912915522477526</v>
      </c>
      <c r="C55" s="103">
        <f t="shared" si="5"/>
        <v>50.435641552924999</v>
      </c>
      <c r="D55" s="103">
        <f t="shared" si="5"/>
        <v>50.200377045632415</v>
      </c>
      <c r="E55" s="103">
        <f t="shared" si="5"/>
        <v>48.336324519286435</v>
      </c>
      <c r="F55" s="103">
        <f t="shared" si="5"/>
        <v>47.281105018772152</v>
      </c>
      <c r="G55" s="102">
        <f t="shared" si="5"/>
        <v>49.626658524054506</v>
      </c>
      <c r="H55" s="103">
        <f t="shared" si="5"/>
        <v>56.714404815023343</v>
      </c>
      <c r="I55" s="103">
        <f t="shared" si="5"/>
        <v>56.177657403961675</v>
      </c>
      <c r="J55" s="103">
        <f t="shared" si="5"/>
        <v>50.295310937504681</v>
      </c>
      <c r="K55" s="102">
        <f t="shared" si="5"/>
        <v>50.800981756720851</v>
      </c>
      <c r="L55" s="103">
        <f t="shared" si="5"/>
        <v>52.544882481941627</v>
      </c>
      <c r="M55" s="104">
        <f t="shared" si="5"/>
        <v>54.901919666666217</v>
      </c>
    </row>
    <row r="56" spans="1:13" ht="12.75" customHeight="1" x14ac:dyDescent="0.2">
      <c r="A56" s="101">
        <f t="shared" si="3"/>
        <v>2024</v>
      </c>
      <c r="B56" s="102">
        <f t="shared" si="5"/>
        <v>53.544977698926701</v>
      </c>
      <c r="C56" s="103">
        <f t="shared" si="5"/>
        <v>53.066468860630181</v>
      </c>
      <c r="D56" s="103">
        <f t="shared" si="5"/>
        <v>52.49749985349969</v>
      </c>
      <c r="E56" s="103">
        <f t="shared" si="5"/>
        <v>50.061079086113097</v>
      </c>
      <c r="F56" s="103">
        <f t="shared" si="5"/>
        <v>48.384534236559361</v>
      </c>
      <c r="G56" s="102">
        <f t="shared" si="5"/>
        <v>51.249231319450459</v>
      </c>
      <c r="H56" s="103">
        <f t="shared" si="5"/>
        <v>59.274425293015433</v>
      </c>
      <c r="I56" s="103">
        <f t="shared" si="5"/>
        <v>60.226729612904599</v>
      </c>
      <c r="J56" s="103">
        <f t="shared" si="5"/>
        <v>52.960836245837939</v>
      </c>
      <c r="K56" s="102">
        <f t="shared" si="5"/>
        <v>53.525482318553287</v>
      </c>
      <c r="L56" s="103">
        <f t="shared" si="5"/>
        <v>54.224720706941966</v>
      </c>
      <c r="M56" s="104">
        <f t="shared" si="5"/>
        <v>55.526112403226854</v>
      </c>
    </row>
    <row r="57" spans="1:13" ht="12.75" customHeight="1" x14ac:dyDescent="0.2">
      <c r="A57" s="101">
        <f t="shared" si="3"/>
        <v>2025</v>
      </c>
      <c r="B57" s="102">
        <f t="shared" si="5"/>
        <v>58.230849900535823</v>
      </c>
      <c r="C57" s="103">
        <f t="shared" si="5"/>
        <v>57.146950946431637</v>
      </c>
      <c r="D57" s="103">
        <f t="shared" si="5"/>
        <v>55.537423752687459</v>
      </c>
      <c r="E57" s="103">
        <f t="shared" si="5"/>
        <v>52.626662013892044</v>
      </c>
      <c r="F57" s="103">
        <f t="shared" si="5"/>
        <v>52.033074629032953</v>
      </c>
      <c r="G57" s="102">
        <f t="shared" si="5"/>
        <v>55.310532944447857</v>
      </c>
      <c r="H57" s="103">
        <f t="shared" si="5"/>
        <v>63.526554448917167</v>
      </c>
      <c r="I57" s="103">
        <f t="shared" si="5"/>
        <v>64.849251002684696</v>
      </c>
      <c r="J57" s="103">
        <f t="shared" si="5"/>
        <v>57.958516412498604</v>
      </c>
      <c r="K57" s="102">
        <f t="shared" si="5"/>
        <v>56.401742094092775</v>
      </c>
      <c r="L57" s="103">
        <f t="shared" si="5"/>
        <v>57.732370659718462</v>
      </c>
      <c r="M57" s="104">
        <f t="shared" si="5"/>
        <v>59.169734354840472</v>
      </c>
    </row>
    <row r="58" spans="1:13" ht="12.75" customHeight="1" x14ac:dyDescent="0.2">
      <c r="A58" s="101">
        <f t="shared" si="3"/>
        <v>2026</v>
      </c>
      <c r="B58" s="102">
        <f t="shared" si="5"/>
        <v>60.127040154573997</v>
      </c>
      <c r="C58" s="103">
        <f t="shared" si="5"/>
        <v>59.121811380954341</v>
      </c>
      <c r="D58" s="103">
        <f t="shared" si="5"/>
        <v>57.233185309138605</v>
      </c>
      <c r="E58" s="103">
        <f t="shared" si="5"/>
        <v>55.559635443048847</v>
      </c>
      <c r="F58" s="103">
        <f t="shared" si="5"/>
        <v>53.910686819891239</v>
      </c>
      <c r="G58" s="102">
        <f t="shared" si="5"/>
        <v>58.125380022222473</v>
      </c>
      <c r="H58" s="103">
        <f t="shared" si="5"/>
        <v>66.287669302421975</v>
      </c>
      <c r="I58" s="103">
        <f t="shared" si="5"/>
        <v>67.865552966391789</v>
      </c>
      <c r="J58" s="103">
        <f t="shared" si="5"/>
        <v>60.837168083334632</v>
      </c>
      <c r="K58" s="102">
        <f t="shared" si="5"/>
        <v>58.37525822983612</v>
      </c>
      <c r="L58" s="103">
        <f t="shared" si="5"/>
        <v>59.876195020827659</v>
      </c>
      <c r="M58" s="104">
        <f t="shared" si="5"/>
        <v>62.104559806452897</v>
      </c>
    </row>
    <row r="59" spans="1:13" ht="12.75" hidden="1" customHeight="1" x14ac:dyDescent="0.2">
      <c r="A59" s="101"/>
      <c r="B59" s="102"/>
      <c r="C59" s="103"/>
      <c r="D59" s="103"/>
      <c r="E59" s="103"/>
      <c r="F59" s="103"/>
      <c r="G59" s="102"/>
      <c r="H59" s="103"/>
      <c r="I59" s="103"/>
      <c r="J59" s="103"/>
      <c r="K59" s="102"/>
      <c r="L59" s="103"/>
      <c r="M59" s="104"/>
    </row>
    <row r="60" spans="1:13" ht="12.75" hidden="1" customHeight="1" x14ac:dyDescent="0.2">
      <c r="A60" s="101"/>
      <c r="B60" s="102"/>
      <c r="C60" s="103"/>
      <c r="D60" s="103"/>
      <c r="E60" s="103"/>
      <c r="F60" s="103"/>
      <c r="G60" s="102"/>
      <c r="H60" s="103"/>
      <c r="I60" s="103"/>
      <c r="J60" s="103"/>
      <c r="K60" s="102"/>
      <c r="L60" s="103"/>
      <c r="M60" s="104"/>
    </row>
    <row r="61" spans="1:13" ht="12.75" hidden="1" customHeight="1" x14ac:dyDescent="0.2">
      <c r="A61" s="105"/>
      <c r="B61" s="106"/>
      <c r="C61" s="107"/>
      <c r="D61" s="107"/>
      <c r="E61" s="107"/>
      <c r="F61" s="107"/>
      <c r="G61" s="106"/>
      <c r="H61" s="107"/>
      <c r="I61" s="107"/>
      <c r="J61" s="107"/>
      <c r="K61" s="106"/>
      <c r="L61" s="107"/>
      <c r="M61" s="108"/>
    </row>
    <row r="62" spans="1:13" ht="12.75" customHeight="1" x14ac:dyDescent="0.2">
      <c r="A62" s="215"/>
      <c r="B62" s="216"/>
      <c r="C62" s="216"/>
      <c r="D62" s="216"/>
      <c r="E62" s="215"/>
      <c r="F62" s="215"/>
      <c r="G62" s="215"/>
      <c r="H62" s="215"/>
      <c r="I62" s="215"/>
      <c r="J62" s="215"/>
      <c r="K62" s="217"/>
      <c r="L62" s="215"/>
      <c r="M62" s="215"/>
    </row>
    <row r="63" spans="1:13" ht="12.75" customHeight="1" x14ac:dyDescent="0.2">
      <c r="A63" s="13" t="s">
        <v>69</v>
      </c>
      <c r="C63" s="110"/>
      <c r="D63" s="110"/>
      <c r="K63" s="109"/>
    </row>
    <row r="64" spans="1:13" ht="12.75" customHeight="1" x14ac:dyDescent="0.2">
      <c r="A64" s="111" t="s">
        <v>2</v>
      </c>
      <c r="C64" s="112" t="s">
        <v>60</v>
      </c>
      <c r="D64" s="58"/>
      <c r="E64" s="59"/>
      <c r="F64" s="70"/>
      <c r="G64" s="112" t="s">
        <v>61</v>
      </c>
      <c r="H64" s="58"/>
      <c r="I64" s="59"/>
      <c r="J64" s="70"/>
      <c r="K64" s="112" t="s">
        <v>70</v>
      </c>
      <c r="L64" s="58"/>
      <c r="M64" s="59"/>
    </row>
    <row r="65" spans="1:14" s="70" customFormat="1" ht="12.75" customHeight="1" x14ac:dyDescent="0.2">
      <c r="A65" s="95"/>
      <c r="C65" s="21" t="s">
        <v>82</v>
      </c>
      <c r="D65" s="22" t="s">
        <v>1</v>
      </c>
      <c r="E65" s="22" t="s">
        <v>10</v>
      </c>
      <c r="F65" s="95"/>
      <c r="G65" s="21" t="s">
        <v>82</v>
      </c>
      <c r="H65" s="22" t="s">
        <v>1</v>
      </c>
      <c r="I65" s="22" t="s">
        <v>10</v>
      </c>
      <c r="J65" s="95"/>
      <c r="K65" s="21" t="s">
        <v>82</v>
      </c>
      <c r="L65" s="22" t="s">
        <v>1</v>
      </c>
      <c r="M65" s="22" t="s">
        <v>10</v>
      </c>
      <c r="N65" s="88"/>
    </row>
    <row r="66" spans="1:14" s="70" customFormat="1" ht="12.75" customHeight="1" x14ac:dyDescent="0.2">
      <c r="A66" s="113">
        <f t="shared" ref="A66:A78" si="6">A10</f>
        <v>2014</v>
      </c>
      <c r="C66" s="77">
        <f>ROUND(AVERAGE(B10:F10,K10:M10),2)</f>
        <v>39.799999999999997</v>
      </c>
      <c r="D66" s="77">
        <f t="shared" ref="D66:D78" si="7">ROUND(AVERAGE(B28:F28,K28:M28),2)</f>
        <v>25.9</v>
      </c>
      <c r="E66" s="77">
        <f>ROUND(AVERAGE(B46:F46,K46:M46),2)</f>
        <v>33.68</v>
      </c>
      <c r="G66" s="103">
        <f t="shared" ref="G66:G78" si="8">ROUND(AVERAGE(G10:J10),2)</f>
        <v>44.36</v>
      </c>
      <c r="H66" s="103">
        <f t="shared" ref="H66:H78" si="9">ROUND(AVERAGE(G28:J28),2)</f>
        <v>30.46</v>
      </c>
      <c r="I66" s="103">
        <f>ROUND(AVERAGE(G46:J46),2)</f>
        <v>38.24</v>
      </c>
      <c r="K66" s="77">
        <f t="shared" ref="K66:K78" si="10">ROUND(AVERAGE(B10:M10),2)</f>
        <v>42.08</v>
      </c>
      <c r="L66" s="77">
        <f t="shared" ref="L66:L78" si="11">ROUND(AVERAGE(B28:M28),2)</f>
        <v>28.18</v>
      </c>
      <c r="M66" s="77">
        <f>ROUND(AVERAGE(B46:M46),2)</f>
        <v>35.96</v>
      </c>
    </row>
    <row r="67" spans="1:14" s="70" customFormat="1" ht="12.75" customHeight="1" x14ac:dyDescent="0.2">
      <c r="A67" s="113">
        <f t="shared" si="6"/>
        <v>2015</v>
      </c>
      <c r="C67" s="77">
        <f t="shared" ref="C67:C78" si="12">ROUND(AVERAGE(B11:F11,K11:M11),2)</f>
        <v>41.3</v>
      </c>
      <c r="D67" s="77">
        <f t="shared" si="7"/>
        <v>30.61</v>
      </c>
      <c r="E67" s="77">
        <f>ROUND(AVERAGE(B47:F47,K47:M47),2)</f>
        <v>36.6</v>
      </c>
      <c r="G67" s="103">
        <f t="shared" si="8"/>
        <v>40.840000000000003</v>
      </c>
      <c r="H67" s="103">
        <f t="shared" si="9"/>
        <v>30.15</v>
      </c>
      <c r="I67" s="103">
        <f>ROUND(AVERAGE(G47:J47),2)</f>
        <v>36.14</v>
      </c>
      <c r="K67" s="77">
        <f t="shared" si="10"/>
        <v>41.15</v>
      </c>
      <c r="L67" s="77">
        <f t="shared" si="11"/>
        <v>30.45</v>
      </c>
      <c r="M67" s="77">
        <f>ROUND(AVERAGE(B47:M47),2)</f>
        <v>36.44</v>
      </c>
    </row>
    <row r="68" spans="1:14" s="70" customFormat="1" ht="12.75" customHeight="1" x14ac:dyDescent="0.2">
      <c r="A68" s="113">
        <f t="shared" si="6"/>
        <v>2016</v>
      </c>
      <c r="C68" s="77">
        <f>ROUND(AVERAGE(B12:F12,K12:M12),2)</f>
        <v>38.46</v>
      </c>
      <c r="D68" s="77">
        <f t="shared" si="7"/>
        <v>27.58</v>
      </c>
      <c r="E68" s="77">
        <f t="shared" ref="E68:E78" si="13">ROUND(AVERAGE(B48:F48,K48:M48),2)</f>
        <v>33.67</v>
      </c>
      <c r="G68" s="103">
        <f t="shared" si="8"/>
        <v>39.85</v>
      </c>
      <c r="H68" s="103">
        <f t="shared" si="9"/>
        <v>28.96</v>
      </c>
      <c r="I68" s="103">
        <f t="shared" ref="I68:I78" si="14">ROUND(AVERAGE(G48:J48),2)</f>
        <v>35.06</v>
      </c>
      <c r="K68" s="77">
        <f t="shared" si="10"/>
        <v>38.92</v>
      </c>
      <c r="L68" s="77">
        <f t="shared" si="11"/>
        <v>28.04</v>
      </c>
      <c r="M68" s="77">
        <f t="shared" ref="M68:M78" si="15">ROUND(AVERAGE(B48:M48),2)</f>
        <v>34.130000000000003</v>
      </c>
    </row>
    <row r="69" spans="1:14" s="70" customFormat="1" ht="12.75" customHeight="1" x14ac:dyDescent="0.2">
      <c r="A69" s="113">
        <f t="shared" si="6"/>
        <v>2017</v>
      </c>
      <c r="C69" s="77">
        <f t="shared" si="12"/>
        <v>39.32</v>
      </c>
      <c r="D69" s="77">
        <f t="shared" si="7"/>
        <v>28.24</v>
      </c>
      <c r="E69" s="77">
        <f t="shared" si="13"/>
        <v>34.44</v>
      </c>
      <c r="G69" s="103">
        <f t="shared" si="8"/>
        <v>42.22</v>
      </c>
      <c r="H69" s="103">
        <f t="shared" si="9"/>
        <v>31.14</v>
      </c>
      <c r="I69" s="103">
        <f t="shared" si="14"/>
        <v>37.340000000000003</v>
      </c>
      <c r="K69" s="77">
        <f t="shared" si="10"/>
        <v>40.29</v>
      </c>
      <c r="L69" s="77">
        <f t="shared" si="11"/>
        <v>29.21</v>
      </c>
      <c r="M69" s="77">
        <f t="shared" si="15"/>
        <v>35.409999999999997</v>
      </c>
    </row>
    <row r="70" spans="1:14" s="70" customFormat="1" ht="12.75" customHeight="1" x14ac:dyDescent="0.2">
      <c r="A70" s="113">
        <f t="shared" si="6"/>
        <v>2018</v>
      </c>
      <c r="C70" s="77">
        <f t="shared" si="12"/>
        <v>44</v>
      </c>
      <c r="D70" s="77">
        <f t="shared" si="7"/>
        <v>30.84</v>
      </c>
      <c r="E70" s="77">
        <f t="shared" si="13"/>
        <v>38.21</v>
      </c>
      <c r="G70" s="103">
        <f t="shared" si="8"/>
        <v>46.41</v>
      </c>
      <c r="H70" s="103">
        <f t="shared" si="9"/>
        <v>33.25</v>
      </c>
      <c r="I70" s="103">
        <f t="shared" si="14"/>
        <v>40.619999999999997</v>
      </c>
      <c r="K70" s="77">
        <f t="shared" si="10"/>
        <v>44.81</v>
      </c>
      <c r="L70" s="77">
        <f t="shared" si="11"/>
        <v>31.64</v>
      </c>
      <c r="M70" s="77">
        <f t="shared" si="15"/>
        <v>39.01</v>
      </c>
    </row>
    <row r="71" spans="1:14" s="70" customFormat="1" ht="12.75" customHeight="1" x14ac:dyDescent="0.2">
      <c r="A71" s="113">
        <f t="shared" si="6"/>
        <v>2019</v>
      </c>
      <c r="C71" s="77">
        <f t="shared" si="12"/>
        <v>45.68</v>
      </c>
      <c r="D71" s="77">
        <f t="shared" si="7"/>
        <v>32.299999999999997</v>
      </c>
      <c r="E71" s="77">
        <f t="shared" si="13"/>
        <v>39.79</v>
      </c>
      <c r="G71" s="103">
        <f t="shared" si="8"/>
        <v>48.68</v>
      </c>
      <c r="H71" s="103">
        <f t="shared" si="9"/>
        <v>35.299999999999997</v>
      </c>
      <c r="I71" s="103">
        <f t="shared" si="14"/>
        <v>42.79</v>
      </c>
      <c r="K71" s="77">
        <f t="shared" si="10"/>
        <v>46.68</v>
      </c>
      <c r="L71" s="77">
        <f t="shared" si="11"/>
        <v>33.299999999999997</v>
      </c>
      <c r="M71" s="77">
        <f t="shared" si="15"/>
        <v>40.79</v>
      </c>
    </row>
    <row r="72" spans="1:14" s="70" customFormat="1" ht="12.75" customHeight="1" x14ac:dyDescent="0.2">
      <c r="A72" s="113">
        <f t="shared" si="6"/>
        <v>2020</v>
      </c>
      <c r="C72" s="77">
        <f t="shared" si="12"/>
        <v>48.7</v>
      </c>
      <c r="D72" s="77">
        <f t="shared" si="7"/>
        <v>35.07</v>
      </c>
      <c r="E72" s="77">
        <f t="shared" si="13"/>
        <v>42.7</v>
      </c>
      <c r="G72" s="103">
        <f t="shared" si="8"/>
        <v>53.81</v>
      </c>
      <c r="H72" s="103">
        <f t="shared" si="9"/>
        <v>40.18</v>
      </c>
      <c r="I72" s="103">
        <f t="shared" si="14"/>
        <v>47.81</v>
      </c>
      <c r="K72" s="77">
        <f t="shared" si="10"/>
        <v>50.4</v>
      </c>
      <c r="L72" s="77">
        <f t="shared" si="11"/>
        <v>36.78</v>
      </c>
      <c r="M72" s="77">
        <f t="shared" si="15"/>
        <v>44.4</v>
      </c>
    </row>
    <row r="73" spans="1:14" s="70" customFormat="1" ht="12.75" customHeight="1" x14ac:dyDescent="0.2">
      <c r="A73" s="113">
        <f t="shared" si="6"/>
        <v>2021</v>
      </c>
      <c r="C73" s="77">
        <f t="shared" si="12"/>
        <v>55.01</v>
      </c>
      <c r="D73" s="77">
        <f t="shared" si="7"/>
        <v>39.14</v>
      </c>
      <c r="E73" s="77">
        <f t="shared" si="13"/>
        <v>48.02</v>
      </c>
      <c r="G73" s="103">
        <f t="shared" si="8"/>
        <v>57.78</v>
      </c>
      <c r="H73" s="103">
        <f t="shared" si="9"/>
        <v>41.91</v>
      </c>
      <c r="I73" s="103">
        <f t="shared" si="14"/>
        <v>50.8</v>
      </c>
      <c r="K73" s="77">
        <f t="shared" si="10"/>
        <v>55.93</v>
      </c>
      <c r="L73" s="77">
        <f t="shared" si="11"/>
        <v>40.06</v>
      </c>
      <c r="M73" s="77">
        <f t="shared" si="15"/>
        <v>48.95</v>
      </c>
    </row>
    <row r="74" spans="1:14" s="70" customFormat="1" ht="12.75" customHeight="1" x14ac:dyDescent="0.2">
      <c r="A74" s="113">
        <f t="shared" si="6"/>
        <v>2022</v>
      </c>
      <c r="C74" s="77">
        <f t="shared" si="12"/>
        <v>55.84</v>
      </c>
      <c r="D74" s="77">
        <f t="shared" si="7"/>
        <v>39.69</v>
      </c>
      <c r="E74" s="77">
        <f t="shared" si="13"/>
        <v>48.74</v>
      </c>
      <c r="G74" s="103">
        <f t="shared" si="8"/>
        <v>59.27</v>
      </c>
      <c r="H74" s="103">
        <f t="shared" si="9"/>
        <v>43.11</v>
      </c>
      <c r="I74" s="103">
        <f t="shared" si="14"/>
        <v>52.16</v>
      </c>
      <c r="K74" s="77">
        <f t="shared" si="10"/>
        <v>56.98</v>
      </c>
      <c r="L74" s="77">
        <f t="shared" si="11"/>
        <v>40.83</v>
      </c>
      <c r="M74" s="77">
        <f t="shared" si="15"/>
        <v>49.88</v>
      </c>
    </row>
    <row r="75" spans="1:14" s="70" customFormat="1" ht="12.75" customHeight="1" x14ac:dyDescent="0.2">
      <c r="A75" s="113">
        <f t="shared" si="6"/>
        <v>2023</v>
      </c>
      <c r="C75" s="77">
        <f t="shared" si="12"/>
        <v>57.91</v>
      </c>
      <c r="D75" s="77">
        <f t="shared" si="7"/>
        <v>41.47</v>
      </c>
      <c r="E75" s="77">
        <f t="shared" si="13"/>
        <v>50.68</v>
      </c>
      <c r="G75" s="103">
        <f t="shared" si="8"/>
        <v>60.44</v>
      </c>
      <c r="H75" s="103">
        <f t="shared" si="9"/>
        <v>44</v>
      </c>
      <c r="I75" s="103">
        <f t="shared" si="14"/>
        <v>53.2</v>
      </c>
      <c r="K75" s="77">
        <f t="shared" si="10"/>
        <v>58.75</v>
      </c>
      <c r="L75" s="77">
        <f t="shared" si="11"/>
        <v>42.31</v>
      </c>
      <c r="M75" s="77">
        <f t="shared" si="15"/>
        <v>51.52</v>
      </c>
    </row>
    <row r="76" spans="1:14" s="70" customFormat="1" ht="12.75" customHeight="1" x14ac:dyDescent="0.2">
      <c r="A76" s="113">
        <f t="shared" si="6"/>
        <v>2024</v>
      </c>
      <c r="C76" s="77">
        <f t="shared" si="12"/>
        <v>59.97</v>
      </c>
      <c r="D76" s="77">
        <f t="shared" si="7"/>
        <v>43.23</v>
      </c>
      <c r="E76" s="77">
        <f t="shared" si="13"/>
        <v>52.6</v>
      </c>
      <c r="G76" s="103">
        <f t="shared" si="8"/>
        <v>63.29</v>
      </c>
      <c r="H76" s="103">
        <f t="shared" si="9"/>
        <v>46.55</v>
      </c>
      <c r="I76" s="103">
        <f t="shared" si="14"/>
        <v>55.93</v>
      </c>
      <c r="K76" s="77">
        <f t="shared" si="10"/>
        <v>61.08</v>
      </c>
      <c r="L76" s="77">
        <f t="shared" si="11"/>
        <v>44.34</v>
      </c>
      <c r="M76" s="77">
        <f t="shared" si="15"/>
        <v>53.71</v>
      </c>
    </row>
    <row r="77" spans="1:14" s="70" customFormat="1" ht="12.75" customHeight="1" x14ac:dyDescent="0.2">
      <c r="A77" s="113">
        <f t="shared" si="6"/>
        <v>2025</v>
      </c>
      <c r="C77" s="77">
        <f t="shared" si="12"/>
        <v>64.540000000000006</v>
      </c>
      <c r="D77" s="77">
        <f t="shared" si="7"/>
        <v>45.38</v>
      </c>
      <c r="E77" s="77">
        <f t="shared" si="13"/>
        <v>56.11</v>
      </c>
      <c r="G77" s="103">
        <f t="shared" si="8"/>
        <v>68.849999999999994</v>
      </c>
      <c r="H77" s="103">
        <f t="shared" si="9"/>
        <v>49.68</v>
      </c>
      <c r="I77" s="103">
        <f t="shared" si="14"/>
        <v>60.41</v>
      </c>
      <c r="K77" s="77">
        <f t="shared" si="10"/>
        <v>65.98</v>
      </c>
      <c r="L77" s="77">
        <f t="shared" si="11"/>
        <v>46.81</v>
      </c>
      <c r="M77" s="77">
        <f t="shared" si="15"/>
        <v>57.54</v>
      </c>
    </row>
    <row r="78" spans="1:14" s="70" customFormat="1" ht="12.75" customHeight="1" x14ac:dyDescent="0.2">
      <c r="A78" s="113">
        <f t="shared" si="6"/>
        <v>2026</v>
      </c>
      <c r="C78" s="77">
        <f t="shared" si="12"/>
        <v>66.88</v>
      </c>
      <c r="D78" s="77">
        <f t="shared" si="7"/>
        <v>47.35</v>
      </c>
      <c r="E78" s="77">
        <f t="shared" si="13"/>
        <v>58.29</v>
      </c>
      <c r="G78" s="103">
        <f t="shared" si="8"/>
        <v>71.87</v>
      </c>
      <c r="H78" s="103">
        <f t="shared" si="9"/>
        <v>52.34</v>
      </c>
      <c r="I78" s="103">
        <f t="shared" si="14"/>
        <v>63.28</v>
      </c>
      <c r="K78" s="77">
        <f t="shared" si="10"/>
        <v>68.55</v>
      </c>
      <c r="L78" s="77">
        <f t="shared" si="11"/>
        <v>49.02</v>
      </c>
      <c r="M78" s="77">
        <f t="shared" si="15"/>
        <v>59.95</v>
      </c>
    </row>
    <row r="79" spans="1:14" s="70" customFormat="1" ht="12.75" customHeight="1" x14ac:dyDescent="0.2">
      <c r="A79" s="113"/>
      <c r="C79" s="77"/>
      <c r="D79" s="77"/>
      <c r="E79" s="77"/>
      <c r="G79" s="103"/>
      <c r="H79" s="103"/>
      <c r="I79" s="103"/>
      <c r="K79" s="77"/>
      <c r="L79" s="77"/>
      <c r="M79" s="77"/>
    </row>
    <row r="80" spans="1:14" s="70" customFormat="1" ht="12.75" hidden="1" customHeight="1" x14ac:dyDescent="0.2">
      <c r="A80" s="114"/>
      <c r="K80" s="109"/>
    </row>
    <row r="81" spans="1:17" s="70" customFormat="1" ht="12.75" hidden="1" customHeight="1" x14ac:dyDescent="0.2">
      <c r="A81" s="114"/>
      <c r="K81" s="109"/>
    </row>
    <row r="82" spans="1:17" s="70" customFormat="1" ht="12.75" customHeight="1" x14ac:dyDescent="0.2">
      <c r="A82" s="60" t="s">
        <v>83</v>
      </c>
      <c r="D82" s="77"/>
      <c r="E82" s="103"/>
      <c r="F82" s="103"/>
      <c r="G82" s="103"/>
      <c r="J82" s="103"/>
      <c r="K82" s="103"/>
    </row>
    <row r="83" spans="1:17" ht="12.75" customHeight="1" x14ac:dyDescent="0.2">
      <c r="A83" s="60" t="s">
        <v>138</v>
      </c>
      <c r="C83" s="115" t="str">
        <f>"Avoided costs from GRID plus capacity payments based on Simple Cycle CT Fixed costs adjusted by "</f>
        <v xml:space="preserve">Avoided costs from GRID plus capacity payments based on Simple Cycle CT Fixed costs adjusted by </v>
      </c>
      <c r="D83" s="77"/>
      <c r="E83" s="103"/>
      <c r="F83" s="103"/>
      <c r="G83" s="103"/>
      <c r="H83" s="70"/>
      <c r="N83" s="70"/>
      <c r="O83" s="70"/>
      <c r="P83" s="70"/>
    </row>
    <row r="84" spans="1:17" ht="12.75" customHeight="1" x14ac:dyDescent="0.2">
      <c r="C84" s="115" t="str">
        <f>"capacity contribution, and reduced by wind integration costs from Table 12 column "&amp;LEFT('Table 12'!$E$7,3)</f>
        <v>capacity contribution, and reduced by wind integration costs from Table 12 column (c)</v>
      </c>
      <c r="D84" s="77"/>
      <c r="E84" s="103"/>
      <c r="F84" s="103"/>
      <c r="G84" s="103"/>
      <c r="H84" s="70"/>
      <c r="N84" s="70"/>
      <c r="O84" s="70"/>
      <c r="P84" s="70"/>
    </row>
    <row r="85" spans="1:17" ht="12.75" customHeight="1" x14ac:dyDescent="0.2">
      <c r="A85" s="60" t="s">
        <v>139</v>
      </c>
      <c r="C85" s="115" t="str">
        <f>"Avoided costs from GRID, reduced by tracking solar integration costs of  $"&amp;Solar_Tracking_integr_cost&amp;"/MWh ( see footnote in Table 12)"</f>
        <v>Avoided costs from GRID, reduced by tracking solar integration costs of  $2.18/MWh ( see footnote in Table 12)</v>
      </c>
      <c r="D85" s="70"/>
      <c r="E85" s="70"/>
      <c r="F85" s="70"/>
      <c r="G85" s="70"/>
      <c r="N85" s="70"/>
      <c r="O85" s="70"/>
      <c r="P85" s="70"/>
    </row>
    <row r="86" spans="1:17" ht="12.75" customHeight="1" x14ac:dyDescent="0.2">
      <c r="A86" s="60" t="s">
        <v>140</v>
      </c>
      <c r="C86" s="60" t="s">
        <v>156</v>
      </c>
      <c r="D86" s="70"/>
      <c r="E86" s="70"/>
      <c r="F86" s="70"/>
      <c r="G86" s="70"/>
    </row>
    <row r="87" spans="1:17" ht="9" customHeight="1" x14ac:dyDescent="0.2"/>
    <row r="88" spans="1:17" x14ac:dyDescent="0.2">
      <c r="C88" s="60" t="s">
        <v>157</v>
      </c>
    </row>
    <row r="89" spans="1:17" x14ac:dyDescent="0.2">
      <c r="C89" s="60" t="s">
        <v>173</v>
      </c>
      <c r="F89" s="246">
        <v>0.84</v>
      </c>
    </row>
    <row r="92" spans="1:17" x14ac:dyDescent="0.2">
      <c r="Q92" s="66"/>
    </row>
    <row r="107" ht="24.75" customHeight="1" x14ac:dyDescent="0.2"/>
  </sheetData>
  <pageMargins left="0.7" right="0.7" top="0.75" bottom="0.75" header="0.3" footer="0.3"/>
  <pageSetup scale="70" fitToWidth="0" orientation="portrait" r:id="rId1"/>
  <headerFoot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V53"/>
  <sheetViews>
    <sheetView view="pageBreakPreview" zoomScale="70" zoomScaleNormal="100" zoomScaleSheetLayoutView="70" workbookViewId="0">
      <selection activeCell="O1" sqref="O1"/>
    </sheetView>
  </sheetViews>
  <sheetFormatPr defaultRowHeight="12.75" x14ac:dyDescent="0.2"/>
  <cols>
    <col min="1" max="1" width="1.6640625" style="60" customWidth="1"/>
    <col min="2" max="2" width="12.1640625" style="60" customWidth="1"/>
    <col min="3" max="6" width="20" style="60" customWidth="1"/>
    <col min="7" max="7" width="1.6640625" style="70" customWidth="1"/>
    <col min="8" max="8" width="12.1640625" style="60" customWidth="1"/>
    <col min="9" max="12" width="20" style="60" customWidth="1"/>
    <col min="13" max="13" width="1.6640625" style="70" customWidth="1"/>
    <col min="14" max="14" width="10.5" style="60" customWidth="1"/>
    <col min="15" max="18" width="16" style="60" customWidth="1"/>
    <col min="19" max="19" width="19.33203125" style="60" customWidth="1"/>
    <col min="20" max="20" width="1.6640625" style="70" customWidth="1"/>
    <col min="21" max="21" width="11.1640625" style="60" customWidth="1"/>
    <col min="22" max="22" width="16" style="60" customWidth="1"/>
    <col min="23" max="23" width="16.5" style="60" customWidth="1"/>
    <col min="24" max="24" width="14" style="60" customWidth="1"/>
    <col min="25" max="26" width="14.83203125" style="60" customWidth="1"/>
    <col min="27" max="27" width="1.6640625" style="70" customWidth="1"/>
    <col min="28" max="28" width="11.1640625" style="60" customWidth="1"/>
    <col min="29" max="29" width="16.5" style="60" customWidth="1"/>
    <col min="30" max="30" width="13.6640625" style="60" customWidth="1"/>
    <col min="31" max="31" width="14" style="60" customWidth="1"/>
    <col min="32" max="33" width="14.83203125" style="60" customWidth="1"/>
    <col min="34" max="34" width="1.6640625" style="70" customWidth="1"/>
    <col min="35" max="35" width="11.1640625" style="60" customWidth="1"/>
    <col min="36" max="36" width="16.5" style="60" customWidth="1"/>
    <col min="37" max="37" width="13.6640625" style="60" customWidth="1"/>
    <col min="38" max="38" width="14" style="60" customWidth="1"/>
    <col min="39" max="40" width="14.83203125" style="60" customWidth="1"/>
    <col min="41" max="41" width="1.6640625" style="70" customWidth="1"/>
    <col min="42" max="42" width="11.1640625" style="60" customWidth="1"/>
    <col min="43" max="43" width="16.5" style="60" customWidth="1"/>
    <col min="44" max="44" width="13.6640625" style="60" customWidth="1"/>
    <col min="45" max="45" width="14" style="60" customWidth="1"/>
    <col min="46" max="47" width="14.83203125" style="60" customWidth="1"/>
    <col min="48" max="48" width="5" style="60" customWidth="1"/>
    <col min="49" max="16384" width="9.33203125" style="60"/>
  </cols>
  <sheetData>
    <row r="1" spans="2:48" s="5" customFormat="1" ht="15.75" x14ac:dyDescent="0.25">
      <c r="B1" s="1" t="s">
        <v>34</v>
      </c>
      <c r="C1" s="1"/>
      <c r="D1" s="1"/>
      <c r="E1" s="1"/>
      <c r="F1" s="1"/>
      <c r="G1" s="8"/>
      <c r="H1" s="1" t="s">
        <v>35</v>
      </c>
      <c r="I1" s="1"/>
      <c r="J1" s="1"/>
      <c r="K1" s="1"/>
      <c r="L1" s="1"/>
      <c r="M1" s="9"/>
      <c r="N1" s="1" t="s">
        <v>36</v>
      </c>
      <c r="O1" s="6"/>
      <c r="P1" s="1"/>
      <c r="Q1" s="1"/>
      <c r="R1" s="1"/>
      <c r="S1" s="1"/>
      <c r="T1" s="9"/>
      <c r="U1" s="261" t="s">
        <v>188</v>
      </c>
      <c r="V1" s="262"/>
      <c r="W1" s="262"/>
      <c r="X1" s="262"/>
      <c r="Y1" s="262"/>
      <c r="Z1" s="262"/>
      <c r="AA1" s="262"/>
      <c r="AB1" s="261" t="s">
        <v>189</v>
      </c>
      <c r="AC1" s="262"/>
      <c r="AD1" s="262"/>
      <c r="AE1" s="262"/>
      <c r="AF1" s="262"/>
      <c r="AG1" s="264"/>
      <c r="AH1" s="256"/>
      <c r="AI1" s="261" t="s">
        <v>192</v>
      </c>
      <c r="AJ1" s="261"/>
      <c r="AK1" s="262"/>
      <c r="AL1" s="262"/>
      <c r="AM1" s="262"/>
      <c r="AN1" s="262"/>
      <c r="AO1" s="256"/>
      <c r="AP1" s="261" t="s">
        <v>194</v>
      </c>
      <c r="AQ1" s="262"/>
      <c r="AR1" s="262"/>
      <c r="AS1" s="262"/>
      <c r="AT1" s="262"/>
      <c r="AU1" s="262"/>
      <c r="AV1" s="256"/>
    </row>
    <row r="2" spans="2:48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3" t="s">
        <v>20</v>
      </c>
      <c r="O2" s="3"/>
      <c r="P2" s="3"/>
      <c r="Q2" s="3"/>
      <c r="R2" s="3"/>
      <c r="S2" s="3"/>
      <c r="T2" s="9"/>
      <c r="U2" s="263" t="s">
        <v>190</v>
      </c>
      <c r="V2" s="262"/>
      <c r="W2" s="262"/>
      <c r="X2" s="262"/>
      <c r="Y2" s="262"/>
      <c r="Z2" s="262"/>
      <c r="AA2" s="262"/>
      <c r="AB2" s="263" t="s">
        <v>191</v>
      </c>
      <c r="AC2" s="262"/>
      <c r="AD2" s="262"/>
      <c r="AE2" s="262"/>
      <c r="AF2" s="262"/>
      <c r="AG2" s="265"/>
      <c r="AH2" s="257"/>
      <c r="AI2" s="263" t="s">
        <v>193</v>
      </c>
      <c r="AJ2" s="263"/>
      <c r="AK2" s="262"/>
      <c r="AL2" s="262"/>
      <c r="AM2" s="262"/>
      <c r="AN2" s="262"/>
      <c r="AO2" s="262"/>
      <c r="AP2" s="263" t="s">
        <v>195</v>
      </c>
      <c r="AQ2" s="262"/>
      <c r="AR2" s="262"/>
      <c r="AS2" s="262"/>
      <c r="AT2" s="262"/>
      <c r="AU2" s="262"/>
      <c r="AV2" s="257"/>
    </row>
    <row r="3" spans="2:48" s="7" customFormat="1" ht="15" x14ac:dyDescent="0.25">
      <c r="B3" s="3"/>
      <c r="C3" s="3"/>
      <c r="D3" s="377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9"/>
      <c r="U3" s="3"/>
      <c r="V3" s="3"/>
      <c r="W3" s="3"/>
      <c r="X3" s="3"/>
      <c r="Y3" s="3"/>
      <c r="Z3" s="3"/>
      <c r="AA3" s="9"/>
      <c r="AB3" s="3"/>
      <c r="AC3" s="3"/>
      <c r="AD3" s="3"/>
      <c r="AE3" s="3"/>
      <c r="AF3" s="3"/>
      <c r="AG3" s="3"/>
      <c r="AH3" s="9"/>
      <c r="AI3" s="3"/>
      <c r="AJ3" s="3"/>
      <c r="AK3" s="3"/>
      <c r="AL3" s="3"/>
      <c r="AM3" s="3"/>
      <c r="AN3" s="3"/>
      <c r="AO3" s="9"/>
      <c r="AP3" s="3"/>
      <c r="AQ3" s="3"/>
      <c r="AR3" s="3"/>
      <c r="AS3" s="3"/>
      <c r="AT3" s="3"/>
      <c r="AU3" s="3"/>
    </row>
    <row r="4" spans="2:48" x14ac:dyDescent="0.2">
      <c r="G4" s="95"/>
      <c r="M4" s="95"/>
      <c r="T4" s="95"/>
      <c r="U4" s="254"/>
      <c r="V4" s="255"/>
      <c r="W4" s="417" t="s">
        <v>170</v>
      </c>
      <c r="X4" s="418"/>
      <c r="Y4" s="418"/>
      <c r="Z4" s="419"/>
      <c r="AA4" s="95"/>
      <c r="AB4" s="254"/>
      <c r="AC4" s="417" t="s">
        <v>171</v>
      </c>
      <c r="AD4" s="418"/>
      <c r="AE4" s="418"/>
      <c r="AF4" s="418"/>
      <c r="AG4" s="419"/>
      <c r="AH4" s="95"/>
      <c r="AI4" s="254"/>
      <c r="AJ4" s="417" t="s">
        <v>172</v>
      </c>
      <c r="AK4" s="418"/>
      <c r="AL4" s="418"/>
      <c r="AM4" s="418"/>
      <c r="AN4" s="419"/>
      <c r="AO4" s="95"/>
      <c r="AP4" s="254"/>
      <c r="AQ4" s="417" t="s">
        <v>173</v>
      </c>
      <c r="AR4" s="418"/>
      <c r="AS4" s="418"/>
      <c r="AT4" s="418"/>
      <c r="AU4" s="419"/>
    </row>
    <row r="5" spans="2:48" x14ac:dyDescent="0.2">
      <c r="B5" s="172"/>
      <c r="C5" s="186" t="s">
        <v>104</v>
      </c>
      <c r="D5" s="175" t="s">
        <v>3</v>
      </c>
      <c r="E5" s="89"/>
      <c r="F5" s="187" t="s">
        <v>9</v>
      </c>
      <c r="G5" s="95"/>
      <c r="H5" s="188"/>
      <c r="I5" s="173"/>
      <c r="J5" s="173"/>
      <c r="K5" s="187" t="s">
        <v>9</v>
      </c>
      <c r="L5" s="173" t="s">
        <v>15</v>
      </c>
      <c r="M5" s="95"/>
      <c r="N5" s="172"/>
      <c r="O5" s="89" t="s">
        <v>27</v>
      </c>
      <c r="P5" s="175" t="s">
        <v>15</v>
      </c>
      <c r="Q5" s="173" t="s">
        <v>18</v>
      </c>
      <c r="R5" s="173"/>
      <c r="S5" s="173"/>
      <c r="T5" s="95"/>
      <c r="U5" s="172"/>
      <c r="V5" s="186" t="s">
        <v>27</v>
      </c>
      <c r="W5" s="89" t="s">
        <v>29</v>
      </c>
      <c r="X5" s="175" t="s">
        <v>15</v>
      </c>
      <c r="Y5" s="89" t="s">
        <v>174</v>
      </c>
      <c r="Z5" s="89" t="s">
        <v>175</v>
      </c>
      <c r="AA5" s="95"/>
      <c r="AB5" s="172"/>
      <c r="AC5" s="89" t="s">
        <v>29</v>
      </c>
      <c r="AD5" s="186" t="s">
        <v>15</v>
      </c>
      <c r="AE5" s="186" t="s">
        <v>158</v>
      </c>
      <c r="AF5" s="89" t="s">
        <v>174</v>
      </c>
      <c r="AG5" s="89" t="s">
        <v>175</v>
      </c>
      <c r="AH5" s="95"/>
      <c r="AI5" s="172"/>
      <c r="AJ5" s="89" t="s">
        <v>29</v>
      </c>
      <c r="AK5" s="186" t="s">
        <v>15</v>
      </c>
      <c r="AL5" s="186" t="s">
        <v>178</v>
      </c>
      <c r="AM5" s="89" t="s">
        <v>174</v>
      </c>
      <c r="AN5" s="89" t="s">
        <v>175</v>
      </c>
      <c r="AO5" s="95"/>
      <c r="AP5" s="172"/>
      <c r="AQ5" s="89" t="s">
        <v>29</v>
      </c>
      <c r="AR5" s="186" t="s">
        <v>15</v>
      </c>
      <c r="AS5" s="186" t="s">
        <v>178</v>
      </c>
      <c r="AT5" s="89" t="s">
        <v>174</v>
      </c>
      <c r="AU5" s="89" t="s">
        <v>175</v>
      </c>
    </row>
    <row r="6" spans="2:48" x14ac:dyDescent="0.2">
      <c r="B6" s="177" t="s">
        <v>2</v>
      </c>
      <c r="C6" s="189" t="s">
        <v>11</v>
      </c>
      <c r="D6" s="189" t="s">
        <v>11</v>
      </c>
      <c r="E6" s="177" t="s">
        <v>6</v>
      </c>
      <c r="F6" s="176" t="s">
        <v>7</v>
      </c>
      <c r="G6" s="95"/>
      <c r="H6" s="174" t="s">
        <v>2</v>
      </c>
      <c r="I6" s="177" t="s">
        <v>102</v>
      </c>
      <c r="J6" s="177" t="s">
        <v>13</v>
      </c>
      <c r="K6" s="176" t="s">
        <v>7</v>
      </c>
      <c r="L6" s="190" t="s">
        <v>14</v>
      </c>
      <c r="M6" s="95"/>
      <c r="N6" s="177" t="s">
        <v>2</v>
      </c>
      <c r="O6" s="177" t="s">
        <v>28</v>
      </c>
      <c r="P6" s="189" t="s">
        <v>14</v>
      </c>
      <c r="Q6" s="179" t="s">
        <v>19</v>
      </c>
      <c r="R6" s="191"/>
      <c r="S6" s="180"/>
      <c r="T6" s="95"/>
      <c r="U6" s="177" t="s">
        <v>2</v>
      </c>
      <c r="V6" s="174" t="s">
        <v>28</v>
      </c>
      <c r="W6" s="177" t="s">
        <v>30</v>
      </c>
      <c r="X6" s="189" t="s">
        <v>14</v>
      </c>
      <c r="Y6" s="177" t="str">
        <f>TEXT((0.56*8760),"0,000")&amp;" Hours"</f>
        <v>4,906 Hours</v>
      </c>
      <c r="Z6" s="177" t="str">
        <f>TEXT((0.44*8760),"0,000")&amp;" Hours"</f>
        <v>3,854 Hours</v>
      </c>
      <c r="AA6" s="95"/>
      <c r="AB6" s="177" t="s">
        <v>2</v>
      </c>
      <c r="AC6" s="177" t="s">
        <v>30</v>
      </c>
      <c r="AD6" s="174" t="s">
        <v>14</v>
      </c>
      <c r="AE6" s="174" t="s">
        <v>177</v>
      </c>
      <c r="AF6" s="177" t="str">
        <f>TEXT((0.56*8760),"0,000")&amp;" Hours"</f>
        <v>4,906 Hours</v>
      </c>
      <c r="AG6" s="177" t="str">
        <f>TEXT((0.44*8760),"0,000")&amp;" Hours"</f>
        <v>3,854 Hours</v>
      </c>
      <c r="AH6" s="95"/>
      <c r="AI6" s="177" t="s">
        <v>2</v>
      </c>
      <c r="AJ6" s="177" t="s">
        <v>30</v>
      </c>
      <c r="AK6" s="174" t="s">
        <v>14</v>
      </c>
      <c r="AL6" s="174" t="s">
        <v>177</v>
      </c>
      <c r="AM6" s="177" t="str">
        <f>TEXT((0.56*8760),"0,000")&amp;" Hours"</f>
        <v>4,906 Hours</v>
      </c>
      <c r="AN6" s="177" t="str">
        <f>TEXT((0.44*8760),"0,000")&amp;" Hours"</f>
        <v>3,854 Hours</v>
      </c>
      <c r="AO6" s="95"/>
      <c r="AP6" s="177" t="s">
        <v>2</v>
      </c>
      <c r="AQ6" s="177" t="s">
        <v>30</v>
      </c>
      <c r="AR6" s="174" t="s">
        <v>14</v>
      </c>
      <c r="AS6" s="174" t="s">
        <v>177</v>
      </c>
      <c r="AT6" s="177" t="str">
        <f>TEXT((0.56*8760),"0,000")&amp;" Hours"</f>
        <v>4,906 Hours</v>
      </c>
      <c r="AU6" s="177" t="str">
        <f>TEXT((0.44*8760),"0,000")&amp;" Hours"</f>
        <v>3,854 Hours</v>
      </c>
    </row>
    <row r="7" spans="2:48" x14ac:dyDescent="0.2">
      <c r="B7" s="192"/>
      <c r="C7" s="174" t="s">
        <v>4</v>
      </c>
      <c r="D7" s="189" t="s">
        <v>4</v>
      </c>
      <c r="E7" s="177" t="s">
        <v>7</v>
      </c>
      <c r="F7" s="193" t="str">
        <f>TEXT('Table 8'!$D$128,"0.0%")&amp;" CF"</f>
        <v>51.9% CF</v>
      </c>
      <c r="G7" s="88"/>
      <c r="H7" s="178"/>
      <c r="I7" s="92" t="s">
        <v>103</v>
      </c>
      <c r="J7" s="51"/>
      <c r="K7" s="193" t="str">
        <f>F7</f>
        <v>51.9% CF</v>
      </c>
      <c r="L7" s="190" t="s">
        <v>13</v>
      </c>
      <c r="M7" s="88"/>
      <c r="N7" s="192"/>
      <c r="O7" s="177" t="s">
        <v>8</v>
      </c>
      <c r="P7" s="189" t="s">
        <v>13</v>
      </c>
      <c r="Q7" s="194">
        <v>0.75</v>
      </c>
      <c r="R7" s="194">
        <v>0.85</v>
      </c>
      <c r="S7" s="194">
        <v>0.95</v>
      </c>
      <c r="T7" s="88"/>
      <c r="U7" s="192"/>
      <c r="V7" s="174" t="s">
        <v>8</v>
      </c>
      <c r="W7" s="177" t="s">
        <v>0</v>
      </c>
      <c r="X7" s="189" t="s">
        <v>13</v>
      </c>
      <c r="Y7" s="177"/>
      <c r="Z7" s="177"/>
      <c r="AA7" s="88"/>
      <c r="AB7" s="192"/>
      <c r="AC7" s="177" t="s">
        <v>0</v>
      </c>
      <c r="AD7" s="174" t="s">
        <v>13</v>
      </c>
      <c r="AE7" s="174" t="s">
        <v>176</v>
      </c>
      <c r="AF7" s="177"/>
      <c r="AG7" s="177"/>
      <c r="AH7" s="88"/>
      <c r="AI7" s="192"/>
      <c r="AJ7" s="177" t="s">
        <v>0</v>
      </c>
      <c r="AK7" s="174" t="s">
        <v>13</v>
      </c>
      <c r="AL7" s="174" t="s">
        <v>176</v>
      </c>
      <c r="AM7" s="177"/>
      <c r="AN7" s="177"/>
      <c r="AO7" s="88"/>
      <c r="AP7" s="192"/>
      <c r="AQ7" s="177" t="s">
        <v>0</v>
      </c>
      <c r="AR7" s="174" t="s">
        <v>13</v>
      </c>
      <c r="AS7" s="174" t="s">
        <v>176</v>
      </c>
      <c r="AT7" s="177"/>
      <c r="AU7" s="177"/>
    </row>
    <row r="8" spans="2:48" x14ac:dyDescent="0.2">
      <c r="B8" s="195"/>
      <c r="C8" s="91" t="s">
        <v>5</v>
      </c>
      <c r="D8" s="197" t="s">
        <v>5</v>
      </c>
      <c r="E8" s="91" t="s">
        <v>5</v>
      </c>
      <c r="F8" s="210" t="s">
        <v>107</v>
      </c>
      <c r="G8" s="88"/>
      <c r="H8" s="195"/>
      <c r="I8" s="196" t="s">
        <v>12</v>
      </c>
      <c r="J8" s="92" t="s">
        <v>107</v>
      </c>
      <c r="K8" s="111" t="s">
        <v>107</v>
      </c>
      <c r="L8" s="90" t="s">
        <v>107</v>
      </c>
      <c r="M8" s="88"/>
      <c r="N8" s="195"/>
      <c r="O8" s="91" t="s">
        <v>5</v>
      </c>
      <c r="P8" s="112" t="s">
        <v>107</v>
      </c>
      <c r="Q8" s="111" t="s">
        <v>107</v>
      </c>
      <c r="R8" s="111" t="s">
        <v>107</v>
      </c>
      <c r="S8" s="111" t="s">
        <v>107</v>
      </c>
      <c r="T8" s="88"/>
      <c r="U8" s="195"/>
      <c r="V8" s="197" t="s">
        <v>5</v>
      </c>
      <c r="W8" s="111" t="s">
        <v>107</v>
      </c>
      <c r="X8" s="112" t="s">
        <v>107</v>
      </c>
      <c r="Y8" s="111" t="s">
        <v>107</v>
      </c>
      <c r="Z8" s="111" t="s">
        <v>107</v>
      </c>
      <c r="AA8" s="88"/>
      <c r="AB8" s="195"/>
      <c r="AC8" s="111" t="s">
        <v>107</v>
      </c>
      <c r="AD8" s="112" t="s">
        <v>107</v>
      </c>
      <c r="AE8" s="112" t="s">
        <v>107</v>
      </c>
      <c r="AF8" s="111" t="s">
        <v>107</v>
      </c>
      <c r="AG8" s="111" t="s">
        <v>107</v>
      </c>
      <c r="AH8" s="88"/>
      <c r="AI8" s="195"/>
      <c r="AJ8" s="111" t="s">
        <v>107</v>
      </c>
      <c r="AK8" s="112" t="s">
        <v>107</v>
      </c>
      <c r="AL8" s="112" t="s">
        <v>107</v>
      </c>
      <c r="AM8" s="111" t="s">
        <v>107</v>
      </c>
      <c r="AN8" s="111" t="s">
        <v>107</v>
      </c>
      <c r="AO8" s="88"/>
      <c r="AP8" s="195"/>
      <c r="AQ8" s="111" t="s">
        <v>107</v>
      </c>
      <c r="AR8" s="112" t="s">
        <v>107</v>
      </c>
      <c r="AS8" s="112" t="s">
        <v>107</v>
      </c>
      <c r="AT8" s="111" t="s">
        <v>107</v>
      </c>
      <c r="AU8" s="111" t="s">
        <v>107</v>
      </c>
    </row>
    <row r="9" spans="2:48" x14ac:dyDescent="0.2">
      <c r="C9" s="88" t="s">
        <v>22</v>
      </c>
      <c r="D9" s="181" t="s">
        <v>23</v>
      </c>
      <c r="E9" s="88" t="s">
        <v>24</v>
      </c>
      <c r="F9" s="88" t="s">
        <v>25</v>
      </c>
      <c r="I9" s="88" t="s">
        <v>22</v>
      </c>
      <c r="J9" s="88" t="s">
        <v>23</v>
      </c>
      <c r="K9" s="88" t="s">
        <v>24</v>
      </c>
      <c r="L9" s="181" t="s">
        <v>25</v>
      </c>
      <c r="O9" s="88" t="s">
        <v>22</v>
      </c>
      <c r="P9" s="181" t="s">
        <v>23</v>
      </c>
      <c r="Q9" s="88" t="s">
        <v>24</v>
      </c>
      <c r="R9" s="88" t="s">
        <v>25</v>
      </c>
      <c r="S9" s="88" t="s">
        <v>26</v>
      </c>
      <c r="V9" s="88" t="s">
        <v>22</v>
      </c>
      <c r="W9" s="181" t="s">
        <v>23</v>
      </c>
      <c r="X9" s="88" t="s">
        <v>24</v>
      </c>
      <c r="Y9" s="88" t="s">
        <v>25</v>
      </c>
      <c r="Z9" s="88" t="s">
        <v>26</v>
      </c>
      <c r="AC9" s="88" t="s">
        <v>22</v>
      </c>
      <c r="AD9" s="181" t="s">
        <v>23</v>
      </c>
      <c r="AE9" s="88" t="s">
        <v>24</v>
      </c>
      <c r="AF9" s="88" t="s">
        <v>25</v>
      </c>
      <c r="AG9" s="88" t="s">
        <v>26</v>
      </c>
      <c r="AJ9" s="88" t="s">
        <v>22</v>
      </c>
      <c r="AK9" s="181" t="s">
        <v>23</v>
      </c>
      <c r="AL9" s="88" t="s">
        <v>24</v>
      </c>
      <c r="AM9" s="88" t="s">
        <v>25</v>
      </c>
      <c r="AN9" s="88" t="s">
        <v>26</v>
      </c>
      <c r="AQ9" s="88" t="s">
        <v>22</v>
      </c>
      <c r="AR9" s="181" t="s">
        <v>23</v>
      </c>
      <c r="AS9" s="88" t="s">
        <v>24</v>
      </c>
      <c r="AT9" s="88" t="s">
        <v>25</v>
      </c>
      <c r="AU9" s="88" t="s">
        <v>26</v>
      </c>
    </row>
    <row r="10" spans="2:48" x14ac:dyDescent="0.2">
      <c r="C10" s="88"/>
      <c r="D10" s="88"/>
      <c r="E10" s="4" t="str">
        <f>"("&amp;C9&amp;" - "&amp;D9&amp;") x 50%)"</f>
        <v>((a) - (b)) x 50%)</v>
      </c>
      <c r="F10" s="4" t="str">
        <f>E9&amp;"/(8.760 x "&amp;TEXT('Table 8'!$D$128,"0.0%")&amp;")"</f>
        <v>(c)/(8.760 x 51.9%)</v>
      </c>
      <c r="I10" s="88"/>
      <c r="K10" s="88"/>
      <c r="L10" s="10" t="str">
        <f>J9&amp;" + "&amp;K9</f>
        <v>(b) + (c)</v>
      </c>
      <c r="O10" s="11"/>
      <c r="P10" s="88"/>
      <c r="Q10" s="12" t="str">
        <f>" "&amp;$P$9&amp;"+"&amp;$O$9&amp;"/(8.76 x "&amp;$Q$7&amp;")"</f>
        <v xml:space="preserve"> (b)+(a)/(8.76 x 0.75)</v>
      </c>
      <c r="R10" s="12" t="str">
        <f>" "&amp;$P$9&amp;"+"&amp;$O$9&amp;"/(8.76 x "&amp;$R$7&amp;")"</f>
        <v xml:space="preserve"> (b)+(a)/(8.76 x 0.85)</v>
      </c>
      <c r="S10" s="12" t="str">
        <f>" "&amp;$P$9&amp;"+"&amp;$O$9&amp;"/(8.76 x "&amp;$S$7&amp;")"</f>
        <v xml:space="preserve"> (b)+(a)/(8.76 x 0.95)</v>
      </c>
      <c r="V10" s="11"/>
      <c r="W10" s="4" t="str">
        <f>" "&amp;V9&amp;" /(8.76 x "&amp;TEXT('Table 8'!D129,"0.0%")&amp;" x 56%)"</f>
        <v xml:space="preserve"> (a) /(8.76 x 92.7% x 56%)</v>
      </c>
      <c r="X10" s="88"/>
      <c r="Y10" s="4" t="str">
        <f>W9&amp;" + "&amp;X9</f>
        <v>(b) + (c)</v>
      </c>
      <c r="Z10" s="226" t="str">
        <f>X9</f>
        <v>(c)</v>
      </c>
      <c r="AC10" s="4" t="str">
        <f>U1&amp;" "&amp;W9&amp;" *  "&amp;TEXT('Table 2B Wind'!Capacity_Contr_Wind,"0.0%")</f>
        <v>Table 6a (b) *  20.5%</v>
      </c>
      <c r="AD10" s="88"/>
      <c r="AE10" s="88"/>
      <c r="AF10" s="4" t="str">
        <f>AC9&amp;" + "&amp;AD9&amp;" - "&amp;AE9</f>
        <v>(a) + (b) - (c)</v>
      </c>
      <c r="AG10" s="4" t="str">
        <f>AD9&amp;"-"&amp;AE9</f>
        <v>(b)-(c)</v>
      </c>
      <c r="AJ10" s="4" t="str">
        <f>U1&amp;" "&amp;W9&amp;" *  "&amp;TEXT('Table 2C SolarFixed'!Capacity_Contr_Solar_Fixed,"0.0%")</f>
        <v>Table 6a (b) *  68.0%</v>
      </c>
      <c r="AK10" s="88"/>
      <c r="AL10" s="88"/>
      <c r="AM10" s="4" t="str">
        <f>AJ9&amp;" + "&amp;AK9&amp;" - "&amp;AL9</f>
        <v>(a) + (b) - (c)</v>
      </c>
      <c r="AN10" s="4" t="str">
        <f>AK9&amp;"-"&amp;AL9</f>
        <v>(b)-(c)</v>
      </c>
      <c r="AQ10" s="4" t="str">
        <f>U1&amp;" "&amp;W9&amp;" *  "&amp;TEXT('Table 2D SolarTracking'!Capacity_Contr_Solar_Tracking,"0.0%")</f>
        <v>Table 6a (b) *  84.0%</v>
      </c>
      <c r="AR10" s="88"/>
      <c r="AS10" s="88"/>
      <c r="AT10" s="4" t="str">
        <f>AQ9&amp;" + "&amp;AR9&amp;" - "&amp;AS9</f>
        <v>(a) + (b) - (c)</v>
      </c>
      <c r="AU10" s="4" t="str">
        <f>AR9&amp;"-"&amp;AS9</f>
        <v>(b)-(c)</v>
      </c>
    </row>
    <row r="11" spans="2:48" ht="3.75" customHeight="1" x14ac:dyDescent="0.2">
      <c r="C11" s="110"/>
      <c r="D11" s="110"/>
    </row>
    <row r="12" spans="2:48" s="70" customFormat="1" x14ac:dyDescent="0.2">
      <c r="B12" s="13" t="s">
        <v>66</v>
      </c>
      <c r="C12" s="103"/>
      <c r="D12" s="48" t="s">
        <v>296</v>
      </c>
      <c r="E12" s="198"/>
      <c r="F12" s="103"/>
      <c r="G12" s="103"/>
      <c r="H12" s="13" t="s">
        <v>66</v>
      </c>
      <c r="I12" s="182"/>
      <c r="K12" s="182"/>
      <c r="L12" s="182"/>
      <c r="M12" s="103"/>
      <c r="N12" s="13" t="s">
        <v>66</v>
      </c>
      <c r="O12" s="103"/>
      <c r="P12" s="182"/>
      <c r="Q12" s="182"/>
      <c r="R12" s="182"/>
      <c r="S12" s="182"/>
      <c r="T12" s="103"/>
      <c r="U12" s="13" t="s">
        <v>66</v>
      </c>
      <c r="V12" s="103"/>
      <c r="W12" s="182"/>
      <c r="X12" s="182"/>
      <c r="Y12" s="182"/>
      <c r="Z12" s="182"/>
      <c r="AA12" s="103"/>
      <c r="AB12" s="13" t="s">
        <v>66</v>
      </c>
      <c r="AC12" s="182"/>
      <c r="AD12" s="182"/>
      <c r="AE12" s="182"/>
      <c r="AF12" s="182"/>
      <c r="AG12" s="182"/>
      <c r="AH12" s="103"/>
      <c r="AI12" s="13" t="s">
        <v>66</v>
      </c>
      <c r="AJ12" s="182"/>
      <c r="AK12" s="182"/>
      <c r="AL12" s="182"/>
      <c r="AM12" s="182"/>
      <c r="AN12" s="182"/>
      <c r="AO12" s="103"/>
      <c r="AP12" s="13" t="s">
        <v>66</v>
      </c>
      <c r="AQ12" s="182"/>
      <c r="AR12" s="182"/>
      <c r="AS12" s="182"/>
      <c r="AT12" s="182"/>
      <c r="AU12" s="182"/>
    </row>
    <row r="13" spans="2:48" s="70" customFormat="1" x14ac:dyDescent="0.2">
      <c r="B13" s="199">
        <v>2014</v>
      </c>
      <c r="C13" s="99"/>
      <c r="D13" s="99">
        <f>INDEX('Table 8'!$H$10:$H$36,MATCH($B13,'Table 8'!$B$10:$B$36,0))*INDEX('Table 11'!$C$24:$C$36,MATCH($B13,'Table 11'!$B$24:$B$36,0))/6</f>
        <v>37.94</v>
      </c>
      <c r="E13" s="99"/>
      <c r="F13" s="100"/>
      <c r="G13" s="103"/>
      <c r="H13" s="199">
        <f>$B13</f>
        <v>2014</v>
      </c>
      <c r="I13" s="200"/>
      <c r="J13" s="200"/>
      <c r="K13" s="200"/>
      <c r="L13" s="201">
        <f>'Table 2A BaseLoad'!L66</f>
        <v>30.36</v>
      </c>
      <c r="M13" s="103"/>
      <c r="N13" s="199">
        <f>$B13</f>
        <v>2014</v>
      </c>
      <c r="O13" s="99">
        <f>D13</f>
        <v>37.94</v>
      </c>
      <c r="P13" s="200">
        <f>L13</f>
        <v>30.36</v>
      </c>
      <c r="Q13" s="200">
        <f>ROUND($P13+$O13/(4.416*Q$7),2)</f>
        <v>41.82</v>
      </c>
      <c r="R13" s="200">
        <f>ROUND($P13+$O13/(4.416*R$7),2)</f>
        <v>40.47</v>
      </c>
      <c r="S13" s="201">
        <f>ROUND($P13+$O13/(4.416*S$7),2)</f>
        <v>39.4</v>
      </c>
      <c r="T13" s="103"/>
      <c r="U13" s="199">
        <f>$B13</f>
        <v>2014</v>
      </c>
      <c r="V13" s="99">
        <f>O13</f>
        <v>37.94</v>
      </c>
      <c r="W13" s="200">
        <f>ROUND(V13/(4.416*'Table 8'!$D$129*0.56),2)</f>
        <v>16.55</v>
      </c>
      <c r="X13" s="200">
        <f>L13</f>
        <v>30.36</v>
      </c>
      <c r="Y13" s="200">
        <f>W13+X13</f>
        <v>46.91</v>
      </c>
      <c r="Z13" s="201">
        <f>X13</f>
        <v>30.36</v>
      </c>
      <c r="AA13" s="103"/>
      <c r="AB13" s="199">
        <f>$B13</f>
        <v>2014</v>
      </c>
      <c r="AC13" s="200">
        <f>W13*'Table 2B Wind'!Capacity_Contr_Wind</f>
        <v>3.3927499999999999</v>
      </c>
      <c r="AD13" s="200">
        <f>X13</f>
        <v>30.36</v>
      </c>
      <c r="AE13" s="200">
        <f>INDEX('Table 12'!$E:$E,MATCH($U13,'Table 12'!$B:$B,0))</f>
        <v>3.1999999999999997</v>
      </c>
      <c r="AF13" s="200">
        <f>AC13+AD13-AE13</f>
        <v>30.55275</v>
      </c>
      <c r="AG13" s="201">
        <f>AD13-AE13</f>
        <v>27.16</v>
      </c>
      <c r="AH13" s="103"/>
      <c r="AI13" s="199">
        <f>$B13</f>
        <v>2014</v>
      </c>
      <c r="AJ13" s="200">
        <f>W13*'Table 2C SolarFixed'!Capacity_Contr_Solar_Fixed</f>
        <v>11.254000000000001</v>
      </c>
      <c r="AK13" s="200">
        <f>X13</f>
        <v>30.36</v>
      </c>
      <c r="AL13" s="200">
        <f t="shared" ref="AL13:AL25" si="0">Solar_Fixed_integr_cost</f>
        <v>2.83</v>
      </c>
      <c r="AM13" s="200">
        <f>AJ13+AK13-AL13</f>
        <v>38.784000000000006</v>
      </c>
      <c r="AN13" s="201">
        <f>AK13-AL13</f>
        <v>27.53</v>
      </c>
      <c r="AO13" s="103"/>
      <c r="AP13" s="199">
        <f>$B13</f>
        <v>2014</v>
      </c>
      <c r="AQ13" s="200">
        <f>W13*'Table 2D SolarTracking'!Capacity_Contr_Solar_Tracking</f>
        <v>13.901999999999999</v>
      </c>
      <c r="AR13" s="200">
        <f>X13</f>
        <v>30.36</v>
      </c>
      <c r="AS13" s="200">
        <f t="shared" ref="AS13:AS25" si="1">Solar_Tracking_integr_cost</f>
        <v>2.1800000000000002</v>
      </c>
      <c r="AT13" s="200">
        <f t="shared" ref="AT13:AT17" si="2">AQ13+AR13-AS13</f>
        <v>42.082000000000001</v>
      </c>
      <c r="AU13" s="201">
        <f t="shared" ref="AU13:AU17" si="3">AR13-AS13</f>
        <v>28.18</v>
      </c>
    </row>
    <row r="14" spans="2:48" s="70" customFormat="1" x14ac:dyDescent="0.2">
      <c r="B14" s="101">
        <f>B13+1</f>
        <v>2015</v>
      </c>
      <c r="C14" s="103"/>
      <c r="D14" s="103">
        <f>INDEX('Table 8'!$H$10:$H$36,MATCH($B14,'Table 8'!$B$10:$B$36,0))*INDEX('Table 11'!$C$24:$C$36,MATCH($B14,'Table 11'!$B$24:$B$36,0))/12</f>
        <v>57.88</v>
      </c>
      <c r="E14" s="198"/>
      <c r="F14" s="104"/>
      <c r="G14" s="103"/>
      <c r="H14" s="101">
        <f>$B14</f>
        <v>2015</v>
      </c>
      <c r="I14" s="182"/>
      <c r="J14" s="182"/>
      <c r="K14" s="182"/>
      <c r="L14" s="202">
        <f>'Table 2A BaseLoad'!L67</f>
        <v>32.630000000000003</v>
      </c>
      <c r="M14" s="103"/>
      <c r="N14" s="101">
        <f>$B14</f>
        <v>2015</v>
      </c>
      <c r="O14" s="103">
        <f t="shared" ref="O14:O25" si="4">D14</f>
        <v>57.88</v>
      </c>
      <c r="P14" s="182">
        <f>L14</f>
        <v>32.630000000000003</v>
      </c>
      <c r="Q14" s="182">
        <f t="shared" ref="Q14:S25" si="5">ROUND($P14+$O14/(8.76*Q$7),2)</f>
        <v>41.44</v>
      </c>
      <c r="R14" s="182">
        <f t="shared" si="5"/>
        <v>40.4</v>
      </c>
      <c r="S14" s="202">
        <f t="shared" si="5"/>
        <v>39.590000000000003</v>
      </c>
      <c r="T14" s="103"/>
      <c r="U14" s="101">
        <f t="shared" ref="U14:U25" si="6">$B14</f>
        <v>2015</v>
      </c>
      <c r="V14" s="103">
        <f t="shared" ref="V14:V25" si="7">O14</f>
        <v>57.88</v>
      </c>
      <c r="W14" s="182">
        <f>ROUND(V14/(8.76*'Table 8'!$D$129*0.56),2)</f>
        <v>12.73</v>
      </c>
      <c r="X14" s="182">
        <f t="shared" ref="X14" si="8">L14</f>
        <v>32.630000000000003</v>
      </c>
      <c r="Y14" s="182">
        <f t="shared" ref="Y14" si="9">W14+X14</f>
        <v>45.36</v>
      </c>
      <c r="Z14" s="202">
        <f t="shared" ref="Z14" si="10">X14</f>
        <v>32.630000000000003</v>
      </c>
      <c r="AA14" s="103"/>
      <c r="AB14" s="101">
        <f t="shared" ref="AB14:AB25" si="11">$B14</f>
        <v>2015</v>
      </c>
      <c r="AC14" s="182">
        <f>W14*'Table 2B Wind'!Capacity_Contr_Wind</f>
        <v>2.6096499999999998</v>
      </c>
      <c r="AD14" s="182">
        <f t="shared" ref="AD14:AD25" si="12">X14</f>
        <v>32.630000000000003</v>
      </c>
      <c r="AE14" s="182">
        <f>INDEX('Table 12'!$E:$E,MATCH($U14,'Table 12'!$B:$B,0))</f>
        <v>3.27</v>
      </c>
      <c r="AF14" s="182">
        <f t="shared" ref="AF14:AF25" si="13">AC14+AD14-AE14</f>
        <v>31.969650000000005</v>
      </c>
      <c r="AG14" s="202">
        <f t="shared" ref="AG14:AG25" si="14">AD14-AE14</f>
        <v>29.360000000000003</v>
      </c>
      <c r="AH14" s="103"/>
      <c r="AI14" s="101">
        <f t="shared" ref="AI14:AI25" si="15">$B14</f>
        <v>2015</v>
      </c>
      <c r="AJ14" s="182">
        <f>W14*'Table 2C SolarFixed'!Capacity_Contr_Solar_Fixed</f>
        <v>8.6564000000000014</v>
      </c>
      <c r="AK14" s="182">
        <f t="shared" ref="AK14:AK25" si="16">X14</f>
        <v>32.630000000000003</v>
      </c>
      <c r="AL14" s="182">
        <f t="shared" si="0"/>
        <v>2.83</v>
      </c>
      <c r="AM14" s="182">
        <f t="shared" ref="AM14:AM25" si="17">AJ14+AK14-AL14</f>
        <v>38.456400000000002</v>
      </c>
      <c r="AN14" s="202">
        <f t="shared" ref="AN14:AN25" si="18">AK14-AL14</f>
        <v>29.800000000000004</v>
      </c>
      <c r="AO14" s="103"/>
      <c r="AP14" s="101">
        <f t="shared" ref="AP14:AP25" si="19">$B14</f>
        <v>2015</v>
      </c>
      <c r="AQ14" s="182">
        <f>W14*'Table 2D SolarTracking'!Capacity_Contr_Solar_Tracking</f>
        <v>10.693199999999999</v>
      </c>
      <c r="AR14" s="182">
        <f t="shared" ref="AR14:AR25" si="20">X14</f>
        <v>32.630000000000003</v>
      </c>
      <c r="AS14" s="182">
        <f t="shared" si="1"/>
        <v>2.1800000000000002</v>
      </c>
      <c r="AT14" s="182">
        <f t="shared" si="2"/>
        <v>41.1432</v>
      </c>
      <c r="AU14" s="202">
        <f t="shared" si="3"/>
        <v>30.450000000000003</v>
      </c>
    </row>
    <row r="15" spans="2:48" s="70" customFormat="1" x14ac:dyDescent="0.2">
      <c r="B15" s="101">
        <f t="shared" ref="B15:B25" si="21">B14+1</f>
        <v>2016</v>
      </c>
      <c r="C15" s="103"/>
      <c r="D15" s="103">
        <f>INDEX('Table 8'!$H$10:$H$36,MATCH($B15,'Table 8'!$B$10:$B$36,0))*INDEX('Table 11'!$C$24:$C$36,MATCH($B15,'Table 11'!$B$24:$B$36,0))/12</f>
        <v>58.919999999999995</v>
      </c>
      <c r="E15" s="198"/>
      <c r="F15" s="104"/>
      <c r="G15" s="103"/>
      <c r="H15" s="101">
        <f t="shared" ref="H15:H25" si="22">$B15</f>
        <v>2016</v>
      </c>
      <c r="I15" s="182"/>
      <c r="J15" s="182"/>
      <c r="K15" s="182"/>
      <c r="L15" s="202">
        <f>'Table 2A BaseLoad'!L68</f>
        <v>30.22</v>
      </c>
      <c r="M15" s="103"/>
      <c r="N15" s="101">
        <f t="shared" ref="N15:N25" si="23">$B15</f>
        <v>2016</v>
      </c>
      <c r="O15" s="103">
        <f t="shared" si="4"/>
        <v>58.919999999999995</v>
      </c>
      <c r="P15" s="182">
        <f t="shared" ref="P15:P21" si="24">L15</f>
        <v>30.22</v>
      </c>
      <c r="Q15" s="182">
        <f t="shared" si="5"/>
        <v>39.19</v>
      </c>
      <c r="R15" s="182">
        <f t="shared" si="5"/>
        <v>38.130000000000003</v>
      </c>
      <c r="S15" s="202">
        <f t="shared" si="5"/>
        <v>37.299999999999997</v>
      </c>
      <c r="T15" s="103"/>
      <c r="U15" s="101">
        <f t="shared" si="6"/>
        <v>2016</v>
      </c>
      <c r="V15" s="103">
        <f t="shared" si="7"/>
        <v>58.919999999999995</v>
      </c>
      <c r="W15" s="182">
        <f>ROUND(V15/(8.76*'Table 8'!$D$129*0.56),2)</f>
        <v>12.96</v>
      </c>
      <c r="X15" s="182">
        <f t="shared" ref="X15:X22" si="25">L15</f>
        <v>30.22</v>
      </c>
      <c r="Y15" s="182">
        <f t="shared" ref="Y15:Y22" si="26">W15+X15</f>
        <v>43.18</v>
      </c>
      <c r="Z15" s="202">
        <f t="shared" ref="Z15:Z22" si="27">X15</f>
        <v>30.22</v>
      </c>
      <c r="AA15" s="103"/>
      <c r="AB15" s="101">
        <f t="shared" si="11"/>
        <v>2016</v>
      </c>
      <c r="AC15" s="182">
        <f>W15*'Table 2B Wind'!Capacity_Contr_Wind</f>
        <v>2.6568000000000001</v>
      </c>
      <c r="AD15" s="182">
        <f t="shared" si="12"/>
        <v>30.22</v>
      </c>
      <c r="AE15" s="182">
        <f>INDEX('Table 12'!$E:$E,MATCH($U15,'Table 12'!$B:$B,0))</f>
        <v>3.28</v>
      </c>
      <c r="AF15" s="182">
        <f t="shared" si="13"/>
        <v>29.596799999999995</v>
      </c>
      <c r="AG15" s="202">
        <f t="shared" si="14"/>
        <v>26.939999999999998</v>
      </c>
      <c r="AH15" s="103"/>
      <c r="AI15" s="101">
        <f t="shared" si="15"/>
        <v>2016</v>
      </c>
      <c r="AJ15" s="182">
        <f>W15*'Table 2C SolarFixed'!Capacity_Contr_Solar_Fixed</f>
        <v>8.8128000000000011</v>
      </c>
      <c r="AK15" s="182">
        <f t="shared" si="16"/>
        <v>30.22</v>
      </c>
      <c r="AL15" s="182">
        <f t="shared" si="0"/>
        <v>2.83</v>
      </c>
      <c r="AM15" s="182">
        <f t="shared" si="17"/>
        <v>36.202800000000003</v>
      </c>
      <c r="AN15" s="202">
        <f t="shared" si="18"/>
        <v>27.39</v>
      </c>
      <c r="AO15" s="103"/>
      <c r="AP15" s="101">
        <f t="shared" si="19"/>
        <v>2016</v>
      </c>
      <c r="AQ15" s="182">
        <f>W15*'Table 2D SolarTracking'!Capacity_Contr_Solar_Tracking</f>
        <v>10.8864</v>
      </c>
      <c r="AR15" s="182">
        <f t="shared" si="20"/>
        <v>30.22</v>
      </c>
      <c r="AS15" s="182">
        <f t="shared" si="1"/>
        <v>2.1800000000000002</v>
      </c>
      <c r="AT15" s="182">
        <f t="shared" si="2"/>
        <v>38.926400000000001</v>
      </c>
      <c r="AU15" s="202">
        <f t="shared" si="3"/>
        <v>28.04</v>
      </c>
    </row>
    <row r="16" spans="2:48" x14ac:dyDescent="0.2">
      <c r="B16" s="101">
        <f t="shared" si="21"/>
        <v>2017</v>
      </c>
      <c r="C16" s="103"/>
      <c r="D16" s="103">
        <f>INDEX('Table 8'!$H$10:$H$36,MATCH($B16,'Table 8'!$B$10:$B$36,0))*INDEX('Table 11'!$C$24:$C$36,MATCH($B16,'Table 11'!$B$24:$B$36,0))/12</f>
        <v>59.984999999999992</v>
      </c>
      <c r="E16" s="103"/>
      <c r="F16" s="104"/>
      <c r="G16" s="103"/>
      <c r="H16" s="101">
        <f t="shared" si="22"/>
        <v>2017</v>
      </c>
      <c r="I16" s="182"/>
      <c r="J16" s="182"/>
      <c r="K16" s="182"/>
      <c r="L16" s="202">
        <f>'Table 2A BaseLoad'!L69</f>
        <v>31.39</v>
      </c>
      <c r="M16" s="103"/>
      <c r="N16" s="101">
        <f t="shared" si="23"/>
        <v>2017</v>
      </c>
      <c r="O16" s="103">
        <f t="shared" si="4"/>
        <v>59.984999999999992</v>
      </c>
      <c r="P16" s="182">
        <f t="shared" si="24"/>
        <v>31.39</v>
      </c>
      <c r="Q16" s="182">
        <f t="shared" si="5"/>
        <v>40.520000000000003</v>
      </c>
      <c r="R16" s="182">
        <f t="shared" si="5"/>
        <v>39.450000000000003</v>
      </c>
      <c r="S16" s="202">
        <f t="shared" si="5"/>
        <v>38.6</v>
      </c>
      <c r="T16" s="103"/>
      <c r="U16" s="101">
        <f t="shared" si="6"/>
        <v>2017</v>
      </c>
      <c r="V16" s="103">
        <f t="shared" si="7"/>
        <v>59.984999999999992</v>
      </c>
      <c r="W16" s="182">
        <f>ROUND(V16/(8.76*'Table 8'!$D$129*0.56),2)</f>
        <v>13.19</v>
      </c>
      <c r="X16" s="182">
        <f t="shared" si="25"/>
        <v>31.39</v>
      </c>
      <c r="Y16" s="182">
        <f t="shared" si="26"/>
        <v>44.58</v>
      </c>
      <c r="Z16" s="202">
        <f t="shared" si="27"/>
        <v>31.39</v>
      </c>
      <c r="AA16" s="103"/>
      <c r="AB16" s="101">
        <f t="shared" si="11"/>
        <v>2017</v>
      </c>
      <c r="AC16" s="182">
        <f>W16*'Table 2B Wind'!Capacity_Contr_Wind</f>
        <v>2.7039499999999999</v>
      </c>
      <c r="AD16" s="182">
        <f t="shared" si="12"/>
        <v>31.39</v>
      </c>
      <c r="AE16" s="182">
        <f>INDEX('Table 12'!$E:$E,MATCH($U16,'Table 12'!$B:$B,0))</f>
        <v>3.3600000000000003</v>
      </c>
      <c r="AF16" s="182">
        <f t="shared" si="13"/>
        <v>30.73395</v>
      </c>
      <c r="AG16" s="202">
        <f t="shared" si="14"/>
        <v>28.03</v>
      </c>
      <c r="AH16" s="103"/>
      <c r="AI16" s="101">
        <f t="shared" si="15"/>
        <v>2017</v>
      </c>
      <c r="AJ16" s="182">
        <f>W16*'Table 2C SolarFixed'!Capacity_Contr_Solar_Fixed</f>
        <v>8.9692000000000007</v>
      </c>
      <c r="AK16" s="182">
        <f t="shared" si="16"/>
        <v>31.39</v>
      </c>
      <c r="AL16" s="182">
        <f t="shared" si="0"/>
        <v>2.83</v>
      </c>
      <c r="AM16" s="182">
        <f t="shared" si="17"/>
        <v>37.529200000000003</v>
      </c>
      <c r="AN16" s="202">
        <f t="shared" si="18"/>
        <v>28.560000000000002</v>
      </c>
      <c r="AO16" s="103"/>
      <c r="AP16" s="101">
        <f t="shared" si="19"/>
        <v>2017</v>
      </c>
      <c r="AQ16" s="182">
        <f>W16*'Table 2D SolarTracking'!Capacity_Contr_Solar_Tracking</f>
        <v>11.079599999999999</v>
      </c>
      <c r="AR16" s="182">
        <f t="shared" si="20"/>
        <v>31.39</v>
      </c>
      <c r="AS16" s="182">
        <f t="shared" si="1"/>
        <v>2.1800000000000002</v>
      </c>
      <c r="AT16" s="182">
        <f t="shared" si="2"/>
        <v>40.2896</v>
      </c>
      <c r="AU16" s="202">
        <f t="shared" si="3"/>
        <v>29.21</v>
      </c>
    </row>
    <row r="17" spans="2:48" x14ac:dyDescent="0.2">
      <c r="B17" s="101">
        <f t="shared" si="21"/>
        <v>2018</v>
      </c>
      <c r="C17" s="103"/>
      <c r="D17" s="103">
        <f>INDEX('Table 8'!$H$10:$H$36,MATCH($B17,'Table 8'!$B$10:$B$36,0))*INDEX('Table 11'!$C$24:$C$36,MATCH($B17,'Table 11'!$B$24:$B$36,0))/12</f>
        <v>71.242499999999993</v>
      </c>
      <c r="E17" s="103"/>
      <c r="F17" s="104"/>
      <c r="G17" s="103"/>
      <c r="H17" s="101">
        <f t="shared" si="22"/>
        <v>2018</v>
      </c>
      <c r="I17" s="182"/>
      <c r="J17" s="182"/>
      <c r="K17" s="182"/>
      <c r="L17" s="202">
        <f>'Table 2A BaseLoad'!L70</f>
        <v>33.82</v>
      </c>
      <c r="M17" s="103"/>
      <c r="N17" s="101">
        <f t="shared" si="23"/>
        <v>2018</v>
      </c>
      <c r="O17" s="103">
        <f t="shared" si="4"/>
        <v>71.242499999999993</v>
      </c>
      <c r="P17" s="182">
        <f t="shared" si="24"/>
        <v>33.82</v>
      </c>
      <c r="Q17" s="182">
        <f t="shared" si="5"/>
        <v>44.66</v>
      </c>
      <c r="R17" s="182">
        <f t="shared" si="5"/>
        <v>43.39</v>
      </c>
      <c r="S17" s="202">
        <f t="shared" si="5"/>
        <v>42.38</v>
      </c>
      <c r="T17" s="103"/>
      <c r="U17" s="101">
        <f t="shared" si="6"/>
        <v>2018</v>
      </c>
      <c r="V17" s="103">
        <f t="shared" si="7"/>
        <v>71.242499999999993</v>
      </c>
      <c r="W17" s="182">
        <f>ROUND(V17/(8.76*'Table 8'!$D$129*0.56),2)</f>
        <v>15.67</v>
      </c>
      <c r="X17" s="182">
        <f t="shared" si="25"/>
        <v>33.82</v>
      </c>
      <c r="Y17" s="182">
        <f t="shared" si="26"/>
        <v>49.49</v>
      </c>
      <c r="Z17" s="202">
        <f t="shared" si="27"/>
        <v>33.82</v>
      </c>
      <c r="AA17" s="103"/>
      <c r="AB17" s="101">
        <f t="shared" si="11"/>
        <v>2018</v>
      </c>
      <c r="AC17" s="182">
        <f>W17*'Table 2B Wind'!Capacity_Contr_Wind</f>
        <v>3.2123499999999998</v>
      </c>
      <c r="AD17" s="182">
        <f t="shared" si="12"/>
        <v>33.82</v>
      </c>
      <c r="AE17" s="182">
        <f>INDEX('Table 12'!$E:$E,MATCH($U17,'Table 12'!$B:$B,0))</f>
        <v>3.63</v>
      </c>
      <c r="AF17" s="182">
        <f t="shared" si="13"/>
        <v>33.402349999999998</v>
      </c>
      <c r="AG17" s="202">
        <f t="shared" si="14"/>
        <v>30.19</v>
      </c>
      <c r="AH17" s="103"/>
      <c r="AI17" s="101">
        <f t="shared" si="15"/>
        <v>2018</v>
      </c>
      <c r="AJ17" s="182">
        <f>W17*'Table 2C SolarFixed'!Capacity_Contr_Solar_Fixed</f>
        <v>10.655600000000002</v>
      </c>
      <c r="AK17" s="182">
        <f t="shared" si="16"/>
        <v>33.82</v>
      </c>
      <c r="AL17" s="182">
        <f t="shared" si="0"/>
        <v>2.83</v>
      </c>
      <c r="AM17" s="182">
        <f t="shared" si="17"/>
        <v>41.645600000000002</v>
      </c>
      <c r="AN17" s="202">
        <f t="shared" si="18"/>
        <v>30.990000000000002</v>
      </c>
      <c r="AO17" s="103"/>
      <c r="AP17" s="101">
        <f t="shared" si="19"/>
        <v>2018</v>
      </c>
      <c r="AQ17" s="182">
        <f>W17*'Table 2D SolarTracking'!Capacity_Contr_Solar_Tracking</f>
        <v>13.162799999999999</v>
      </c>
      <c r="AR17" s="182">
        <f t="shared" si="20"/>
        <v>33.82</v>
      </c>
      <c r="AS17" s="182">
        <f t="shared" si="1"/>
        <v>2.1800000000000002</v>
      </c>
      <c r="AT17" s="182">
        <f t="shared" si="2"/>
        <v>44.802799999999998</v>
      </c>
      <c r="AU17" s="202">
        <f t="shared" si="3"/>
        <v>31.64</v>
      </c>
    </row>
    <row r="18" spans="2:48" x14ac:dyDescent="0.2">
      <c r="B18" s="101">
        <f t="shared" si="21"/>
        <v>2019</v>
      </c>
      <c r="C18" s="103"/>
      <c r="D18" s="103">
        <f>INDEX('Table 8'!$H$10:$H$36,MATCH($B18,'Table 8'!$B$10:$B$36,0))*INDEX('Table 11'!$C$24:$C$36,MATCH($B18,'Table 11'!$B$24:$B$36,0))/12</f>
        <v>72.455833333333331</v>
      </c>
      <c r="E18" s="103"/>
      <c r="F18" s="104"/>
      <c r="G18" s="103"/>
      <c r="H18" s="101">
        <f t="shared" si="22"/>
        <v>2019</v>
      </c>
      <c r="I18" s="182"/>
      <c r="J18" s="182"/>
      <c r="K18" s="182"/>
      <c r="L18" s="202">
        <f>'Table 2A BaseLoad'!L71</f>
        <v>35.479999999999997</v>
      </c>
      <c r="M18" s="103"/>
      <c r="N18" s="101">
        <f t="shared" si="23"/>
        <v>2019</v>
      </c>
      <c r="O18" s="103">
        <f t="shared" si="4"/>
        <v>72.455833333333331</v>
      </c>
      <c r="P18" s="182">
        <f t="shared" si="24"/>
        <v>35.479999999999997</v>
      </c>
      <c r="Q18" s="182">
        <f t="shared" si="5"/>
        <v>46.51</v>
      </c>
      <c r="R18" s="182">
        <f t="shared" si="5"/>
        <v>45.21</v>
      </c>
      <c r="S18" s="202">
        <f t="shared" si="5"/>
        <v>44.19</v>
      </c>
      <c r="T18" s="103"/>
      <c r="U18" s="101">
        <f t="shared" si="6"/>
        <v>2019</v>
      </c>
      <c r="V18" s="103">
        <f t="shared" si="7"/>
        <v>72.455833333333331</v>
      </c>
      <c r="W18" s="182">
        <f>ROUND(V18/(8.76*'Table 8'!$D$129*0.56),2)</f>
        <v>15.93</v>
      </c>
      <c r="X18" s="182">
        <f t="shared" si="25"/>
        <v>35.479999999999997</v>
      </c>
      <c r="Y18" s="182">
        <f t="shared" si="26"/>
        <v>51.41</v>
      </c>
      <c r="Z18" s="202">
        <f t="shared" si="27"/>
        <v>35.479999999999997</v>
      </c>
      <c r="AA18" s="103"/>
      <c r="AB18" s="101">
        <f t="shared" si="11"/>
        <v>2019</v>
      </c>
      <c r="AC18" s="182">
        <f>W18*'Table 2B Wind'!Capacity_Contr_Wind</f>
        <v>3.2656499999999999</v>
      </c>
      <c r="AD18" s="182">
        <f>X18</f>
        <v>35.479999999999997</v>
      </c>
      <c r="AE18" s="182">
        <f>INDEX('Table 12'!$E:$E,MATCH($U18,'Table 12'!$B:$B,0))</f>
        <v>3.93</v>
      </c>
      <c r="AF18" s="182">
        <f t="shared" si="13"/>
        <v>34.815649999999998</v>
      </c>
      <c r="AG18" s="202">
        <f t="shared" si="14"/>
        <v>31.549999999999997</v>
      </c>
      <c r="AH18" s="103"/>
      <c r="AI18" s="101">
        <f t="shared" si="15"/>
        <v>2019</v>
      </c>
      <c r="AJ18" s="182">
        <f>W18*'Table 2C SolarFixed'!Capacity_Contr_Solar_Fixed</f>
        <v>10.8324</v>
      </c>
      <c r="AK18" s="182">
        <f t="shared" si="16"/>
        <v>35.479999999999997</v>
      </c>
      <c r="AL18" s="182">
        <f t="shared" si="0"/>
        <v>2.83</v>
      </c>
      <c r="AM18" s="182">
        <f t="shared" si="17"/>
        <v>43.482399999999998</v>
      </c>
      <c r="AN18" s="202">
        <f t="shared" si="18"/>
        <v>32.65</v>
      </c>
      <c r="AO18" s="103"/>
      <c r="AP18" s="101">
        <f t="shared" si="19"/>
        <v>2019</v>
      </c>
      <c r="AQ18" s="182">
        <f>W18*'Table 2D SolarTracking'!Capacity_Contr_Solar_Tracking</f>
        <v>13.3812</v>
      </c>
      <c r="AR18" s="182">
        <f t="shared" si="20"/>
        <v>35.479999999999997</v>
      </c>
      <c r="AS18" s="182">
        <f t="shared" si="1"/>
        <v>2.1800000000000002</v>
      </c>
      <c r="AT18" s="182">
        <f t="shared" ref="AT18" si="28">AQ18+AR18-AS18</f>
        <v>46.681199999999997</v>
      </c>
      <c r="AU18" s="202">
        <f t="shared" ref="AU18" si="29">AR18-AS18</f>
        <v>33.299999999999997</v>
      </c>
    </row>
    <row r="19" spans="2:48" x14ac:dyDescent="0.2">
      <c r="B19" s="101">
        <f t="shared" si="21"/>
        <v>2020</v>
      </c>
      <c r="C19" s="103"/>
      <c r="D19" s="103">
        <f>INDEX('Table 8'!$H$10:$H$36,MATCH($B19,'Table 8'!$B$10:$B$36,0))*INDEX('Table 11'!$C$24:$C$36,MATCH($B19,'Table 11'!$B$24:$B$36,0))/12</f>
        <v>73.756666666666661</v>
      </c>
      <c r="E19" s="103"/>
      <c r="F19" s="104"/>
      <c r="G19" s="103"/>
      <c r="H19" s="101">
        <f t="shared" si="22"/>
        <v>2020</v>
      </c>
      <c r="I19" s="182"/>
      <c r="J19" s="182"/>
      <c r="K19" s="182"/>
      <c r="L19" s="202">
        <f>'Table 2A BaseLoad'!L72</f>
        <v>38.96</v>
      </c>
      <c r="M19" s="103"/>
      <c r="N19" s="101">
        <f t="shared" si="23"/>
        <v>2020</v>
      </c>
      <c r="O19" s="103">
        <f t="shared" si="4"/>
        <v>73.756666666666661</v>
      </c>
      <c r="P19" s="182">
        <f t="shared" si="24"/>
        <v>38.96</v>
      </c>
      <c r="Q19" s="182">
        <f t="shared" si="5"/>
        <v>50.19</v>
      </c>
      <c r="R19" s="182">
        <f t="shared" si="5"/>
        <v>48.87</v>
      </c>
      <c r="S19" s="202">
        <f t="shared" si="5"/>
        <v>47.82</v>
      </c>
      <c r="T19" s="103"/>
      <c r="U19" s="101">
        <f t="shared" si="6"/>
        <v>2020</v>
      </c>
      <c r="V19" s="103">
        <f t="shared" si="7"/>
        <v>73.756666666666661</v>
      </c>
      <c r="W19" s="182">
        <f>ROUND(V19/(8.76*'Table 8'!$D$129*0.56),2)</f>
        <v>16.22</v>
      </c>
      <c r="X19" s="182">
        <f t="shared" si="25"/>
        <v>38.96</v>
      </c>
      <c r="Y19" s="182">
        <f t="shared" si="26"/>
        <v>55.18</v>
      </c>
      <c r="Z19" s="202">
        <f t="shared" si="27"/>
        <v>38.96</v>
      </c>
      <c r="AA19" s="103"/>
      <c r="AB19" s="101">
        <f t="shared" si="11"/>
        <v>2020</v>
      </c>
      <c r="AC19" s="182">
        <f>W19*'Table 2B Wind'!Capacity_Contr_Wind</f>
        <v>3.3250999999999995</v>
      </c>
      <c r="AD19" s="182">
        <f t="shared" si="12"/>
        <v>38.96</v>
      </c>
      <c r="AE19" s="182">
        <f>INDEX('Table 12'!$E:$E,MATCH($U19,'Table 12'!$B:$B,0))</f>
        <v>4.5</v>
      </c>
      <c r="AF19" s="182">
        <f t="shared" si="13"/>
        <v>37.7851</v>
      </c>
      <c r="AG19" s="202">
        <f t="shared" si="14"/>
        <v>34.46</v>
      </c>
      <c r="AH19" s="103"/>
      <c r="AI19" s="101">
        <f t="shared" si="15"/>
        <v>2020</v>
      </c>
      <c r="AJ19" s="182">
        <f>W19*'Table 2C SolarFixed'!Capacity_Contr_Solar_Fixed</f>
        <v>11.0296</v>
      </c>
      <c r="AK19" s="182">
        <f t="shared" si="16"/>
        <v>38.96</v>
      </c>
      <c r="AL19" s="182">
        <f t="shared" si="0"/>
        <v>2.83</v>
      </c>
      <c r="AM19" s="182">
        <f t="shared" si="17"/>
        <v>47.159600000000005</v>
      </c>
      <c r="AN19" s="202">
        <f t="shared" si="18"/>
        <v>36.130000000000003</v>
      </c>
      <c r="AO19" s="103"/>
      <c r="AP19" s="101">
        <f t="shared" si="19"/>
        <v>2020</v>
      </c>
      <c r="AQ19" s="182">
        <f>W19*'Table 2D SolarTracking'!Capacity_Contr_Solar_Tracking</f>
        <v>13.624799999999999</v>
      </c>
      <c r="AR19" s="182">
        <f t="shared" si="20"/>
        <v>38.96</v>
      </c>
      <c r="AS19" s="182">
        <f t="shared" si="1"/>
        <v>2.1800000000000002</v>
      </c>
      <c r="AT19" s="182">
        <f t="shared" ref="AT19:AT25" si="30">AQ19+AR19-AS19</f>
        <v>50.404800000000002</v>
      </c>
      <c r="AU19" s="202">
        <f t="shared" ref="AU19:AU25" si="31">AR19-AS19</f>
        <v>36.78</v>
      </c>
    </row>
    <row r="20" spans="2:48" x14ac:dyDescent="0.2">
      <c r="B20" s="101">
        <f t="shared" si="21"/>
        <v>2021</v>
      </c>
      <c r="C20" s="103"/>
      <c r="D20" s="103">
        <f>INDEX('Table 8'!$H$10:$H$36,MATCH($B20,'Table 8'!$B$10:$B$36,0))*INDEX('Table 11'!$C$24:$C$36,MATCH($B20,'Table 11'!$B$24:$B$36,0))/12</f>
        <v>85.899999999999991</v>
      </c>
      <c r="E20" s="103"/>
      <c r="F20" s="104"/>
      <c r="G20" s="103"/>
      <c r="H20" s="101">
        <f t="shared" si="22"/>
        <v>2021</v>
      </c>
      <c r="I20" s="182"/>
      <c r="J20" s="182"/>
      <c r="K20" s="182"/>
      <c r="L20" s="202">
        <f>'Table 2A BaseLoad'!L73</f>
        <v>42.24</v>
      </c>
      <c r="M20" s="103"/>
      <c r="N20" s="101">
        <f t="shared" si="23"/>
        <v>2021</v>
      </c>
      <c r="O20" s="103">
        <f t="shared" si="4"/>
        <v>85.899999999999991</v>
      </c>
      <c r="P20" s="182">
        <f t="shared" si="24"/>
        <v>42.24</v>
      </c>
      <c r="Q20" s="182">
        <f t="shared" si="5"/>
        <v>55.31</v>
      </c>
      <c r="R20" s="182">
        <f t="shared" si="5"/>
        <v>53.78</v>
      </c>
      <c r="S20" s="202">
        <f t="shared" si="5"/>
        <v>52.56</v>
      </c>
      <c r="T20" s="103"/>
      <c r="U20" s="101">
        <f t="shared" si="6"/>
        <v>2021</v>
      </c>
      <c r="V20" s="103">
        <f t="shared" si="7"/>
        <v>85.899999999999991</v>
      </c>
      <c r="W20" s="182">
        <f>ROUND(V20/(8.76*'Table 8'!$D$129*0.56),2)</f>
        <v>18.89</v>
      </c>
      <c r="X20" s="182">
        <f t="shared" si="25"/>
        <v>42.24</v>
      </c>
      <c r="Y20" s="182">
        <f t="shared" si="26"/>
        <v>61.13</v>
      </c>
      <c r="Z20" s="202">
        <f t="shared" si="27"/>
        <v>42.24</v>
      </c>
      <c r="AA20" s="103"/>
      <c r="AB20" s="101">
        <f t="shared" si="11"/>
        <v>2021</v>
      </c>
      <c r="AC20" s="182">
        <f>W20*'Table 2B Wind'!Capacity_Contr_Wind</f>
        <v>3.8724499999999997</v>
      </c>
      <c r="AD20" s="182">
        <f t="shared" si="12"/>
        <v>42.24</v>
      </c>
      <c r="AE20" s="182">
        <f>INDEX('Table 12'!$E:$E,MATCH($U20,'Table 12'!$B:$B,0))</f>
        <v>5.2</v>
      </c>
      <c r="AF20" s="182">
        <f t="shared" si="13"/>
        <v>40.91245</v>
      </c>
      <c r="AG20" s="202">
        <f t="shared" si="14"/>
        <v>37.04</v>
      </c>
      <c r="AH20" s="103"/>
      <c r="AI20" s="101">
        <f t="shared" si="15"/>
        <v>2021</v>
      </c>
      <c r="AJ20" s="182">
        <f>W20*'Table 2C SolarFixed'!Capacity_Contr_Solar_Fixed</f>
        <v>12.845200000000002</v>
      </c>
      <c r="AK20" s="182">
        <f t="shared" si="16"/>
        <v>42.24</v>
      </c>
      <c r="AL20" s="182">
        <f t="shared" si="0"/>
        <v>2.83</v>
      </c>
      <c r="AM20" s="182">
        <f t="shared" si="17"/>
        <v>52.255200000000002</v>
      </c>
      <c r="AN20" s="202">
        <f t="shared" si="18"/>
        <v>39.410000000000004</v>
      </c>
      <c r="AO20" s="103"/>
      <c r="AP20" s="101">
        <f t="shared" si="19"/>
        <v>2021</v>
      </c>
      <c r="AQ20" s="182">
        <f>W20*'Table 2D SolarTracking'!Capacity_Contr_Solar_Tracking</f>
        <v>15.867599999999999</v>
      </c>
      <c r="AR20" s="182">
        <f t="shared" si="20"/>
        <v>42.24</v>
      </c>
      <c r="AS20" s="182">
        <f t="shared" si="1"/>
        <v>2.1800000000000002</v>
      </c>
      <c r="AT20" s="182">
        <f t="shared" si="30"/>
        <v>55.927600000000005</v>
      </c>
      <c r="AU20" s="202">
        <f t="shared" si="31"/>
        <v>40.06</v>
      </c>
    </row>
    <row r="21" spans="2:48" x14ac:dyDescent="0.2">
      <c r="B21" s="101">
        <f t="shared" si="21"/>
        <v>2022</v>
      </c>
      <c r="C21" s="103"/>
      <c r="D21" s="103">
        <f>INDEX('Table 8'!$H$10:$H$36,MATCH($B21,'Table 8'!$B$10:$B$36,0))*INDEX('Table 11'!$C$24:$C$36,MATCH($B21,'Table 11'!$B$24:$B$36,0))/12</f>
        <v>87.44</v>
      </c>
      <c r="E21" s="103"/>
      <c r="F21" s="104"/>
      <c r="G21" s="103"/>
      <c r="H21" s="101">
        <f t="shared" si="22"/>
        <v>2022</v>
      </c>
      <c r="I21" s="182"/>
      <c r="J21" s="182"/>
      <c r="K21" s="182"/>
      <c r="L21" s="202">
        <f>'Table 2A BaseLoad'!L74</f>
        <v>43.01</v>
      </c>
      <c r="M21" s="103"/>
      <c r="N21" s="101">
        <f t="shared" si="23"/>
        <v>2022</v>
      </c>
      <c r="O21" s="103">
        <f t="shared" si="4"/>
        <v>87.44</v>
      </c>
      <c r="P21" s="182">
        <f t="shared" si="24"/>
        <v>43.01</v>
      </c>
      <c r="Q21" s="182">
        <f t="shared" si="5"/>
        <v>56.32</v>
      </c>
      <c r="R21" s="182">
        <f t="shared" si="5"/>
        <v>54.75</v>
      </c>
      <c r="S21" s="202">
        <f t="shared" si="5"/>
        <v>53.52</v>
      </c>
      <c r="T21" s="103"/>
      <c r="U21" s="101">
        <f t="shared" si="6"/>
        <v>2022</v>
      </c>
      <c r="V21" s="103">
        <f t="shared" si="7"/>
        <v>87.44</v>
      </c>
      <c r="W21" s="182">
        <f>ROUND(V21/(8.76*'Table 8'!$D$129*0.56),2)</f>
        <v>19.23</v>
      </c>
      <c r="X21" s="182">
        <f t="shared" si="25"/>
        <v>43.01</v>
      </c>
      <c r="Y21" s="182">
        <f t="shared" si="26"/>
        <v>62.239999999999995</v>
      </c>
      <c r="Z21" s="202">
        <f t="shared" si="27"/>
        <v>43.01</v>
      </c>
      <c r="AA21" s="103"/>
      <c r="AB21" s="101">
        <f t="shared" si="11"/>
        <v>2022</v>
      </c>
      <c r="AC21" s="182">
        <f>W21*'Table 2B Wind'!Capacity_Contr_Wind</f>
        <v>3.9421499999999998</v>
      </c>
      <c r="AD21" s="182">
        <f t="shared" si="12"/>
        <v>43.01</v>
      </c>
      <c r="AE21" s="182">
        <f>INDEX('Table 12'!$E:$E,MATCH($U21,'Table 12'!$B:$B,0))</f>
        <v>6.12</v>
      </c>
      <c r="AF21" s="182">
        <f t="shared" si="13"/>
        <v>40.832149999999999</v>
      </c>
      <c r="AG21" s="202">
        <f t="shared" si="14"/>
        <v>36.89</v>
      </c>
      <c r="AH21" s="103"/>
      <c r="AI21" s="101">
        <f t="shared" si="15"/>
        <v>2022</v>
      </c>
      <c r="AJ21" s="182">
        <f>W21*'Table 2C SolarFixed'!Capacity_Contr_Solar_Fixed</f>
        <v>13.076400000000001</v>
      </c>
      <c r="AK21" s="182">
        <f t="shared" si="16"/>
        <v>43.01</v>
      </c>
      <c r="AL21" s="182">
        <f t="shared" si="0"/>
        <v>2.83</v>
      </c>
      <c r="AM21" s="182">
        <f t="shared" si="17"/>
        <v>53.256399999999999</v>
      </c>
      <c r="AN21" s="202">
        <f t="shared" si="18"/>
        <v>40.18</v>
      </c>
      <c r="AO21" s="103"/>
      <c r="AP21" s="101">
        <f t="shared" si="19"/>
        <v>2022</v>
      </c>
      <c r="AQ21" s="182">
        <f>W21*'Table 2D SolarTracking'!Capacity_Contr_Solar_Tracking</f>
        <v>16.153199999999998</v>
      </c>
      <c r="AR21" s="182">
        <f t="shared" si="20"/>
        <v>43.01</v>
      </c>
      <c r="AS21" s="182">
        <f t="shared" si="1"/>
        <v>2.1800000000000002</v>
      </c>
      <c r="AT21" s="182">
        <f t="shared" si="30"/>
        <v>56.983199999999997</v>
      </c>
      <c r="AU21" s="202">
        <f t="shared" si="31"/>
        <v>40.83</v>
      </c>
    </row>
    <row r="22" spans="2:48" x14ac:dyDescent="0.2">
      <c r="B22" s="101">
        <f t="shared" si="21"/>
        <v>2023</v>
      </c>
      <c r="C22" s="103"/>
      <c r="D22" s="103">
        <f>INDEX('Table 8'!$H$10:$H$36,MATCH($B22,'Table 8'!$B$10:$B$36,0))*INDEX('Table 11'!$C$24:$C$36,MATCH($B22,'Table 11'!$B$24:$B$36,0))/12</f>
        <v>89.013333333333335</v>
      </c>
      <c r="E22" s="103"/>
      <c r="F22" s="104"/>
      <c r="G22" s="103"/>
      <c r="H22" s="101">
        <f t="shared" si="22"/>
        <v>2023</v>
      </c>
      <c r="I22" s="182"/>
      <c r="J22" s="182"/>
      <c r="K22" s="182"/>
      <c r="L22" s="202">
        <f>'Table 2A BaseLoad'!L75</f>
        <v>44.49</v>
      </c>
      <c r="M22" s="103"/>
      <c r="N22" s="101">
        <f t="shared" si="23"/>
        <v>2023</v>
      </c>
      <c r="O22" s="103">
        <f t="shared" si="4"/>
        <v>89.013333333333335</v>
      </c>
      <c r="P22" s="182">
        <f t="shared" ref="P22:P25" si="32">L22</f>
        <v>44.49</v>
      </c>
      <c r="Q22" s="182">
        <f t="shared" si="5"/>
        <v>58.04</v>
      </c>
      <c r="R22" s="182">
        <f t="shared" si="5"/>
        <v>56.44</v>
      </c>
      <c r="S22" s="202">
        <f t="shared" si="5"/>
        <v>55.19</v>
      </c>
      <c r="T22" s="103"/>
      <c r="U22" s="101">
        <f t="shared" si="6"/>
        <v>2023</v>
      </c>
      <c r="V22" s="103">
        <f t="shared" si="7"/>
        <v>89.013333333333335</v>
      </c>
      <c r="W22" s="182">
        <f>ROUND(V22/(8.76*'Table 8'!$D$129*0.56),2)</f>
        <v>19.57</v>
      </c>
      <c r="X22" s="182">
        <f t="shared" si="25"/>
        <v>44.49</v>
      </c>
      <c r="Y22" s="182">
        <f t="shared" si="26"/>
        <v>64.06</v>
      </c>
      <c r="Z22" s="202">
        <f t="shared" si="27"/>
        <v>44.49</v>
      </c>
      <c r="AA22" s="103"/>
      <c r="AB22" s="101">
        <f t="shared" si="11"/>
        <v>2023</v>
      </c>
      <c r="AC22" s="182">
        <f>W22*'Table 2B Wind'!Capacity_Contr_Wind</f>
        <v>4.0118499999999999</v>
      </c>
      <c r="AD22" s="182">
        <f t="shared" si="12"/>
        <v>44.49</v>
      </c>
      <c r="AE22" s="182">
        <f>INDEX('Table 12'!$E:$E,MATCH($U22,'Table 12'!$B:$B,0))</f>
        <v>7.04</v>
      </c>
      <c r="AF22" s="182">
        <f t="shared" si="13"/>
        <v>41.461850000000005</v>
      </c>
      <c r="AG22" s="202">
        <f t="shared" si="14"/>
        <v>37.450000000000003</v>
      </c>
      <c r="AH22" s="103"/>
      <c r="AI22" s="101">
        <f t="shared" si="15"/>
        <v>2023</v>
      </c>
      <c r="AJ22" s="182">
        <f>W22*'Table 2C SolarFixed'!Capacity_Contr_Solar_Fixed</f>
        <v>13.307600000000001</v>
      </c>
      <c r="AK22" s="182">
        <f t="shared" si="16"/>
        <v>44.49</v>
      </c>
      <c r="AL22" s="182">
        <f t="shared" si="0"/>
        <v>2.83</v>
      </c>
      <c r="AM22" s="182">
        <f t="shared" si="17"/>
        <v>54.967600000000004</v>
      </c>
      <c r="AN22" s="202">
        <f t="shared" si="18"/>
        <v>41.660000000000004</v>
      </c>
      <c r="AO22" s="103"/>
      <c r="AP22" s="101">
        <f t="shared" si="19"/>
        <v>2023</v>
      </c>
      <c r="AQ22" s="182">
        <f>W22*'Table 2D SolarTracking'!Capacity_Contr_Solar_Tracking</f>
        <v>16.438800000000001</v>
      </c>
      <c r="AR22" s="182">
        <f t="shared" si="20"/>
        <v>44.49</v>
      </c>
      <c r="AS22" s="182">
        <f t="shared" si="1"/>
        <v>2.1800000000000002</v>
      </c>
      <c r="AT22" s="182">
        <f t="shared" si="30"/>
        <v>58.748800000000003</v>
      </c>
      <c r="AU22" s="202">
        <f t="shared" si="31"/>
        <v>42.31</v>
      </c>
    </row>
    <row r="23" spans="2:48" x14ac:dyDescent="0.2">
      <c r="B23" s="101">
        <f t="shared" si="21"/>
        <v>2024</v>
      </c>
      <c r="C23" s="103"/>
      <c r="D23" s="103">
        <f>INDEX('Table 8'!$H$10:$H$36,MATCH($B23,'Table 8'!$B$10:$B$36,0))*INDEX('Table 11'!$C$24:$C$36,MATCH($B23,'Table 11'!$B$24:$B$36,0))/12</f>
        <v>90.62</v>
      </c>
      <c r="E23" s="103"/>
      <c r="F23" s="104"/>
      <c r="G23" s="103"/>
      <c r="H23" s="101">
        <f t="shared" si="22"/>
        <v>2024</v>
      </c>
      <c r="I23" s="182"/>
      <c r="J23" s="182"/>
      <c r="K23" s="182"/>
      <c r="L23" s="202">
        <f>'Table 2A BaseLoad'!L76</f>
        <v>46.52</v>
      </c>
      <c r="M23" s="103"/>
      <c r="N23" s="101">
        <f t="shared" si="23"/>
        <v>2024</v>
      </c>
      <c r="O23" s="103">
        <f t="shared" si="4"/>
        <v>90.62</v>
      </c>
      <c r="P23" s="182">
        <f t="shared" si="32"/>
        <v>46.52</v>
      </c>
      <c r="Q23" s="182">
        <f t="shared" si="5"/>
        <v>60.31</v>
      </c>
      <c r="R23" s="182">
        <f t="shared" si="5"/>
        <v>58.69</v>
      </c>
      <c r="S23" s="202">
        <f t="shared" si="5"/>
        <v>57.41</v>
      </c>
      <c r="T23" s="103"/>
      <c r="U23" s="101">
        <f t="shared" si="6"/>
        <v>2024</v>
      </c>
      <c r="V23" s="103">
        <f t="shared" si="7"/>
        <v>90.62</v>
      </c>
      <c r="W23" s="182">
        <f>ROUND(V23/(8.76*'Table 8'!$D$129*0.56),2)</f>
        <v>19.93</v>
      </c>
      <c r="X23" s="182">
        <f t="shared" ref="X23:X25" si="33">L23</f>
        <v>46.52</v>
      </c>
      <c r="Y23" s="182">
        <f t="shared" ref="Y23:Y25" si="34">W23+X23</f>
        <v>66.45</v>
      </c>
      <c r="Z23" s="202">
        <f t="shared" ref="Z23:Z25" si="35">X23</f>
        <v>46.52</v>
      </c>
      <c r="AA23" s="103"/>
      <c r="AB23" s="101">
        <f t="shared" si="11"/>
        <v>2024</v>
      </c>
      <c r="AC23" s="182">
        <f>W23*'Table 2B Wind'!Capacity_Contr_Wind</f>
        <v>4.0856499999999993</v>
      </c>
      <c r="AD23" s="182">
        <f t="shared" si="12"/>
        <v>46.52</v>
      </c>
      <c r="AE23" s="182">
        <f>INDEX('Table 12'!$E:$E,MATCH($U23,'Table 12'!$B:$B,0))</f>
        <v>6.1199999999999992</v>
      </c>
      <c r="AF23" s="182">
        <f t="shared" si="13"/>
        <v>44.485650000000007</v>
      </c>
      <c r="AG23" s="202">
        <f t="shared" si="14"/>
        <v>40.400000000000006</v>
      </c>
      <c r="AH23" s="103"/>
      <c r="AI23" s="101">
        <f t="shared" si="15"/>
        <v>2024</v>
      </c>
      <c r="AJ23" s="182">
        <f>W23*'Table 2C SolarFixed'!Capacity_Contr_Solar_Fixed</f>
        <v>13.5524</v>
      </c>
      <c r="AK23" s="182">
        <f t="shared" si="16"/>
        <v>46.52</v>
      </c>
      <c r="AL23" s="182">
        <f t="shared" si="0"/>
        <v>2.83</v>
      </c>
      <c r="AM23" s="182">
        <f t="shared" si="17"/>
        <v>57.242400000000004</v>
      </c>
      <c r="AN23" s="202">
        <f t="shared" si="18"/>
        <v>43.690000000000005</v>
      </c>
      <c r="AO23" s="103"/>
      <c r="AP23" s="101">
        <f t="shared" si="19"/>
        <v>2024</v>
      </c>
      <c r="AQ23" s="182">
        <f>W23*'Table 2D SolarTracking'!Capacity_Contr_Solar_Tracking</f>
        <v>16.741199999999999</v>
      </c>
      <c r="AR23" s="182">
        <f t="shared" si="20"/>
        <v>46.52</v>
      </c>
      <c r="AS23" s="182">
        <f t="shared" si="1"/>
        <v>2.1800000000000002</v>
      </c>
      <c r="AT23" s="182">
        <f t="shared" si="30"/>
        <v>61.081200000000003</v>
      </c>
      <c r="AU23" s="202">
        <f t="shared" si="31"/>
        <v>44.34</v>
      </c>
    </row>
    <row r="24" spans="2:48" x14ac:dyDescent="0.2">
      <c r="B24" s="101">
        <f t="shared" si="21"/>
        <v>2025</v>
      </c>
      <c r="C24" s="103"/>
      <c r="D24" s="103">
        <f>INDEX('Table 8'!$H$10:$H$36,MATCH($B24,'Table 8'!$B$10:$B$36,0))*INDEX('Table 11'!$C$24:$C$36,MATCH($B24,'Table 11'!$B$24:$B$36,0))/12</f>
        <v>103.78500000000001</v>
      </c>
      <c r="E24" s="103"/>
      <c r="F24" s="104"/>
      <c r="G24" s="103"/>
      <c r="H24" s="101">
        <f t="shared" si="22"/>
        <v>2025</v>
      </c>
      <c r="I24" s="182"/>
      <c r="J24" s="182"/>
      <c r="K24" s="182"/>
      <c r="L24" s="202">
        <f>'Table 2A BaseLoad'!L77</f>
        <v>48.99</v>
      </c>
      <c r="M24" s="103"/>
      <c r="N24" s="101">
        <f t="shared" si="23"/>
        <v>2025</v>
      </c>
      <c r="O24" s="103">
        <f t="shared" si="4"/>
        <v>103.78500000000001</v>
      </c>
      <c r="P24" s="182">
        <f t="shared" si="32"/>
        <v>48.99</v>
      </c>
      <c r="Q24" s="182">
        <f t="shared" si="5"/>
        <v>64.790000000000006</v>
      </c>
      <c r="R24" s="182">
        <f t="shared" si="5"/>
        <v>62.93</v>
      </c>
      <c r="S24" s="202">
        <f t="shared" si="5"/>
        <v>61.46</v>
      </c>
      <c r="T24" s="103"/>
      <c r="U24" s="101">
        <f t="shared" si="6"/>
        <v>2025</v>
      </c>
      <c r="V24" s="103">
        <f t="shared" si="7"/>
        <v>103.78500000000001</v>
      </c>
      <c r="W24" s="182">
        <f>ROUND(V24/(8.76*'Table 8'!$D$129*0.56),2)</f>
        <v>22.82</v>
      </c>
      <c r="X24" s="182">
        <f t="shared" si="33"/>
        <v>48.99</v>
      </c>
      <c r="Y24" s="182">
        <f t="shared" si="34"/>
        <v>71.81</v>
      </c>
      <c r="Z24" s="202">
        <f t="shared" si="35"/>
        <v>48.99</v>
      </c>
      <c r="AA24" s="103"/>
      <c r="AB24" s="101">
        <f t="shared" si="11"/>
        <v>2025</v>
      </c>
      <c r="AC24" s="182">
        <f>W24*'Table 2B Wind'!Capacity_Contr_Wind</f>
        <v>4.6780999999999997</v>
      </c>
      <c r="AD24" s="182">
        <f t="shared" si="12"/>
        <v>48.99</v>
      </c>
      <c r="AE24" s="182">
        <f>INDEX('Table 12'!$E:$E,MATCH($U24,'Table 12'!$B:$B,0))</f>
        <v>6.17</v>
      </c>
      <c r="AF24" s="182">
        <f t="shared" si="13"/>
        <v>47.498100000000001</v>
      </c>
      <c r="AG24" s="202">
        <f t="shared" si="14"/>
        <v>42.82</v>
      </c>
      <c r="AH24" s="103"/>
      <c r="AI24" s="101">
        <f t="shared" si="15"/>
        <v>2025</v>
      </c>
      <c r="AJ24" s="182">
        <f>W24*'Table 2C SolarFixed'!Capacity_Contr_Solar_Fixed</f>
        <v>15.517600000000002</v>
      </c>
      <c r="AK24" s="182">
        <f t="shared" si="16"/>
        <v>48.99</v>
      </c>
      <c r="AL24" s="182">
        <f t="shared" si="0"/>
        <v>2.83</v>
      </c>
      <c r="AM24" s="182">
        <f t="shared" si="17"/>
        <v>61.677599999999998</v>
      </c>
      <c r="AN24" s="202">
        <f t="shared" si="18"/>
        <v>46.160000000000004</v>
      </c>
      <c r="AO24" s="103"/>
      <c r="AP24" s="101">
        <f t="shared" si="19"/>
        <v>2025</v>
      </c>
      <c r="AQ24" s="182">
        <f>W24*'Table 2D SolarTracking'!Capacity_Contr_Solar_Tracking</f>
        <v>19.168800000000001</v>
      </c>
      <c r="AR24" s="182">
        <f t="shared" si="20"/>
        <v>48.99</v>
      </c>
      <c r="AS24" s="182">
        <f t="shared" si="1"/>
        <v>2.1800000000000002</v>
      </c>
      <c r="AT24" s="182">
        <f t="shared" si="30"/>
        <v>65.978799999999993</v>
      </c>
      <c r="AU24" s="202">
        <f t="shared" si="31"/>
        <v>46.81</v>
      </c>
    </row>
    <row r="25" spans="2:48" x14ac:dyDescent="0.2">
      <c r="B25" s="105">
        <f t="shared" si="21"/>
        <v>2026</v>
      </c>
      <c r="C25" s="107"/>
      <c r="D25" s="107">
        <f>INDEX('Table 8'!$H$10:$H$36,MATCH($B25,'Table 8'!$B$10:$B$36,0))*INDEX('Table 11'!$C$24:$C$36,MATCH($B25,'Table 11'!$B$24:$B$36,0))/12</f>
        <v>105.75</v>
      </c>
      <c r="E25" s="107"/>
      <c r="F25" s="108"/>
      <c r="G25" s="103"/>
      <c r="H25" s="105">
        <f t="shared" si="22"/>
        <v>2026</v>
      </c>
      <c r="I25" s="203"/>
      <c r="J25" s="203"/>
      <c r="K25" s="203"/>
      <c r="L25" s="204">
        <f>'Table 2A BaseLoad'!L78</f>
        <v>51.2</v>
      </c>
      <c r="M25" s="103"/>
      <c r="N25" s="105">
        <f t="shared" si="23"/>
        <v>2026</v>
      </c>
      <c r="O25" s="107">
        <f t="shared" si="4"/>
        <v>105.75</v>
      </c>
      <c r="P25" s="203">
        <f t="shared" si="32"/>
        <v>51.2</v>
      </c>
      <c r="Q25" s="203">
        <f t="shared" si="5"/>
        <v>67.3</v>
      </c>
      <c r="R25" s="203">
        <f t="shared" si="5"/>
        <v>65.400000000000006</v>
      </c>
      <c r="S25" s="204">
        <f t="shared" si="5"/>
        <v>63.91</v>
      </c>
      <c r="T25" s="103"/>
      <c r="U25" s="105">
        <f t="shared" si="6"/>
        <v>2026</v>
      </c>
      <c r="V25" s="107">
        <f t="shared" si="7"/>
        <v>105.75</v>
      </c>
      <c r="W25" s="203">
        <f>ROUND(V25/(8.76*'Table 8'!$D$129*0.56),2)</f>
        <v>23.25</v>
      </c>
      <c r="X25" s="203">
        <f t="shared" si="33"/>
        <v>51.2</v>
      </c>
      <c r="Y25" s="203">
        <f t="shared" si="34"/>
        <v>74.45</v>
      </c>
      <c r="Z25" s="204">
        <f t="shared" si="35"/>
        <v>51.2</v>
      </c>
      <c r="AA25" s="103"/>
      <c r="AB25" s="105">
        <f t="shared" si="11"/>
        <v>2026</v>
      </c>
      <c r="AC25" s="203">
        <f>W25*'Table 2B Wind'!Capacity_Contr_Wind</f>
        <v>4.7662499999999994</v>
      </c>
      <c r="AD25" s="203">
        <f t="shared" si="12"/>
        <v>51.2</v>
      </c>
      <c r="AE25" s="203">
        <f>INDEX('Table 12'!$E:$E,MATCH($U25,'Table 12'!$B:$B,0))</f>
        <v>6.6</v>
      </c>
      <c r="AF25" s="203">
        <f t="shared" si="13"/>
        <v>49.366250000000001</v>
      </c>
      <c r="AG25" s="204">
        <f t="shared" si="14"/>
        <v>44.6</v>
      </c>
      <c r="AH25" s="103"/>
      <c r="AI25" s="105">
        <f t="shared" si="15"/>
        <v>2026</v>
      </c>
      <c r="AJ25" s="203">
        <f>W25*'Table 2C SolarFixed'!Capacity_Contr_Solar_Fixed</f>
        <v>15.81</v>
      </c>
      <c r="AK25" s="203">
        <f t="shared" si="16"/>
        <v>51.2</v>
      </c>
      <c r="AL25" s="203">
        <f t="shared" si="0"/>
        <v>2.83</v>
      </c>
      <c r="AM25" s="203">
        <f t="shared" si="17"/>
        <v>64.180000000000007</v>
      </c>
      <c r="AN25" s="204">
        <f t="shared" si="18"/>
        <v>48.370000000000005</v>
      </c>
      <c r="AO25" s="103"/>
      <c r="AP25" s="105">
        <f t="shared" si="19"/>
        <v>2026</v>
      </c>
      <c r="AQ25" s="203">
        <f>W25*'Table 2D SolarTracking'!Capacity_Contr_Solar_Tracking</f>
        <v>19.529999999999998</v>
      </c>
      <c r="AR25" s="203">
        <f t="shared" si="20"/>
        <v>51.2</v>
      </c>
      <c r="AS25" s="203">
        <f t="shared" si="1"/>
        <v>2.1800000000000002</v>
      </c>
      <c r="AT25" s="203">
        <f t="shared" si="30"/>
        <v>68.55</v>
      </c>
      <c r="AU25" s="204">
        <f t="shared" si="31"/>
        <v>49.02</v>
      </c>
    </row>
    <row r="26" spans="2:48" ht="7.5" customHeight="1" x14ac:dyDescent="0.2">
      <c r="B26" s="113"/>
      <c r="C26" s="205"/>
      <c r="D26" s="205"/>
      <c r="E26" s="205"/>
      <c r="F26" s="205"/>
      <c r="G26" s="103"/>
      <c r="H26" s="113"/>
      <c r="I26" s="182"/>
      <c r="J26" s="182"/>
      <c r="K26" s="182"/>
      <c r="L26" s="182"/>
      <c r="M26" s="103"/>
      <c r="N26" s="113"/>
      <c r="O26" s="103"/>
      <c r="P26" s="182"/>
      <c r="Q26" s="182"/>
      <c r="R26" s="182"/>
      <c r="S26" s="182"/>
      <c r="T26" s="103"/>
      <c r="U26" s="113"/>
      <c r="V26" s="103"/>
      <c r="W26" s="182"/>
      <c r="X26" s="182"/>
      <c r="Y26" s="182"/>
      <c r="Z26" s="182"/>
      <c r="AA26" s="103"/>
      <c r="AB26" s="113"/>
      <c r="AC26" s="182"/>
      <c r="AD26" s="182"/>
      <c r="AE26" s="182"/>
      <c r="AF26" s="182"/>
      <c r="AG26" s="182"/>
      <c r="AH26" s="103"/>
      <c r="AI26" s="113"/>
      <c r="AJ26" s="182"/>
      <c r="AK26" s="182"/>
      <c r="AL26" s="182"/>
      <c r="AM26" s="182"/>
      <c r="AN26" s="182"/>
      <c r="AO26" s="103"/>
      <c r="AP26" s="113"/>
      <c r="AQ26" s="182"/>
      <c r="AR26" s="182"/>
      <c r="AS26" s="182"/>
      <c r="AT26" s="182"/>
      <c r="AU26" s="182"/>
    </row>
    <row r="27" spans="2:48" x14ac:dyDescent="0.2">
      <c r="B27" s="23" t="s">
        <v>84</v>
      </c>
      <c r="C27" s="103"/>
      <c r="D27" s="48" t="s">
        <v>81</v>
      </c>
      <c r="E27" s="103"/>
      <c r="F27" s="103"/>
      <c r="G27" s="103"/>
      <c r="H27" s="23" t="s">
        <v>84</v>
      </c>
      <c r="I27" s="182"/>
      <c r="J27" s="87" t="str">
        <f>$I$9&amp;" x "&amp;TEXT('Table 8'!$K$115/1000,"0.000")</f>
        <v>(a) x 6.560</v>
      </c>
      <c r="K27" s="182"/>
      <c r="L27" s="182"/>
      <c r="M27" s="103"/>
      <c r="N27" s="23" t="s">
        <v>84</v>
      </c>
      <c r="O27" s="103"/>
      <c r="P27" s="182"/>
      <c r="Q27" s="182"/>
      <c r="R27" s="182"/>
      <c r="S27" s="182"/>
      <c r="T27" s="103"/>
      <c r="U27" s="23" t="s">
        <v>84</v>
      </c>
      <c r="V27" s="103"/>
      <c r="W27" s="182"/>
      <c r="X27" s="182"/>
      <c r="Y27" s="182"/>
      <c r="Z27" s="182"/>
      <c r="AA27" s="103"/>
      <c r="AB27" s="23" t="s">
        <v>84</v>
      </c>
      <c r="AC27" s="182"/>
      <c r="AD27" s="182"/>
      <c r="AE27" s="182"/>
      <c r="AF27" s="182"/>
      <c r="AG27" s="182"/>
      <c r="AH27" s="103"/>
      <c r="AI27" s="23" t="s">
        <v>84</v>
      </c>
      <c r="AJ27" s="182"/>
      <c r="AK27" s="182"/>
      <c r="AL27" s="182"/>
      <c r="AM27" s="182"/>
      <c r="AN27" s="182"/>
      <c r="AO27" s="103"/>
      <c r="AP27" s="23" t="s">
        <v>84</v>
      </c>
      <c r="AQ27" s="182"/>
      <c r="AR27" s="182"/>
      <c r="AS27" s="182"/>
      <c r="AT27" s="182"/>
      <c r="AU27" s="182"/>
    </row>
    <row r="28" spans="2:48" x14ac:dyDescent="0.2">
      <c r="B28" s="199">
        <f>B25+1</f>
        <v>2027</v>
      </c>
      <c r="C28" s="99">
        <f>INDEX('Table 8'!$H$62:$H$88,MATCH($B28,'Table 8'!$B$62:$B$88,0))</f>
        <v>151.84</v>
      </c>
      <c r="D28" s="99">
        <f>INDEX('Table 8'!$H$10:$H$36,MATCH($B28,'Table 8'!$B$10:$B$36,0))</f>
        <v>143.69</v>
      </c>
      <c r="E28" s="99">
        <f>ROUND((C28-D28)*0.5,2)</f>
        <v>4.08</v>
      </c>
      <c r="F28" s="100">
        <f>ROUND(E28/(8.76*'Table 8'!$D$128),2)</f>
        <v>0.9</v>
      </c>
      <c r="G28" s="103"/>
      <c r="H28" s="199">
        <f t="shared" ref="H28:H39" si="36">$B28</f>
        <v>2027</v>
      </c>
      <c r="I28" s="200">
        <f>INDEX('Table 9'!C:C,MATCH('Tables 3 to 6'!$H28,'Table 9'!B:B,0))</f>
        <v>6.3</v>
      </c>
      <c r="J28" s="200">
        <f>I28*'Table 8'!$K$115/1000</f>
        <v>41.328000000000003</v>
      </c>
      <c r="K28" s="200">
        <f t="shared" ref="K28" si="37">F28</f>
        <v>0.9</v>
      </c>
      <c r="L28" s="201">
        <f t="shared" ref="L28" si="38">J28+K28</f>
        <v>42.228000000000002</v>
      </c>
      <c r="M28" s="103"/>
      <c r="N28" s="199">
        <f t="shared" ref="N28:N39" si="39">$B28</f>
        <v>2027</v>
      </c>
      <c r="O28" s="99">
        <f>D28+E28</f>
        <v>147.77000000000001</v>
      </c>
      <c r="P28" s="200">
        <f t="shared" ref="P28" si="40">L28</f>
        <v>42.228000000000002</v>
      </c>
      <c r="Q28" s="200">
        <f t="shared" ref="Q28:S39" si="41">ROUND($P28+$O28/(8.76*Q$7),2)</f>
        <v>64.72</v>
      </c>
      <c r="R28" s="200">
        <f t="shared" si="41"/>
        <v>62.07</v>
      </c>
      <c r="S28" s="201">
        <f t="shared" si="41"/>
        <v>59.98</v>
      </c>
      <c r="T28" s="103"/>
      <c r="U28" s="199">
        <f t="shared" ref="U28:U39" si="42">$B28</f>
        <v>2027</v>
      </c>
      <c r="V28" s="99">
        <f>D28+E28</f>
        <v>147.77000000000001</v>
      </c>
      <c r="W28" s="200">
        <f>ROUND(V28/(8.76*'Table 8'!$D$129*0.56),2)</f>
        <v>32.49</v>
      </c>
      <c r="X28" s="200">
        <f t="shared" ref="X28" si="43">L28</f>
        <v>42.228000000000002</v>
      </c>
      <c r="Y28" s="200">
        <f t="shared" ref="Y28" si="44">W28+X28</f>
        <v>74.718000000000004</v>
      </c>
      <c r="Z28" s="201">
        <f t="shared" ref="Z28" si="45">X28</f>
        <v>42.228000000000002</v>
      </c>
      <c r="AA28" s="103"/>
      <c r="AB28" s="199">
        <f t="shared" ref="AB28:AB39" si="46">$B28</f>
        <v>2027</v>
      </c>
      <c r="AC28" s="200">
        <f>W28*'Table 2B Wind'!Capacity_Contr_Wind</f>
        <v>6.66045</v>
      </c>
      <c r="AD28" s="200">
        <f t="shared" ref="AD28:AD39" si="47">X28</f>
        <v>42.228000000000002</v>
      </c>
      <c r="AE28" s="200">
        <f>INDEX('Table 12'!$E:$E,MATCH($U28,'Table 12'!$B:$B,0))</f>
        <v>6.76</v>
      </c>
      <c r="AF28" s="200">
        <f t="shared" ref="AF28:AF39" si="48">AC28+AD28-AE28</f>
        <v>42.128450000000001</v>
      </c>
      <c r="AG28" s="201">
        <f t="shared" ref="AG28:AG39" si="49">AD28-AE28</f>
        <v>35.468000000000004</v>
      </c>
      <c r="AH28" s="103"/>
      <c r="AI28" s="199">
        <f t="shared" ref="AI28:AI39" si="50">$B28</f>
        <v>2027</v>
      </c>
      <c r="AJ28" s="200">
        <f>W28*'Table 2C SolarFixed'!Capacity_Contr_Solar_Fixed</f>
        <v>22.093200000000003</v>
      </c>
      <c r="AK28" s="200">
        <f t="shared" ref="AK28:AK39" si="51">X28</f>
        <v>42.228000000000002</v>
      </c>
      <c r="AL28" s="200">
        <f t="shared" ref="AL28:AL39" si="52">Solar_Fixed_integr_cost</f>
        <v>2.83</v>
      </c>
      <c r="AM28" s="200">
        <f t="shared" ref="AM28:AM39" si="53">AJ28+AK28-AL28</f>
        <v>61.491200000000006</v>
      </c>
      <c r="AN28" s="201">
        <f t="shared" ref="AN28:AN39" si="54">AK28-AL28</f>
        <v>39.398000000000003</v>
      </c>
      <c r="AO28" s="103"/>
      <c r="AP28" s="199">
        <f t="shared" ref="AP28:AP39" si="55">$B28</f>
        <v>2027</v>
      </c>
      <c r="AQ28" s="200">
        <f>W28*'Table 2D SolarTracking'!Capacity_Contr_Solar_Tracking</f>
        <v>27.291599999999999</v>
      </c>
      <c r="AR28" s="200">
        <f t="shared" ref="AR28:AR39" si="56">X28</f>
        <v>42.228000000000002</v>
      </c>
      <c r="AS28" s="200">
        <f t="shared" ref="AS28:AS39" si="57">Solar_Tracking_integr_cost</f>
        <v>2.1800000000000002</v>
      </c>
      <c r="AT28" s="200">
        <f t="shared" ref="AT28:AT39" si="58">AQ28+AR28-AS28</f>
        <v>67.33959999999999</v>
      </c>
      <c r="AU28" s="201">
        <f t="shared" ref="AU28:AU39" si="59">AR28-AS28</f>
        <v>40.048000000000002</v>
      </c>
      <c r="AV28" s="70"/>
    </row>
    <row r="29" spans="2:48" x14ac:dyDescent="0.2">
      <c r="B29" s="101">
        <f t="shared" ref="B29:B39" si="60">B28+1</f>
        <v>2028</v>
      </c>
      <c r="C29" s="103">
        <f>INDEX('Table 8'!$H$62:$H$88,MATCH($B29,'Table 8'!$B$62:$B$88,0))</f>
        <v>154.75</v>
      </c>
      <c r="D29" s="103">
        <f>INDEX('Table 8'!$H$10:$H$36,MATCH($B29,'Table 8'!$B$10:$B$36,0))</f>
        <v>146.41999999999999</v>
      </c>
      <c r="E29" s="103">
        <f t="shared" ref="E29:E39" si="61">ROUND((C29-D29)*0.5,2)</f>
        <v>4.17</v>
      </c>
      <c r="F29" s="104">
        <f>ROUND(E29/(8.76*'Table 8'!$D$128),2)</f>
        <v>0.92</v>
      </c>
      <c r="G29" s="103"/>
      <c r="H29" s="101">
        <f t="shared" si="36"/>
        <v>2028</v>
      </c>
      <c r="I29" s="182">
        <f>INDEX('Table 9'!C:C,MATCH('Tables 3 to 6'!$H29,'Table 9'!B:B,0))</f>
        <v>6.54</v>
      </c>
      <c r="J29" s="182">
        <f>I29*'Table 8'!$K$115/1000</f>
        <v>42.9024</v>
      </c>
      <c r="K29" s="182">
        <f t="shared" ref="K29:K39" si="62">F29</f>
        <v>0.92</v>
      </c>
      <c r="L29" s="202">
        <f t="shared" ref="L29:L39" si="63">J29+K29</f>
        <v>43.822400000000002</v>
      </c>
      <c r="M29" s="103"/>
      <c r="N29" s="101">
        <f t="shared" si="39"/>
        <v>2028</v>
      </c>
      <c r="O29" s="103">
        <f t="shared" ref="O29:O39" si="64">D29+E29</f>
        <v>150.58999999999997</v>
      </c>
      <c r="P29" s="182">
        <f t="shared" ref="P29:P39" si="65">L29</f>
        <v>43.822400000000002</v>
      </c>
      <c r="Q29" s="182">
        <f t="shared" si="41"/>
        <v>66.739999999999995</v>
      </c>
      <c r="R29" s="182">
        <f t="shared" si="41"/>
        <v>64.05</v>
      </c>
      <c r="S29" s="202">
        <f t="shared" si="41"/>
        <v>61.92</v>
      </c>
      <c r="T29" s="103"/>
      <c r="U29" s="101">
        <f t="shared" si="42"/>
        <v>2028</v>
      </c>
      <c r="V29" s="103">
        <f t="shared" ref="V29:V39" si="66">D29+E29</f>
        <v>150.58999999999997</v>
      </c>
      <c r="W29" s="182">
        <f>ROUND(V29/(8.76*'Table 8'!$D$129*0.56),2)</f>
        <v>33.11</v>
      </c>
      <c r="X29" s="182">
        <f t="shared" ref="X29:X39" si="67">L29</f>
        <v>43.822400000000002</v>
      </c>
      <c r="Y29" s="182">
        <f t="shared" ref="Y29:Y39" si="68">W29+X29</f>
        <v>76.932400000000001</v>
      </c>
      <c r="Z29" s="202">
        <f t="shared" ref="Z29:Z39" si="69">X29</f>
        <v>43.822400000000002</v>
      </c>
      <c r="AA29" s="103"/>
      <c r="AB29" s="101">
        <f t="shared" si="46"/>
        <v>2028</v>
      </c>
      <c r="AC29" s="182">
        <f>W29*'Table 2B Wind'!Capacity_Contr_Wind</f>
        <v>6.7875499999999995</v>
      </c>
      <c r="AD29" s="182">
        <f t="shared" si="47"/>
        <v>43.822400000000002</v>
      </c>
      <c r="AE29" s="182">
        <f>INDEX('Table 12'!$E:$E,MATCH($U29,'Table 12'!$B:$B,0))</f>
        <v>6.5600000000000005</v>
      </c>
      <c r="AF29" s="182">
        <f t="shared" si="48"/>
        <v>44.049949999999995</v>
      </c>
      <c r="AG29" s="202">
        <f t="shared" si="49"/>
        <v>37.2624</v>
      </c>
      <c r="AH29" s="103"/>
      <c r="AI29" s="101">
        <f t="shared" si="50"/>
        <v>2028</v>
      </c>
      <c r="AJ29" s="182">
        <f>W29*'Table 2C SolarFixed'!Capacity_Contr_Solar_Fixed</f>
        <v>22.514800000000001</v>
      </c>
      <c r="AK29" s="182">
        <f t="shared" si="51"/>
        <v>43.822400000000002</v>
      </c>
      <c r="AL29" s="182">
        <f t="shared" si="52"/>
        <v>2.83</v>
      </c>
      <c r="AM29" s="182">
        <f t="shared" si="53"/>
        <v>63.507199999999997</v>
      </c>
      <c r="AN29" s="202">
        <f t="shared" si="54"/>
        <v>40.992400000000004</v>
      </c>
      <c r="AO29" s="103"/>
      <c r="AP29" s="101">
        <f t="shared" si="55"/>
        <v>2028</v>
      </c>
      <c r="AQ29" s="182">
        <f>W29*'Table 2D SolarTracking'!Capacity_Contr_Solar_Tracking</f>
        <v>27.8124</v>
      </c>
      <c r="AR29" s="182">
        <f t="shared" si="56"/>
        <v>43.822400000000002</v>
      </c>
      <c r="AS29" s="182">
        <f t="shared" si="57"/>
        <v>2.1800000000000002</v>
      </c>
      <c r="AT29" s="182">
        <f t="shared" si="58"/>
        <v>69.454799999999992</v>
      </c>
      <c r="AU29" s="202">
        <f t="shared" si="59"/>
        <v>41.642400000000002</v>
      </c>
    </row>
    <row r="30" spans="2:48" x14ac:dyDescent="0.2">
      <c r="B30" s="101">
        <f t="shared" si="60"/>
        <v>2029</v>
      </c>
      <c r="C30" s="103">
        <f>INDEX('Table 8'!$H$62:$H$88,MATCH($B30,'Table 8'!$B$62:$B$88,0))</f>
        <v>157.69999999999999</v>
      </c>
      <c r="D30" s="103">
        <f>INDEX('Table 8'!$H$10:$H$36,MATCH($B30,'Table 8'!$B$10:$B$36,0))</f>
        <v>149.21</v>
      </c>
      <c r="E30" s="103">
        <f t="shared" si="61"/>
        <v>4.24</v>
      </c>
      <c r="F30" s="104">
        <f>ROUND(E30/(8.76*'Table 8'!$D$128),2)</f>
        <v>0.93</v>
      </c>
      <c r="G30" s="103"/>
      <c r="H30" s="101">
        <f t="shared" si="36"/>
        <v>2029</v>
      </c>
      <c r="I30" s="182">
        <f>INDEX('Table 9'!C:C,MATCH('Tables 3 to 6'!$H30,'Table 9'!B:B,0))</f>
        <v>6.83</v>
      </c>
      <c r="J30" s="182">
        <f>I30*'Table 8'!$K$115/1000</f>
        <v>44.8048</v>
      </c>
      <c r="K30" s="182">
        <f t="shared" si="62"/>
        <v>0.93</v>
      </c>
      <c r="L30" s="202">
        <f t="shared" si="63"/>
        <v>45.7348</v>
      </c>
      <c r="M30" s="103"/>
      <c r="N30" s="101">
        <f t="shared" si="39"/>
        <v>2029</v>
      </c>
      <c r="O30" s="103">
        <f t="shared" si="64"/>
        <v>153.45000000000002</v>
      </c>
      <c r="P30" s="182">
        <f t="shared" si="65"/>
        <v>45.7348</v>
      </c>
      <c r="Q30" s="182">
        <f t="shared" si="41"/>
        <v>69.09</v>
      </c>
      <c r="R30" s="182">
        <f t="shared" si="41"/>
        <v>66.34</v>
      </c>
      <c r="S30" s="202">
        <f t="shared" si="41"/>
        <v>64.17</v>
      </c>
      <c r="T30" s="103"/>
      <c r="U30" s="101">
        <f t="shared" si="42"/>
        <v>2029</v>
      </c>
      <c r="V30" s="103">
        <f t="shared" si="66"/>
        <v>153.45000000000002</v>
      </c>
      <c r="W30" s="182">
        <f>ROUND(V30/(8.76*'Table 8'!$D$129*0.56),2)</f>
        <v>33.74</v>
      </c>
      <c r="X30" s="182">
        <f>L30</f>
        <v>45.7348</v>
      </c>
      <c r="Y30" s="182">
        <f t="shared" si="68"/>
        <v>79.474800000000002</v>
      </c>
      <c r="Z30" s="202">
        <f t="shared" si="69"/>
        <v>45.7348</v>
      </c>
      <c r="AA30" s="103"/>
      <c r="AB30" s="101">
        <f t="shared" si="46"/>
        <v>2029</v>
      </c>
      <c r="AC30" s="182">
        <f>W30*'Table 2B Wind'!Capacity_Contr_Wind</f>
        <v>6.9166999999999996</v>
      </c>
      <c r="AD30" s="182">
        <f t="shared" si="47"/>
        <v>45.7348</v>
      </c>
      <c r="AE30" s="182">
        <f>INDEX('Table 12'!$E:$E,MATCH($U30,'Table 12'!$B:$B,0))</f>
        <v>6.99</v>
      </c>
      <c r="AF30" s="182">
        <f t="shared" si="48"/>
        <v>45.661499999999997</v>
      </c>
      <c r="AG30" s="202">
        <f t="shared" si="49"/>
        <v>38.744799999999998</v>
      </c>
      <c r="AH30" s="103"/>
      <c r="AI30" s="101">
        <f t="shared" si="50"/>
        <v>2029</v>
      </c>
      <c r="AJ30" s="182">
        <f>W30*'Table 2C SolarFixed'!Capacity_Contr_Solar_Fixed</f>
        <v>22.943200000000004</v>
      </c>
      <c r="AK30" s="182">
        <f t="shared" si="51"/>
        <v>45.7348</v>
      </c>
      <c r="AL30" s="182">
        <f t="shared" si="52"/>
        <v>2.83</v>
      </c>
      <c r="AM30" s="182">
        <f t="shared" si="53"/>
        <v>65.847999999999999</v>
      </c>
      <c r="AN30" s="202">
        <f t="shared" si="54"/>
        <v>42.904800000000002</v>
      </c>
      <c r="AO30" s="103"/>
      <c r="AP30" s="101">
        <f t="shared" si="55"/>
        <v>2029</v>
      </c>
      <c r="AQ30" s="182">
        <f>W30*'Table 2D SolarTracking'!Capacity_Contr_Solar_Tracking</f>
        <v>28.3416</v>
      </c>
      <c r="AR30" s="182">
        <f t="shared" si="56"/>
        <v>45.7348</v>
      </c>
      <c r="AS30" s="182">
        <f t="shared" si="57"/>
        <v>2.1800000000000002</v>
      </c>
      <c r="AT30" s="182">
        <f t="shared" si="58"/>
        <v>71.8964</v>
      </c>
      <c r="AU30" s="202">
        <f t="shared" si="59"/>
        <v>43.5548</v>
      </c>
    </row>
    <row r="31" spans="2:48" x14ac:dyDescent="0.2">
      <c r="B31" s="101">
        <f t="shared" si="60"/>
        <v>2030</v>
      </c>
      <c r="C31" s="103">
        <f>INDEX('Table 8'!$H$62:$H$88,MATCH($B31,'Table 8'!$B$62:$B$88,0))</f>
        <v>160.69999999999999</v>
      </c>
      <c r="D31" s="103">
        <f>INDEX('Table 8'!$H$10:$H$36,MATCH($B31,'Table 8'!$B$10:$B$36,0))</f>
        <v>152.04</v>
      </c>
      <c r="E31" s="103">
        <f t="shared" si="61"/>
        <v>4.33</v>
      </c>
      <c r="F31" s="104">
        <f>ROUND(E31/(8.76*'Table 8'!$D$128),2)</f>
        <v>0.95</v>
      </c>
      <c r="G31" s="103"/>
      <c r="H31" s="101">
        <f t="shared" si="36"/>
        <v>2030</v>
      </c>
      <c r="I31" s="182">
        <f>INDEX('Table 9'!C:C,MATCH('Tables 3 to 6'!$H31,'Table 9'!B:B,0))</f>
        <v>7.12</v>
      </c>
      <c r="J31" s="182">
        <f>I31*'Table 8'!$K$115/1000</f>
        <v>46.7072</v>
      </c>
      <c r="K31" s="182">
        <f t="shared" si="62"/>
        <v>0.95</v>
      </c>
      <c r="L31" s="202">
        <f t="shared" si="63"/>
        <v>47.657200000000003</v>
      </c>
      <c r="M31" s="103"/>
      <c r="N31" s="101">
        <f t="shared" si="39"/>
        <v>2030</v>
      </c>
      <c r="O31" s="103">
        <f t="shared" si="64"/>
        <v>156.37</v>
      </c>
      <c r="P31" s="182">
        <f t="shared" si="65"/>
        <v>47.657200000000003</v>
      </c>
      <c r="Q31" s="182">
        <f t="shared" si="41"/>
        <v>71.459999999999994</v>
      </c>
      <c r="R31" s="182">
        <f t="shared" si="41"/>
        <v>68.66</v>
      </c>
      <c r="S31" s="202">
        <f t="shared" si="41"/>
        <v>66.45</v>
      </c>
      <c r="T31" s="103"/>
      <c r="U31" s="101">
        <f t="shared" si="42"/>
        <v>2030</v>
      </c>
      <c r="V31" s="103">
        <f t="shared" si="66"/>
        <v>156.37</v>
      </c>
      <c r="W31" s="182">
        <f>ROUND(V31/(8.76*'Table 8'!$D$129*0.56),2)</f>
        <v>34.39</v>
      </c>
      <c r="X31" s="182">
        <f t="shared" si="67"/>
        <v>47.657200000000003</v>
      </c>
      <c r="Y31" s="182">
        <f t="shared" si="68"/>
        <v>82.047200000000004</v>
      </c>
      <c r="Z31" s="202">
        <f t="shared" si="69"/>
        <v>47.657200000000003</v>
      </c>
      <c r="AA31" s="103"/>
      <c r="AB31" s="101">
        <f t="shared" si="46"/>
        <v>2030</v>
      </c>
      <c r="AC31" s="182">
        <f>W31*'Table 2B Wind'!Capacity_Contr_Wind</f>
        <v>7.0499499999999999</v>
      </c>
      <c r="AD31" s="182">
        <f t="shared" si="47"/>
        <v>47.657200000000003</v>
      </c>
      <c r="AE31" s="182">
        <f>INDEX('Table 12'!$E:$E,MATCH($U31,'Table 12'!$B:$B,0))</f>
        <v>6.78</v>
      </c>
      <c r="AF31" s="182">
        <f t="shared" si="48"/>
        <v>47.927150000000005</v>
      </c>
      <c r="AG31" s="202">
        <f t="shared" si="49"/>
        <v>40.877200000000002</v>
      </c>
      <c r="AH31" s="103"/>
      <c r="AI31" s="101">
        <f t="shared" si="50"/>
        <v>2030</v>
      </c>
      <c r="AJ31" s="182">
        <f>W31*'Table 2C SolarFixed'!Capacity_Contr_Solar_Fixed</f>
        <v>23.385200000000001</v>
      </c>
      <c r="AK31" s="182">
        <f t="shared" si="51"/>
        <v>47.657200000000003</v>
      </c>
      <c r="AL31" s="182">
        <f t="shared" si="52"/>
        <v>2.83</v>
      </c>
      <c r="AM31" s="182">
        <f t="shared" si="53"/>
        <v>68.212400000000002</v>
      </c>
      <c r="AN31" s="202">
        <f t="shared" si="54"/>
        <v>44.827200000000005</v>
      </c>
      <c r="AO31" s="103"/>
      <c r="AP31" s="101">
        <f t="shared" si="55"/>
        <v>2030</v>
      </c>
      <c r="AQ31" s="182">
        <f>W31*'Table 2D SolarTracking'!Capacity_Contr_Solar_Tracking</f>
        <v>28.887599999999999</v>
      </c>
      <c r="AR31" s="182">
        <f t="shared" si="56"/>
        <v>47.657200000000003</v>
      </c>
      <c r="AS31" s="182">
        <f t="shared" si="57"/>
        <v>2.1800000000000002</v>
      </c>
      <c r="AT31" s="182">
        <f t="shared" si="58"/>
        <v>74.364800000000002</v>
      </c>
      <c r="AU31" s="202">
        <f t="shared" si="59"/>
        <v>45.477200000000003</v>
      </c>
    </row>
    <row r="32" spans="2:48" x14ac:dyDescent="0.2">
      <c r="B32" s="101">
        <f t="shared" si="60"/>
        <v>2031</v>
      </c>
      <c r="C32" s="103">
        <f>INDEX('Table 8'!$H$62:$H$88,MATCH($B32,'Table 8'!$B$62:$B$88,0))</f>
        <v>163.9</v>
      </c>
      <c r="D32" s="103">
        <f>INDEX('Table 8'!$H$10:$H$36,MATCH($B32,'Table 8'!$B$10:$B$36,0))</f>
        <v>155.08000000000001</v>
      </c>
      <c r="E32" s="103">
        <f t="shared" si="61"/>
        <v>4.41</v>
      </c>
      <c r="F32" s="104">
        <f>ROUND(E32/(8.76*'Table 8'!$D$128),2)</f>
        <v>0.97</v>
      </c>
      <c r="G32" s="103"/>
      <c r="H32" s="101">
        <f t="shared" si="36"/>
        <v>2031</v>
      </c>
      <c r="I32" s="182">
        <f>INDEX('Table 9'!C:C,MATCH('Tables 3 to 6'!$H32,'Table 9'!B:B,0))</f>
        <v>7.27</v>
      </c>
      <c r="J32" s="182">
        <f>I32*'Table 8'!$K$115/1000</f>
        <v>47.691199999999995</v>
      </c>
      <c r="K32" s="182">
        <f t="shared" si="62"/>
        <v>0.97</v>
      </c>
      <c r="L32" s="202">
        <f t="shared" si="63"/>
        <v>48.661199999999994</v>
      </c>
      <c r="M32" s="103"/>
      <c r="N32" s="101">
        <f t="shared" si="39"/>
        <v>2031</v>
      </c>
      <c r="O32" s="103">
        <f t="shared" si="64"/>
        <v>159.49</v>
      </c>
      <c r="P32" s="182">
        <f t="shared" si="65"/>
        <v>48.661199999999994</v>
      </c>
      <c r="Q32" s="182">
        <f t="shared" si="41"/>
        <v>72.94</v>
      </c>
      <c r="R32" s="182">
        <f t="shared" si="41"/>
        <v>70.08</v>
      </c>
      <c r="S32" s="202">
        <f t="shared" si="41"/>
        <v>67.83</v>
      </c>
      <c r="T32" s="103"/>
      <c r="U32" s="101">
        <f t="shared" si="42"/>
        <v>2031</v>
      </c>
      <c r="V32" s="103">
        <f t="shared" si="66"/>
        <v>159.49</v>
      </c>
      <c r="W32" s="182">
        <f>ROUND(V32/(8.76*'Table 8'!$D$129*0.56),2)</f>
        <v>35.07</v>
      </c>
      <c r="X32" s="182">
        <f t="shared" si="67"/>
        <v>48.661199999999994</v>
      </c>
      <c r="Y32" s="182">
        <f t="shared" si="68"/>
        <v>83.731200000000001</v>
      </c>
      <c r="Z32" s="202">
        <f t="shared" si="69"/>
        <v>48.661199999999994</v>
      </c>
      <c r="AA32" s="103"/>
      <c r="AB32" s="101">
        <f t="shared" si="46"/>
        <v>2031</v>
      </c>
      <c r="AC32" s="182">
        <f>W32*'Table 2B Wind'!Capacity_Contr_Wind</f>
        <v>7.1893499999999992</v>
      </c>
      <c r="AD32" s="182">
        <f t="shared" si="47"/>
        <v>48.661199999999994</v>
      </c>
      <c r="AE32" s="182">
        <f>INDEX('Table 12'!$E:$E,MATCH($U32,'Table 12'!$B:$B,0))</f>
        <v>7.58</v>
      </c>
      <c r="AF32" s="182">
        <f t="shared" si="48"/>
        <v>48.270549999999993</v>
      </c>
      <c r="AG32" s="202">
        <f t="shared" si="49"/>
        <v>41.081199999999995</v>
      </c>
      <c r="AH32" s="103"/>
      <c r="AI32" s="101">
        <f t="shared" si="50"/>
        <v>2031</v>
      </c>
      <c r="AJ32" s="182">
        <f>W32*'Table 2C SolarFixed'!Capacity_Contr_Solar_Fixed</f>
        <v>23.847600000000003</v>
      </c>
      <c r="AK32" s="182">
        <f t="shared" si="51"/>
        <v>48.661199999999994</v>
      </c>
      <c r="AL32" s="182">
        <f t="shared" si="52"/>
        <v>2.83</v>
      </c>
      <c r="AM32" s="182">
        <f t="shared" si="53"/>
        <v>69.678799999999995</v>
      </c>
      <c r="AN32" s="202">
        <f t="shared" si="54"/>
        <v>45.831199999999995</v>
      </c>
      <c r="AO32" s="103"/>
      <c r="AP32" s="101">
        <f t="shared" si="55"/>
        <v>2031</v>
      </c>
      <c r="AQ32" s="182">
        <f>W32*'Table 2D SolarTracking'!Capacity_Contr_Solar_Tracking</f>
        <v>29.4588</v>
      </c>
      <c r="AR32" s="182">
        <f t="shared" si="56"/>
        <v>48.661199999999994</v>
      </c>
      <c r="AS32" s="182">
        <f t="shared" si="57"/>
        <v>2.1800000000000002</v>
      </c>
      <c r="AT32" s="182">
        <f t="shared" si="58"/>
        <v>75.939999999999984</v>
      </c>
      <c r="AU32" s="202">
        <f t="shared" si="59"/>
        <v>46.481199999999994</v>
      </c>
    </row>
    <row r="33" spans="2:47" x14ac:dyDescent="0.2">
      <c r="B33" s="101">
        <f t="shared" si="60"/>
        <v>2032</v>
      </c>
      <c r="C33" s="103">
        <f>INDEX('Table 8'!$H$62:$H$88,MATCH($B33,'Table 8'!$B$62:$B$88,0))</f>
        <v>167.16</v>
      </c>
      <c r="D33" s="103">
        <f>INDEX('Table 8'!$H$10:$H$36,MATCH($B33,'Table 8'!$B$10:$B$36,0))</f>
        <v>158.19</v>
      </c>
      <c r="E33" s="103">
        <f t="shared" si="61"/>
        <v>4.49</v>
      </c>
      <c r="F33" s="104">
        <f>ROUND(E33/(8.76*'Table 8'!$D$128),2)</f>
        <v>0.99</v>
      </c>
      <c r="G33" s="103"/>
      <c r="H33" s="101">
        <f t="shared" si="36"/>
        <v>2032</v>
      </c>
      <c r="I33" s="182">
        <f>INDEX('Table 9'!C:C,MATCH('Tables 3 to 6'!$H33,'Table 9'!B:B,0))</f>
        <v>7.41</v>
      </c>
      <c r="J33" s="182">
        <f>I33*'Table 8'!$K$115/1000</f>
        <v>48.6096</v>
      </c>
      <c r="K33" s="182">
        <f t="shared" si="62"/>
        <v>0.99</v>
      </c>
      <c r="L33" s="202">
        <f t="shared" si="63"/>
        <v>49.599600000000002</v>
      </c>
      <c r="M33" s="103"/>
      <c r="N33" s="101">
        <f t="shared" si="39"/>
        <v>2032</v>
      </c>
      <c r="O33" s="103">
        <f t="shared" ref="O33:O34" si="70">D33+E33</f>
        <v>162.68</v>
      </c>
      <c r="P33" s="182">
        <f t="shared" ref="P33:P34" si="71">L33</f>
        <v>49.599600000000002</v>
      </c>
      <c r="Q33" s="182">
        <f t="shared" si="41"/>
        <v>74.36</v>
      </c>
      <c r="R33" s="182">
        <f t="shared" si="41"/>
        <v>71.45</v>
      </c>
      <c r="S33" s="202">
        <f t="shared" si="41"/>
        <v>69.150000000000006</v>
      </c>
      <c r="T33" s="103"/>
      <c r="U33" s="101">
        <f t="shared" si="42"/>
        <v>2032</v>
      </c>
      <c r="V33" s="103">
        <f t="shared" si="66"/>
        <v>162.68</v>
      </c>
      <c r="W33" s="182">
        <f>ROUND(V33/(8.76*'Table 8'!$D$129*0.56),2)</f>
        <v>35.770000000000003</v>
      </c>
      <c r="X33" s="182">
        <f t="shared" si="67"/>
        <v>49.599600000000002</v>
      </c>
      <c r="Y33" s="182">
        <f t="shared" si="68"/>
        <v>85.369600000000005</v>
      </c>
      <c r="Z33" s="202">
        <f t="shared" si="69"/>
        <v>49.599600000000002</v>
      </c>
      <c r="AA33" s="103"/>
      <c r="AB33" s="101">
        <f t="shared" si="46"/>
        <v>2032</v>
      </c>
      <c r="AC33" s="182">
        <f>W33*'Table 2B Wind'!Capacity_Contr_Wind</f>
        <v>7.3328500000000005</v>
      </c>
      <c r="AD33" s="182">
        <f t="shared" si="47"/>
        <v>49.599600000000002</v>
      </c>
      <c r="AE33" s="182">
        <f>INDEX('Table 12'!$E:$E,MATCH($U33,'Table 12'!$B:$B,0))</f>
        <v>7.8699999999999992</v>
      </c>
      <c r="AF33" s="182">
        <f t="shared" si="48"/>
        <v>49.062450000000005</v>
      </c>
      <c r="AG33" s="202">
        <f t="shared" si="49"/>
        <v>41.729600000000005</v>
      </c>
      <c r="AH33" s="103"/>
      <c r="AI33" s="101">
        <f t="shared" si="50"/>
        <v>2032</v>
      </c>
      <c r="AJ33" s="182">
        <f>W33*'Table 2C SolarFixed'!Capacity_Contr_Solar_Fixed</f>
        <v>24.323600000000003</v>
      </c>
      <c r="AK33" s="182">
        <f t="shared" si="51"/>
        <v>49.599600000000002</v>
      </c>
      <c r="AL33" s="182">
        <f t="shared" si="52"/>
        <v>2.83</v>
      </c>
      <c r="AM33" s="182">
        <f t="shared" si="53"/>
        <v>71.09320000000001</v>
      </c>
      <c r="AN33" s="202">
        <f t="shared" si="54"/>
        <v>46.769600000000004</v>
      </c>
      <c r="AO33" s="103"/>
      <c r="AP33" s="101">
        <f t="shared" si="55"/>
        <v>2032</v>
      </c>
      <c r="AQ33" s="182">
        <f>W33*'Table 2D SolarTracking'!Capacity_Contr_Solar_Tracking</f>
        <v>30.046800000000001</v>
      </c>
      <c r="AR33" s="182">
        <f t="shared" si="56"/>
        <v>49.599600000000002</v>
      </c>
      <c r="AS33" s="182">
        <f t="shared" si="57"/>
        <v>2.1800000000000002</v>
      </c>
      <c r="AT33" s="182">
        <f t="shared" si="58"/>
        <v>77.466399999999993</v>
      </c>
      <c r="AU33" s="202">
        <f t="shared" si="59"/>
        <v>47.419600000000003</v>
      </c>
    </row>
    <row r="34" spans="2:47" x14ac:dyDescent="0.2">
      <c r="B34" s="101">
        <f t="shared" si="60"/>
        <v>2033</v>
      </c>
      <c r="C34" s="103">
        <f>INDEX('Table 8'!$H$62:$H$88,MATCH($B34,'Table 8'!$B$62:$B$88,0))</f>
        <v>170.52</v>
      </c>
      <c r="D34" s="103">
        <f>INDEX('Table 8'!$H$10:$H$36,MATCH($B34,'Table 8'!$B$10:$B$36,0))</f>
        <v>161.35</v>
      </c>
      <c r="E34" s="103">
        <f t="shared" si="61"/>
        <v>4.59</v>
      </c>
      <c r="F34" s="104">
        <f>ROUND(E34/(8.76*'Table 8'!$D$128),2)</f>
        <v>1.01</v>
      </c>
      <c r="G34" s="103"/>
      <c r="H34" s="101">
        <f t="shared" si="36"/>
        <v>2033</v>
      </c>
      <c r="I34" s="182">
        <f>INDEX('Table 9'!C:C,MATCH('Tables 3 to 6'!$H34,'Table 9'!B:B,0))</f>
        <v>7.56</v>
      </c>
      <c r="J34" s="182">
        <f>I34*'Table 8'!$K$115/1000</f>
        <v>49.593599999999995</v>
      </c>
      <c r="K34" s="182">
        <f t="shared" si="62"/>
        <v>1.01</v>
      </c>
      <c r="L34" s="202">
        <f t="shared" si="63"/>
        <v>50.603599999999993</v>
      </c>
      <c r="M34" s="103"/>
      <c r="N34" s="101">
        <f t="shared" si="39"/>
        <v>2033</v>
      </c>
      <c r="O34" s="103">
        <f t="shared" si="70"/>
        <v>165.94</v>
      </c>
      <c r="P34" s="182">
        <f t="shared" si="71"/>
        <v>50.603599999999993</v>
      </c>
      <c r="Q34" s="182">
        <f t="shared" si="41"/>
        <v>75.86</v>
      </c>
      <c r="R34" s="182">
        <f t="shared" si="41"/>
        <v>72.89</v>
      </c>
      <c r="S34" s="202">
        <f t="shared" si="41"/>
        <v>70.540000000000006</v>
      </c>
      <c r="T34" s="103"/>
      <c r="U34" s="101">
        <f t="shared" si="42"/>
        <v>2033</v>
      </c>
      <c r="V34" s="103">
        <f t="shared" si="66"/>
        <v>165.94</v>
      </c>
      <c r="W34" s="182">
        <f>ROUND(V34/(8.76*'Table 8'!$D$129*0.56),2)</f>
        <v>36.49</v>
      </c>
      <c r="X34" s="182">
        <f t="shared" si="67"/>
        <v>50.603599999999993</v>
      </c>
      <c r="Y34" s="182">
        <f t="shared" si="68"/>
        <v>87.093599999999995</v>
      </c>
      <c r="Z34" s="202">
        <f t="shared" si="69"/>
        <v>50.603599999999993</v>
      </c>
      <c r="AA34" s="103"/>
      <c r="AB34" s="101">
        <f t="shared" si="46"/>
        <v>2033</v>
      </c>
      <c r="AC34" s="182">
        <f>W34*'Table 2B Wind'!Capacity_Contr_Wind</f>
        <v>7.4804500000000003</v>
      </c>
      <c r="AD34" s="182">
        <f t="shared" si="47"/>
        <v>50.603599999999993</v>
      </c>
      <c r="AE34" s="182">
        <f>INDEX('Table 12'!$E:$E,MATCH($U34,'Table 12'!$B:$B,0))</f>
        <v>8.34</v>
      </c>
      <c r="AF34" s="182">
        <f t="shared" si="48"/>
        <v>49.744049999999987</v>
      </c>
      <c r="AG34" s="202">
        <f t="shared" si="49"/>
        <v>42.263599999999997</v>
      </c>
      <c r="AH34" s="103"/>
      <c r="AI34" s="101">
        <f t="shared" si="50"/>
        <v>2033</v>
      </c>
      <c r="AJ34" s="182">
        <f>W34*'Table 2C SolarFixed'!Capacity_Contr_Solar_Fixed</f>
        <v>24.813200000000002</v>
      </c>
      <c r="AK34" s="182">
        <f t="shared" si="51"/>
        <v>50.603599999999993</v>
      </c>
      <c r="AL34" s="182">
        <f t="shared" si="52"/>
        <v>2.83</v>
      </c>
      <c r="AM34" s="182">
        <f t="shared" si="53"/>
        <v>72.586799999999997</v>
      </c>
      <c r="AN34" s="202">
        <f t="shared" si="54"/>
        <v>47.773599999999995</v>
      </c>
      <c r="AO34" s="103"/>
      <c r="AP34" s="101">
        <f t="shared" si="55"/>
        <v>2033</v>
      </c>
      <c r="AQ34" s="182">
        <f>W34*'Table 2D SolarTracking'!Capacity_Contr_Solar_Tracking</f>
        <v>30.651600000000002</v>
      </c>
      <c r="AR34" s="182">
        <f t="shared" si="56"/>
        <v>50.603599999999993</v>
      </c>
      <c r="AS34" s="182">
        <f t="shared" si="57"/>
        <v>2.1800000000000002</v>
      </c>
      <c r="AT34" s="182">
        <f t="shared" si="58"/>
        <v>79.075199999999995</v>
      </c>
      <c r="AU34" s="202">
        <f t="shared" si="59"/>
        <v>48.423599999999993</v>
      </c>
    </row>
    <row r="35" spans="2:47" x14ac:dyDescent="0.2">
      <c r="B35" s="101">
        <f t="shared" si="60"/>
        <v>2034</v>
      </c>
      <c r="C35" s="103">
        <f>INDEX('Table 8'!$H$62:$H$88,MATCH($B35,'Table 8'!$B$62:$B$88,0))</f>
        <v>173.95</v>
      </c>
      <c r="D35" s="103">
        <f>INDEX('Table 8'!$H$10:$H$36,MATCH($B35,'Table 8'!$B$10:$B$36,0))</f>
        <v>164.58</v>
      </c>
      <c r="E35" s="103">
        <f t="shared" si="61"/>
        <v>4.68</v>
      </c>
      <c r="F35" s="104">
        <f>ROUND(E35/(8.76*'Table 8'!$D$128),2)</f>
        <v>1.03</v>
      </c>
      <c r="G35" s="103"/>
      <c r="H35" s="101">
        <f t="shared" si="36"/>
        <v>2034</v>
      </c>
      <c r="I35" s="182">
        <f>INDEX('Table 9'!C:C,MATCH('Tables 3 to 6'!$H35,'Table 9'!B:B,0))</f>
        <v>7.71</v>
      </c>
      <c r="J35" s="182">
        <f>I35*'Table 8'!$K$115/1000</f>
        <v>50.577599999999997</v>
      </c>
      <c r="K35" s="182">
        <f t="shared" si="62"/>
        <v>1.03</v>
      </c>
      <c r="L35" s="202">
        <f t="shared" si="63"/>
        <v>51.607599999999998</v>
      </c>
      <c r="M35" s="103"/>
      <c r="N35" s="101">
        <f t="shared" si="39"/>
        <v>2034</v>
      </c>
      <c r="O35" s="103">
        <f t="shared" si="64"/>
        <v>169.26000000000002</v>
      </c>
      <c r="P35" s="182">
        <f t="shared" si="65"/>
        <v>51.607599999999998</v>
      </c>
      <c r="Q35" s="182">
        <f t="shared" si="41"/>
        <v>77.37</v>
      </c>
      <c r="R35" s="182">
        <f t="shared" si="41"/>
        <v>74.34</v>
      </c>
      <c r="S35" s="202">
        <f t="shared" si="41"/>
        <v>71.95</v>
      </c>
      <c r="T35" s="103"/>
      <c r="U35" s="101">
        <f t="shared" si="42"/>
        <v>2034</v>
      </c>
      <c r="V35" s="103">
        <f t="shared" si="66"/>
        <v>169.26000000000002</v>
      </c>
      <c r="W35" s="182">
        <f>ROUND(V35/(8.76*'Table 8'!$D$129*0.56),2)</f>
        <v>37.22</v>
      </c>
      <c r="X35" s="182">
        <f t="shared" si="67"/>
        <v>51.607599999999998</v>
      </c>
      <c r="Y35" s="182">
        <f t="shared" si="68"/>
        <v>88.82759999999999</v>
      </c>
      <c r="Z35" s="202">
        <f t="shared" si="69"/>
        <v>51.607599999999998</v>
      </c>
      <c r="AA35" s="103"/>
      <c r="AB35" s="101">
        <f t="shared" si="46"/>
        <v>2034</v>
      </c>
      <c r="AC35" s="182">
        <f>W35*'Table 2B Wind'!Capacity_Contr_Wind</f>
        <v>7.6300999999999997</v>
      </c>
      <c r="AD35" s="182">
        <f t="shared" si="47"/>
        <v>51.607599999999998</v>
      </c>
      <c r="AE35" s="182">
        <f>INDEX('Table 12'!$E:$E,MATCH($U35,'Table 12'!$B:$B,0))</f>
        <v>8.51</v>
      </c>
      <c r="AF35" s="182">
        <f t="shared" si="48"/>
        <v>50.727699999999999</v>
      </c>
      <c r="AG35" s="202">
        <f t="shared" si="49"/>
        <v>43.0976</v>
      </c>
      <c r="AH35" s="103"/>
      <c r="AI35" s="101">
        <f t="shared" si="50"/>
        <v>2034</v>
      </c>
      <c r="AJ35" s="182">
        <f>W35*'Table 2C SolarFixed'!Capacity_Contr_Solar_Fixed</f>
        <v>25.3096</v>
      </c>
      <c r="AK35" s="182">
        <f t="shared" si="51"/>
        <v>51.607599999999998</v>
      </c>
      <c r="AL35" s="182">
        <f t="shared" si="52"/>
        <v>2.83</v>
      </c>
      <c r="AM35" s="182">
        <f t="shared" si="53"/>
        <v>74.087199999999996</v>
      </c>
      <c r="AN35" s="202">
        <f t="shared" si="54"/>
        <v>48.7776</v>
      </c>
      <c r="AO35" s="103"/>
      <c r="AP35" s="101">
        <f t="shared" si="55"/>
        <v>2034</v>
      </c>
      <c r="AQ35" s="182">
        <f>W35*'Table 2D SolarTracking'!Capacity_Contr_Solar_Tracking</f>
        <v>31.264799999999997</v>
      </c>
      <c r="AR35" s="182">
        <f t="shared" si="56"/>
        <v>51.607599999999998</v>
      </c>
      <c r="AS35" s="182">
        <f t="shared" si="57"/>
        <v>2.1800000000000002</v>
      </c>
      <c r="AT35" s="182">
        <f t="shared" si="58"/>
        <v>80.692399999999992</v>
      </c>
      <c r="AU35" s="202">
        <f t="shared" si="59"/>
        <v>49.427599999999998</v>
      </c>
    </row>
    <row r="36" spans="2:47" x14ac:dyDescent="0.2">
      <c r="B36" s="101">
        <f t="shared" si="60"/>
        <v>2035</v>
      </c>
      <c r="C36" s="103">
        <f>INDEX('Table 8'!$H$62:$H$88,MATCH($B36,'Table 8'!$B$62:$B$88,0))</f>
        <v>177.43</v>
      </c>
      <c r="D36" s="103">
        <f>INDEX('Table 8'!$H$10:$H$36,MATCH($B36,'Table 8'!$B$10:$B$36,0))</f>
        <v>167.86</v>
      </c>
      <c r="E36" s="103">
        <f t="shared" si="61"/>
        <v>4.79</v>
      </c>
      <c r="F36" s="104">
        <f>ROUND(E36/(8.76*'Table 8'!$D$128),2)</f>
        <v>1.05</v>
      </c>
      <c r="G36" s="103"/>
      <c r="H36" s="101">
        <f t="shared" si="36"/>
        <v>2035</v>
      </c>
      <c r="I36" s="182">
        <f>INDEX('Table 9'!C:C,MATCH('Tables 3 to 6'!$H36,'Table 9'!B:B,0))</f>
        <v>7.86</v>
      </c>
      <c r="J36" s="182">
        <f>I36*'Table 8'!$K$115/1000</f>
        <v>51.561599999999999</v>
      </c>
      <c r="K36" s="182">
        <f t="shared" si="62"/>
        <v>1.05</v>
      </c>
      <c r="L36" s="202">
        <f t="shared" si="63"/>
        <v>52.611599999999996</v>
      </c>
      <c r="M36" s="103"/>
      <c r="N36" s="101">
        <f t="shared" si="39"/>
        <v>2035</v>
      </c>
      <c r="O36" s="103">
        <f t="shared" si="64"/>
        <v>172.65</v>
      </c>
      <c r="P36" s="182">
        <f t="shared" si="65"/>
        <v>52.611599999999996</v>
      </c>
      <c r="Q36" s="182">
        <f t="shared" si="41"/>
        <v>78.89</v>
      </c>
      <c r="R36" s="182">
        <f t="shared" si="41"/>
        <v>75.8</v>
      </c>
      <c r="S36" s="202">
        <f t="shared" si="41"/>
        <v>73.36</v>
      </c>
      <c r="T36" s="103"/>
      <c r="U36" s="101">
        <f t="shared" si="42"/>
        <v>2035</v>
      </c>
      <c r="V36" s="103">
        <f t="shared" si="66"/>
        <v>172.65</v>
      </c>
      <c r="W36" s="182">
        <f>ROUND(V36/(8.76*'Table 8'!$D$129*0.56),2)</f>
        <v>37.97</v>
      </c>
      <c r="X36" s="182">
        <f t="shared" si="67"/>
        <v>52.611599999999996</v>
      </c>
      <c r="Y36" s="182">
        <f t="shared" si="68"/>
        <v>90.581599999999995</v>
      </c>
      <c r="Z36" s="202">
        <f t="shared" si="69"/>
        <v>52.611599999999996</v>
      </c>
      <c r="AA36" s="103"/>
      <c r="AB36" s="101">
        <f t="shared" si="46"/>
        <v>2035</v>
      </c>
      <c r="AC36" s="182">
        <f>W36*'Table 2B Wind'!Capacity_Contr_Wind</f>
        <v>7.7838499999999993</v>
      </c>
      <c r="AD36" s="182">
        <f t="shared" si="47"/>
        <v>52.611599999999996</v>
      </c>
      <c r="AE36" s="182">
        <f>INDEX('Table 12'!$E:$E,MATCH($U36,'Table 12'!$B:$B,0))</f>
        <v>8.69</v>
      </c>
      <c r="AF36" s="182">
        <f t="shared" si="48"/>
        <v>51.705449999999999</v>
      </c>
      <c r="AG36" s="202">
        <f t="shared" si="49"/>
        <v>43.921599999999998</v>
      </c>
      <c r="AH36" s="103"/>
      <c r="AI36" s="101">
        <f t="shared" si="50"/>
        <v>2035</v>
      </c>
      <c r="AJ36" s="182">
        <f>W36*'Table 2C SolarFixed'!Capacity_Contr_Solar_Fixed</f>
        <v>25.819600000000001</v>
      </c>
      <c r="AK36" s="182">
        <f t="shared" si="51"/>
        <v>52.611599999999996</v>
      </c>
      <c r="AL36" s="182">
        <f t="shared" si="52"/>
        <v>2.83</v>
      </c>
      <c r="AM36" s="182">
        <f t="shared" si="53"/>
        <v>75.601199999999992</v>
      </c>
      <c r="AN36" s="202">
        <f t="shared" si="54"/>
        <v>49.781599999999997</v>
      </c>
      <c r="AO36" s="103"/>
      <c r="AP36" s="101">
        <f t="shared" si="55"/>
        <v>2035</v>
      </c>
      <c r="AQ36" s="182">
        <f>W36*'Table 2D SolarTracking'!Capacity_Contr_Solar_Tracking</f>
        <v>31.894799999999996</v>
      </c>
      <c r="AR36" s="182">
        <f t="shared" si="56"/>
        <v>52.611599999999996</v>
      </c>
      <c r="AS36" s="182">
        <f t="shared" si="57"/>
        <v>2.1800000000000002</v>
      </c>
      <c r="AT36" s="182">
        <f t="shared" si="58"/>
        <v>82.326399999999978</v>
      </c>
      <c r="AU36" s="202">
        <f t="shared" si="59"/>
        <v>50.431599999999996</v>
      </c>
    </row>
    <row r="37" spans="2:47" x14ac:dyDescent="0.2">
      <c r="B37" s="101">
        <f t="shared" si="60"/>
        <v>2036</v>
      </c>
      <c r="C37" s="103">
        <f>INDEX('Table 8'!$H$62:$H$88,MATCH($B37,'Table 8'!$B$62:$B$88,0))</f>
        <v>181.14</v>
      </c>
      <c r="D37" s="103">
        <f>INDEX('Table 8'!$H$10:$H$36,MATCH($B37,'Table 8'!$B$10:$B$36,0))</f>
        <v>171.4</v>
      </c>
      <c r="E37" s="103">
        <f t="shared" si="61"/>
        <v>4.87</v>
      </c>
      <c r="F37" s="104">
        <f>ROUND(E37/(8.76*'Table 8'!$D$128),2)</f>
        <v>1.07</v>
      </c>
      <c r="G37" s="103"/>
      <c r="H37" s="101">
        <f t="shared" si="36"/>
        <v>2036</v>
      </c>
      <c r="I37" s="182">
        <f>INDEX('Table 9'!C:C,MATCH('Tables 3 to 6'!$H37,'Table 9'!B:B,0))</f>
        <v>8.0299999999999994</v>
      </c>
      <c r="J37" s="182">
        <f>I37*'Table 8'!$K$115/1000</f>
        <v>52.676799999999993</v>
      </c>
      <c r="K37" s="182">
        <f t="shared" si="62"/>
        <v>1.07</v>
      </c>
      <c r="L37" s="202">
        <f t="shared" si="63"/>
        <v>53.746799999999993</v>
      </c>
      <c r="M37" s="103"/>
      <c r="N37" s="101">
        <f t="shared" si="39"/>
        <v>2036</v>
      </c>
      <c r="O37" s="103">
        <f t="shared" si="64"/>
        <v>176.27</v>
      </c>
      <c r="P37" s="182">
        <f t="shared" si="65"/>
        <v>53.746799999999993</v>
      </c>
      <c r="Q37" s="182">
        <f t="shared" si="41"/>
        <v>80.58</v>
      </c>
      <c r="R37" s="182">
        <f t="shared" si="41"/>
        <v>77.42</v>
      </c>
      <c r="S37" s="202">
        <f t="shared" si="41"/>
        <v>74.930000000000007</v>
      </c>
      <c r="T37" s="103"/>
      <c r="U37" s="101">
        <f t="shared" si="42"/>
        <v>2036</v>
      </c>
      <c r="V37" s="103">
        <f t="shared" si="66"/>
        <v>176.27</v>
      </c>
      <c r="W37" s="182">
        <f>ROUND(V37/(8.76*'Table 8'!$D$129*0.56),2)</f>
        <v>38.76</v>
      </c>
      <c r="X37" s="182">
        <f t="shared" si="67"/>
        <v>53.746799999999993</v>
      </c>
      <c r="Y37" s="182">
        <f t="shared" si="68"/>
        <v>92.506799999999998</v>
      </c>
      <c r="Z37" s="202">
        <f t="shared" si="69"/>
        <v>53.746799999999993</v>
      </c>
      <c r="AA37" s="103"/>
      <c r="AB37" s="101">
        <f t="shared" si="46"/>
        <v>2036</v>
      </c>
      <c r="AC37" s="182">
        <f>W37*'Table 2B Wind'!Capacity_Contr_Wind</f>
        <v>7.9457999999999993</v>
      </c>
      <c r="AD37" s="182">
        <f t="shared" si="47"/>
        <v>53.746799999999993</v>
      </c>
      <c r="AE37" s="182">
        <f>INDEX('Table 12'!$E:$E,MATCH($U37,'Table 12'!$B:$B,0))</f>
        <v>8.86</v>
      </c>
      <c r="AF37" s="182">
        <f t="shared" si="48"/>
        <v>52.832599999999992</v>
      </c>
      <c r="AG37" s="202">
        <f t="shared" si="49"/>
        <v>44.886799999999994</v>
      </c>
      <c r="AH37" s="103"/>
      <c r="AI37" s="101">
        <f t="shared" si="50"/>
        <v>2036</v>
      </c>
      <c r="AJ37" s="182">
        <f>W37*'Table 2C SolarFixed'!Capacity_Contr_Solar_Fixed</f>
        <v>26.3568</v>
      </c>
      <c r="AK37" s="182">
        <f t="shared" si="51"/>
        <v>53.746799999999993</v>
      </c>
      <c r="AL37" s="182">
        <f t="shared" si="52"/>
        <v>2.83</v>
      </c>
      <c r="AM37" s="182">
        <f t="shared" si="53"/>
        <v>77.273600000000002</v>
      </c>
      <c r="AN37" s="202">
        <f t="shared" si="54"/>
        <v>50.916799999999995</v>
      </c>
      <c r="AO37" s="103"/>
      <c r="AP37" s="101">
        <f t="shared" si="55"/>
        <v>2036</v>
      </c>
      <c r="AQ37" s="182">
        <f>W37*'Table 2D SolarTracking'!Capacity_Contr_Solar_Tracking</f>
        <v>32.558399999999999</v>
      </c>
      <c r="AR37" s="182">
        <f t="shared" si="56"/>
        <v>53.746799999999993</v>
      </c>
      <c r="AS37" s="182">
        <f t="shared" si="57"/>
        <v>2.1800000000000002</v>
      </c>
      <c r="AT37" s="182">
        <f t="shared" si="58"/>
        <v>84.125199999999978</v>
      </c>
      <c r="AU37" s="202">
        <f t="shared" si="59"/>
        <v>51.566799999999994</v>
      </c>
    </row>
    <row r="38" spans="2:47" x14ac:dyDescent="0.2">
      <c r="B38" s="101">
        <f t="shared" si="60"/>
        <v>2037</v>
      </c>
      <c r="C38" s="103">
        <f>INDEX('Table 8'!$H$62:$H$88,MATCH($B38,'Table 8'!$B$62:$B$88,0))</f>
        <v>184.96</v>
      </c>
      <c r="D38" s="103">
        <f>INDEX('Table 8'!$H$10:$H$36,MATCH($B38,'Table 8'!$B$10:$B$36,0))</f>
        <v>175</v>
      </c>
      <c r="E38" s="103">
        <f t="shared" ref="E38" si="72">ROUND((C38-D38)*0.5,2)</f>
        <v>4.9800000000000004</v>
      </c>
      <c r="F38" s="104">
        <f>ROUND(E38/(8.76*'Table 8'!$D$128),2)</f>
        <v>1.1000000000000001</v>
      </c>
      <c r="G38" s="103"/>
      <c r="H38" s="101">
        <f t="shared" si="36"/>
        <v>2037</v>
      </c>
      <c r="I38" s="182">
        <f>INDEX('Table 9'!C:C,MATCH('Tables 3 to 6'!$H38,'Table 9'!B:B,0))</f>
        <v>8.1999999999999993</v>
      </c>
      <c r="J38" s="182">
        <f>I38*'Table 8'!$K$115/1000</f>
        <v>53.791999999999994</v>
      </c>
      <c r="K38" s="182">
        <f t="shared" ref="K38" si="73">F38</f>
        <v>1.1000000000000001</v>
      </c>
      <c r="L38" s="202">
        <f t="shared" ref="L38" si="74">J38+K38</f>
        <v>54.891999999999996</v>
      </c>
      <c r="M38" s="103"/>
      <c r="N38" s="101">
        <f t="shared" si="39"/>
        <v>2037</v>
      </c>
      <c r="O38" s="103">
        <f t="shared" ref="O38" si="75">D38+E38</f>
        <v>179.98</v>
      </c>
      <c r="P38" s="182">
        <f t="shared" ref="P38" si="76">L38</f>
        <v>54.891999999999996</v>
      </c>
      <c r="Q38" s="182">
        <f t="shared" si="41"/>
        <v>82.29</v>
      </c>
      <c r="R38" s="182">
        <f t="shared" si="41"/>
        <v>79.06</v>
      </c>
      <c r="S38" s="202">
        <f t="shared" si="41"/>
        <v>76.52</v>
      </c>
      <c r="T38" s="103"/>
      <c r="U38" s="101">
        <f t="shared" si="42"/>
        <v>2037</v>
      </c>
      <c r="V38" s="103">
        <f t="shared" ref="V38" si="77">D38+E38</f>
        <v>179.98</v>
      </c>
      <c r="W38" s="182">
        <f>ROUND(V38/(8.76*'Table 8'!$D$129*0.56),2)</f>
        <v>39.58</v>
      </c>
      <c r="X38" s="182">
        <f t="shared" ref="X38" si="78">L38</f>
        <v>54.891999999999996</v>
      </c>
      <c r="Y38" s="182">
        <f t="shared" ref="Y38" si="79">W38+X38</f>
        <v>94.471999999999994</v>
      </c>
      <c r="Z38" s="202">
        <f t="shared" ref="Z38" si="80">X38</f>
        <v>54.891999999999996</v>
      </c>
      <c r="AA38" s="103"/>
      <c r="AB38" s="101">
        <f t="shared" si="46"/>
        <v>2037</v>
      </c>
      <c r="AC38" s="182">
        <f>W38*'Table 2B Wind'!Capacity_Contr_Wind</f>
        <v>8.1138999999999992</v>
      </c>
      <c r="AD38" s="182">
        <f t="shared" si="47"/>
        <v>54.891999999999996</v>
      </c>
      <c r="AE38" s="182">
        <f>INDEX('Table 12'!$E:$E,MATCH($U38,'Table 12'!$B:$B,0))</f>
        <v>9.0399999999999991</v>
      </c>
      <c r="AF38" s="182">
        <f t="shared" si="48"/>
        <v>53.965899999999998</v>
      </c>
      <c r="AG38" s="202">
        <f t="shared" si="49"/>
        <v>45.851999999999997</v>
      </c>
      <c r="AH38" s="103"/>
      <c r="AI38" s="101">
        <f t="shared" si="50"/>
        <v>2037</v>
      </c>
      <c r="AJ38" s="182">
        <f>W38*'Table 2C SolarFixed'!Capacity_Contr_Solar_Fixed</f>
        <v>26.914400000000001</v>
      </c>
      <c r="AK38" s="182">
        <f t="shared" si="51"/>
        <v>54.891999999999996</v>
      </c>
      <c r="AL38" s="182">
        <f t="shared" si="52"/>
        <v>2.83</v>
      </c>
      <c r="AM38" s="182">
        <f t="shared" si="53"/>
        <v>78.976399999999998</v>
      </c>
      <c r="AN38" s="202">
        <f t="shared" si="54"/>
        <v>52.061999999999998</v>
      </c>
      <c r="AO38" s="103"/>
      <c r="AP38" s="101">
        <f t="shared" si="55"/>
        <v>2037</v>
      </c>
      <c r="AQ38" s="182">
        <f>W38*'Table 2D SolarTracking'!Capacity_Contr_Solar_Tracking</f>
        <v>33.247199999999999</v>
      </c>
      <c r="AR38" s="182">
        <f t="shared" si="56"/>
        <v>54.891999999999996</v>
      </c>
      <c r="AS38" s="182">
        <f t="shared" si="57"/>
        <v>2.1800000000000002</v>
      </c>
      <c r="AT38" s="182">
        <f t="shared" si="58"/>
        <v>85.959199999999981</v>
      </c>
      <c r="AU38" s="202">
        <f t="shared" si="59"/>
        <v>52.711999999999996</v>
      </c>
    </row>
    <row r="39" spans="2:47" x14ac:dyDescent="0.2">
      <c r="B39" s="105">
        <f t="shared" si="60"/>
        <v>2038</v>
      </c>
      <c r="C39" s="107">
        <f>INDEX('Table 8'!$H$62:$H$88,MATCH($B39,'Table 8'!$B$62:$B$88,0))</f>
        <v>188.84</v>
      </c>
      <c r="D39" s="107">
        <f>INDEX('Table 8'!$H$10:$H$36,MATCH($B39,'Table 8'!$B$10:$B$36,0))</f>
        <v>178.67</v>
      </c>
      <c r="E39" s="107">
        <f t="shared" si="61"/>
        <v>5.09</v>
      </c>
      <c r="F39" s="108">
        <f>ROUND(E39/(8.76*'Table 8'!$D$128),2)</f>
        <v>1.1200000000000001</v>
      </c>
      <c r="G39" s="103"/>
      <c r="H39" s="105">
        <f t="shared" si="36"/>
        <v>2038</v>
      </c>
      <c r="I39" s="203">
        <f>INDEX('Table 9'!C:C,MATCH('Tables 3 to 6'!$H39,'Table 9'!B:B,0))</f>
        <v>8.3699999999999992</v>
      </c>
      <c r="J39" s="203">
        <f>I39*'Table 8'!$K$115/1000</f>
        <v>54.907199999999996</v>
      </c>
      <c r="K39" s="203">
        <f t="shared" si="62"/>
        <v>1.1200000000000001</v>
      </c>
      <c r="L39" s="204">
        <f t="shared" si="63"/>
        <v>56.027199999999993</v>
      </c>
      <c r="M39" s="103"/>
      <c r="N39" s="105">
        <f t="shared" si="39"/>
        <v>2038</v>
      </c>
      <c r="O39" s="107">
        <f t="shared" si="64"/>
        <v>183.76</v>
      </c>
      <c r="P39" s="203">
        <f t="shared" si="65"/>
        <v>56.027199999999993</v>
      </c>
      <c r="Q39" s="203">
        <f t="shared" si="41"/>
        <v>84</v>
      </c>
      <c r="R39" s="203">
        <f t="shared" si="41"/>
        <v>80.709999999999994</v>
      </c>
      <c r="S39" s="204">
        <f t="shared" si="41"/>
        <v>78.11</v>
      </c>
      <c r="T39" s="103"/>
      <c r="U39" s="105">
        <f t="shared" si="42"/>
        <v>2038</v>
      </c>
      <c r="V39" s="107">
        <f t="shared" si="66"/>
        <v>183.76</v>
      </c>
      <c r="W39" s="203">
        <f>ROUND(V39/(8.76*'Table 8'!$D$129*0.56),2)</f>
        <v>40.409999999999997</v>
      </c>
      <c r="X39" s="203">
        <f t="shared" si="67"/>
        <v>56.027199999999993</v>
      </c>
      <c r="Y39" s="203">
        <f t="shared" si="68"/>
        <v>96.43719999999999</v>
      </c>
      <c r="Z39" s="204">
        <f t="shared" si="69"/>
        <v>56.027199999999993</v>
      </c>
      <c r="AA39" s="103"/>
      <c r="AB39" s="105">
        <f t="shared" si="46"/>
        <v>2038</v>
      </c>
      <c r="AC39" s="203">
        <f>W39*'Table 2B Wind'!Capacity_Contr_Wind</f>
        <v>8.2840499999999988</v>
      </c>
      <c r="AD39" s="203">
        <f t="shared" si="47"/>
        <v>56.027199999999993</v>
      </c>
      <c r="AE39" s="203">
        <f>INDEX('Table 12'!$E:$E,MATCH($U39,'Table 12'!$B:$B,0))</f>
        <v>9.26</v>
      </c>
      <c r="AF39" s="203">
        <f t="shared" si="48"/>
        <v>55.051249999999989</v>
      </c>
      <c r="AG39" s="204">
        <f t="shared" si="49"/>
        <v>46.767199999999995</v>
      </c>
      <c r="AH39" s="103"/>
      <c r="AI39" s="105">
        <f t="shared" si="50"/>
        <v>2038</v>
      </c>
      <c r="AJ39" s="203">
        <f>W39*'Table 2C SolarFixed'!Capacity_Contr_Solar_Fixed</f>
        <v>27.4788</v>
      </c>
      <c r="AK39" s="203">
        <f t="shared" si="51"/>
        <v>56.027199999999993</v>
      </c>
      <c r="AL39" s="203">
        <f t="shared" si="52"/>
        <v>2.83</v>
      </c>
      <c r="AM39" s="203">
        <f t="shared" si="53"/>
        <v>80.676000000000002</v>
      </c>
      <c r="AN39" s="204">
        <f t="shared" si="54"/>
        <v>53.197199999999995</v>
      </c>
      <c r="AO39" s="103"/>
      <c r="AP39" s="105">
        <f t="shared" si="55"/>
        <v>2038</v>
      </c>
      <c r="AQ39" s="203">
        <f>W39*'Table 2D SolarTracking'!Capacity_Contr_Solar_Tracking</f>
        <v>33.944399999999995</v>
      </c>
      <c r="AR39" s="203">
        <f t="shared" si="56"/>
        <v>56.027199999999993</v>
      </c>
      <c r="AS39" s="203">
        <f t="shared" si="57"/>
        <v>2.1800000000000002</v>
      </c>
      <c r="AT39" s="203">
        <f t="shared" si="58"/>
        <v>87.791599999999988</v>
      </c>
      <c r="AU39" s="204">
        <f t="shared" si="59"/>
        <v>53.847199999999994</v>
      </c>
    </row>
    <row r="41" spans="2:47" x14ac:dyDescent="0.2">
      <c r="B41" s="60" t="s">
        <v>21</v>
      </c>
      <c r="H41" s="60" t="s">
        <v>21</v>
      </c>
      <c r="N41" s="60" t="s">
        <v>21</v>
      </c>
      <c r="U41" s="60" t="s">
        <v>21</v>
      </c>
      <c r="AB41" s="60" t="s">
        <v>21</v>
      </c>
      <c r="AI41" s="60" t="s">
        <v>21</v>
      </c>
      <c r="AP41" s="60" t="s">
        <v>21</v>
      </c>
    </row>
    <row r="42" spans="2:47" x14ac:dyDescent="0.2">
      <c r="B42" s="183" t="str">
        <f>C9</f>
        <v>(a)</v>
      </c>
      <c r="C42" s="208" t="str">
        <f>"  "&amp;'Table 8'!$B$1&amp;"  Column "&amp;'Table 8'!$H$7</f>
        <v xml:space="preserve">  Table 8  Column (f)</v>
      </c>
      <c r="H42" s="183" t="str">
        <f>I9</f>
        <v>(a)</v>
      </c>
      <c r="I42" s="60" t="str">
        <f>"  "&amp;'Table 8'!$B$1&amp;"  Column "&amp;'Table 8'!$I$59</f>
        <v xml:space="preserve">  Table 8  Column (g)</v>
      </c>
      <c r="N42" s="206" t="str">
        <f>O9</f>
        <v>(a)</v>
      </c>
      <c r="O42" s="70" t="str">
        <f>"  "&amp;$B$1&amp;"  Column "&amp;$D$9&amp;" + "&amp;$B$1&amp;"  Column "&amp;$E$9</f>
        <v xml:space="preserve">  Table 3  Column (b) + Table 3  Column (c)</v>
      </c>
      <c r="P42" s="70"/>
      <c r="Q42" s="70"/>
      <c r="U42" s="206" t="str">
        <f>V9</f>
        <v>(a)</v>
      </c>
      <c r="V42" s="70" t="str">
        <f>"  "&amp;$B$1&amp;"  Column "&amp;$D$9&amp;" + "&amp;$B$1&amp;"  Column "&amp;$E$9</f>
        <v xml:space="preserve">  Table 3  Column (b) + Table 3  Column (c)</v>
      </c>
      <c r="X42" s="70"/>
      <c r="AB42" s="206" t="str">
        <f>AC9</f>
        <v>(a)</v>
      </c>
      <c r="AC42" s="60" t="str">
        <f>"  "&amp;$U$1&amp;"  Column "&amp;$W$9&amp;" multiplied by Capacity Contribution of "&amp;TEXT('Table 2B Wind'!Capacity_Contr_Wind,"0.0%")</f>
        <v xml:space="preserve">  Table 6a  Column (b) multiplied by Capacity Contribution of 20.5%</v>
      </c>
      <c r="AD42" s="70"/>
      <c r="AE42" s="70"/>
      <c r="AI42" s="206" t="str">
        <f>AJ9</f>
        <v>(a)</v>
      </c>
      <c r="AJ42" s="60" t="str">
        <f>"  "&amp;$U$1&amp;"  Column "&amp;$W$9&amp;" multiplied by Capacity Contribution of "&amp;TEXT('Table 2C SolarFixed'!Capacity_Contr_Solar_Fixed,"0.0%")</f>
        <v xml:space="preserve">  Table 6a  Column (b) multiplied by Capacity Contribution of 68.0%</v>
      </c>
      <c r="AK42" s="70"/>
      <c r="AL42" s="70"/>
      <c r="AP42" s="206" t="str">
        <f>AQ9</f>
        <v>(a)</v>
      </c>
      <c r="AQ42" s="60" t="str">
        <f>"  "&amp;$U$1&amp;"  Column "&amp;$W$9&amp;" multiplied by Capacity Contribution of "&amp;TEXT('Table 2D SolarTracking'!Capacity_Contr_Solar_Tracking,"0.0%")</f>
        <v xml:space="preserve">  Table 6a  Column (b) multiplied by Capacity Contribution of 84.0%</v>
      </c>
      <c r="AR42" s="70"/>
      <c r="AS42" s="70"/>
    </row>
    <row r="43" spans="2:47" x14ac:dyDescent="0.2">
      <c r="B43" s="183" t="str">
        <f>D9</f>
        <v>(b)</v>
      </c>
      <c r="C43" s="208" t="str">
        <f>C42</f>
        <v xml:space="preserve">  Table 8  Column (f)</v>
      </c>
      <c r="H43" s="183" t="str">
        <f>J9</f>
        <v>(b)</v>
      </c>
      <c r="I43" s="60" t="str">
        <f>"  "&amp;'Table 8'!$B$1&amp;"  Column "&amp;'Table 8'!K59&amp;" Heat rate "&amp;TEXT('Table 8'!$K$115/1000,"?.000")&amp;" MMBtu/MWh"</f>
        <v xml:space="preserve">  Table 8  Column (i) Heat rate 6.560 MMBtu/MWh</v>
      </c>
      <c r="N43" s="183" t="str">
        <f>P9</f>
        <v>(b)</v>
      </c>
      <c r="O43" s="60" t="str">
        <f>"  "&amp;$H$1&amp;"  Column "&amp;$L$9</f>
        <v xml:space="preserve">  Table 4  Column (d)</v>
      </c>
      <c r="U43" s="206" t="str">
        <f>W9</f>
        <v>(b)</v>
      </c>
      <c r="V43" s="60" t="str">
        <f>"  "&amp;'Table 8'!B1&amp;"   "&amp;TEXT('Table 8'!$D$129,"0.0%")&amp;" is the on-peak capacity factor of the proxy resource"</f>
        <v xml:space="preserve">  Table 8   92.7% is the on-peak capacity factor of the proxy resource</v>
      </c>
      <c r="AB43" s="206" t="str">
        <f>AD9</f>
        <v>(b)</v>
      </c>
      <c r="AC43" s="60" t="str">
        <f>"  "&amp;$U$1&amp;"  Column "&amp;$X$9</f>
        <v xml:space="preserve">  Table 6a  Column (c)</v>
      </c>
      <c r="AI43" s="206" t="str">
        <f>AK9</f>
        <v>(b)</v>
      </c>
      <c r="AJ43" s="60" t="str">
        <f>"  "&amp;$U$1&amp;"  Column "&amp;$X$9</f>
        <v xml:space="preserve">  Table 6a  Column (c)</v>
      </c>
      <c r="AP43" s="206" t="str">
        <f>AR9</f>
        <v>(b)</v>
      </c>
      <c r="AQ43" s="60" t="str">
        <f>"  "&amp;$U$1&amp;"  Column "&amp;$X$9</f>
        <v xml:space="preserve">  Table 6a  Column (c)</v>
      </c>
    </row>
    <row r="44" spans="2:47" x14ac:dyDescent="0.2">
      <c r="B44" s="183" t="str">
        <f>E9</f>
        <v>(c)</v>
      </c>
      <c r="C44" s="208" t="s">
        <v>153</v>
      </c>
      <c r="H44" s="183" t="str">
        <f>K9</f>
        <v>(c)</v>
      </c>
      <c r="I44" s="60" t="str">
        <f>"  "&amp;$B$1&amp;"  Column "&amp;$F$9</f>
        <v xml:space="preserve">  Table 3  Column (d)</v>
      </c>
      <c r="N44" s="183" t="s">
        <v>24</v>
      </c>
      <c r="O44" s="207" t="s">
        <v>159</v>
      </c>
      <c r="U44" s="206"/>
      <c r="V44" s="207" t="s">
        <v>159</v>
      </c>
      <c r="AB44" s="206" t="str">
        <f>AE9</f>
        <v>(c)</v>
      </c>
      <c r="AC44" s="60" t="str">
        <f>"  "&amp;'Table 12'!$B$1&amp;"  Column (c)"</f>
        <v xml:space="preserve">  Table 12  Column (c)</v>
      </c>
      <c r="AI44" s="206" t="str">
        <f>AL9</f>
        <v>(c)</v>
      </c>
      <c r="AJ44" s="60" t="str">
        <f>"  "&amp;'Table 12'!$B$1&amp;"  Footnote for Fixed Solar Integration of $"&amp;Solar_Fixed_integr_cost&amp;"/MWh"</f>
        <v xml:space="preserve">  Table 12  Footnote for Fixed Solar Integration of $2.83/MWh</v>
      </c>
      <c r="AP44" s="206" t="str">
        <f>AS9</f>
        <v>(c)</v>
      </c>
      <c r="AQ44" s="60" t="str">
        <f>"  "&amp;'Table 12'!$B$1&amp;"  Footnote for Tracking Solar Integration of $"&amp;Solar_Tracking_integr_cost&amp;"/MWh"</f>
        <v xml:space="preserve">  Table 12  Footnote for Tracking Solar Integration of $2.18/MWh</v>
      </c>
    </row>
    <row r="45" spans="2:47" x14ac:dyDescent="0.2">
      <c r="B45" s="183" t="str">
        <f>F9</f>
        <v>(d)</v>
      </c>
      <c r="C45" s="208" t="str">
        <f>"  "&amp;TEXT('Table 8'!$D$128,"0.0%")&amp;" CCCT energy weighted capacity factor - "&amp;'Table 8'!$B$1&amp;" page 3"</f>
        <v xml:space="preserve">  51.9% CCCT energy weighted capacity factor - Table 8 page 3</v>
      </c>
      <c r="H45" s="185" t="str">
        <f>L9</f>
        <v>(d)</v>
      </c>
      <c r="I45" s="60" t="str">
        <f>"  For "&amp;H13&amp;"-"&amp;MAX(H15:H27)&amp;" - "&amp;'Table 2A BaseLoad'!A1</f>
        <v xml:space="preserve">  For 2014-2026 - Table 2A</v>
      </c>
      <c r="N45" s="183"/>
      <c r="O45" s="207"/>
      <c r="U45" s="206" t="str">
        <f>X9</f>
        <v>(c)</v>
      </c>
      <c r="V45" s="60" t="str">
        <f>"  "&amp;$H$1&amp;"  Column "&amp;$L$9</f>
        <v xml:space="preserve">  Table 4  Column (d)</v>
      </c>
      <c r="AB45" s="206"/>
      <c r="AI45" s="206"/>
      <c r="AP45" s="206"/>
    </row>
    <row r="46" spans="2:47" x14ac:dyDescent="0.2">
      <c r="H46" s="185"/>
      <c r="N46" s="183"/>
      <c r="O46" s="207"/>
      <c r="U46" s="206"/>
      <c r="AB46" s="206"/>
      <c r="AI46" s="206"/>
      <c r="AP46" s="206"/>
    </row>
    <row r="47" spans="2:47" x14ac:dyDescent="0.2">
      <c r="G47" s="60"/>
      <c r="M47" s="60"/>
      <c r="T47" s="60"/>
      <c r="U47" s="206"/>
      <c r="AA47" s="60"/>
      <c r="AB47" s="206"/>
      <c r="AH47" s="60"/>
      <c r="AI47" s="206"/>
      <c r="AO47" s="60"/>
      <c r="AP47" s="206"/>
    </row>
    <row r="48" spans="2:47" x14ac:dyDescent="0.2">
      <c r="U48" s="206"/>
      <c r="AB48" s="206"/>
      <c r="AI48" s="206"/>
      <c r="AP48" s="206"/>
    </row>
    <row r="49" spans="21:42" x14ac:dyDescent="0.2">
      <c r="U49" s="206"/>
      <c r="AB49" s="206"/>
      <c r="AI49" s="206"/>
      <c r="AP49" s="206"/>
    </row>
    <row r="50" spans="21:42" x14ac:dyDescent="0.2">
      <c r="U50" s="206"/>
      <c r="AB50" s="206"/>
      <c r="AI50" s="206"/>
      <c r="AP50" s="206"/>
    </row>
    <row r="51" spans="21:42" x14ac:dyDescent="0.2">
      <c r="U51" s="206"/>
      <c r="AB51" s="206"/>
      <c r="AI51" s="206"/>
      <c r="AP51" s="206"/>
    </row>
    <row r="52" spans="21:42" x14ac:dyDescent="0.2">
      <c r="U52" s="206"/>
      <c r="AB52" s="206"/>
      <c r="AI52" s="206"/>
      <c r="AP52" s="206"/>
    </row>
    <row r="53" spans="21:42" x14ac:dyDescent="0.2">
      <c r="U53" s="206"/>
      <c r="AB53" s="206"/>
      <c r="AI53" s="206"/>
      <c r="AP53" s="206"/>
    </row>
  </sheetData>
  <mergeCells count="4">
    <mergeCell ref="W4:Z4"/>
    <mergeCell ref="AC4:AG4"/>
    <mergeCell ref="AJ4:AN4"/>
    <mergeCell ref="AQ4:AU4"/>
  </mergeCells>
  <phoneticPr fontId="7" type="noConversion"/>
  <pageMargins left="0.7" right="0.7" top="0.75" bottom="0.75" header="0.3" footer="0.3"/>
  <pageSetup scale="74" orientation="portrait" r:id="rId1"/>
  <headerFooter>
    <oddFooter>&amp;L&amp;F</oddFooter>
  </headerFooter>
  <colBreaks count="6" manualBreakCount="6">
    <brk id="6" max="49" man="1"/>
    <brk id="12" max="49" man="1"/>
    <brk id="19" max="49" man="1"/>
    <brk id="26" max="1048575" man="1"/>
    <brk id="33" max="1048575" man="1"/>
    <brk id="4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tabSelected="1" zoomScale="90" zoomScaleNormal="90" workbookViewId="0">
      <selection activeCell="O1" sqref="O1"/>
    </sheetView>
  </sheetViews>
  <sheetFormatPr defaultColWidth="9.33203125" defaultRowHeight="12.75" x14ac:dyDescent="0.2"/>
  <cols>
    <col min="1" max="1" width="1.6640625" style="380" customWidth="1"/>
    <col min="2" max="2" width="9.33203125" style="380" customWidth="1"/>
    <col min="3" max="14" width="15.33203125" style="380" customWidth="1"/>
    <col min="15" max="15" width="1.5" style="380" customWidth="1"/>
    <col min="16" max="16384" width="9.33203125" style="380"/>
  </cols>
  <sheetData>
    <row r="1" spans="2:19" s="5" customFormat="1" ht="15.75" x14ac:dyDescent="0.25">
      <c r="B1" s="1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9" s="7" customFormat="1" ht="15" x14ac:dyDescent="0.25">
      <c r="B2" s="3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9" s="7" customFormat="1" ht="15" x14ac:dyDescent="0.25">
      <c r="B3" s="3"/>
      <c r="C3" s="257"/>
      <c r="D3" s="3"/>
      <c r="E3" s="3"/>
      <c r="F3" s="257"/>
      <c r="G3" s="3"/>
      <c r="H3" s="3"/>
      <c r="I3" s="257"/>
      <c r="J3" s="3"/>
      <c r="K3" s="3"/>
      <c r="L3" s="257"/>
      <c r="M3" s="3"/>
      <c r="N3" s="3"/>
    </row>
    <row r="4" spans="2:19" x14ac:dyDescent="0.2">
      <c r="C4" s="381" t="s">
        <v>305</v>
      </c>
      <c r="D4" s="382"/>
      <c r="E4" s="382"/>
      <c r="F4" s="381" t="s">
        <v>306</v>
      </c>
      <c r="G4" s="382"/>
      <c r="H4" s="382"/>
      <c r="I4" s="381" t="s">
        <v>307</v>
      </c>
      <c r="J4" s="382"/>
      <c r="K4" s="382"/>
      <c r="L4" s="381" t="s">
        <v>308</v>
      </c>
      <c r="M4" s="382"/>
      <c r="N4" s="382"/>
      <c r="O4" s="383"/>
    </row>
    <row r="5" spans="2:19" ht="25.5" x14ac:dyDescent="0.2">
      <c r="B5" s="384"/>
      <c r="C5" s="73" t="s">
        <v>309</v>
      </c>
      <c r="D5" s="385"/>
      <c r="E5" s="385"/>
      <c r="F5" s="73" t="s">
        <v>310</v>
      </c>
      <c r="G5" s="385"/>
      <c r="H5" s="385"/>
      <c r="I5" s="73" t="s">
        <v>311</v>
      </c>
      <c r="J5" s="385"/>
      <c r="K5" s="385"/>
      <c r="L5" s="73" t="s">
        <v>312</v>
      </c>
      <c r="M5" s="385"/>
      <c r="N5" s="385"/>
    </row>
    <row r="6" spans="2:19" x14ac:dyDescent="0.2">
      <c r="B6" s="386" t="s">
        <v>2</v>
      </c>
      <c r="C6" s="415" t="s">
        <v>313</v>
      </c>
      <c r="D6" s="414" t="s">
        <v>314</v>
      </c>
      <c r="E6" s="388" t="s">
        <v>31</v>
      </c>
      <c r="F6" s="387" t="s">
        <v>313</v>
      </c>
      <c r="G6" s="414" t="s">
        <v>314</v>
      </c>
      <c r="H6" s="388" t="s">
        <v>31</v>
      </c>
      <c r="I6" s="387" t="s">
        <v>313</v>
      </c>
      <c r="J6" s="414" t="s">
        <v>314</v>
      </c>
      <c r="K6" s="388" t="s">
        <v>31</v>
      </c>
      <c r="L6" s="387" t="s">
        <v>313</v>
      </c>
      <c r="M6" s="414" t="s">
        <v>314</v>
      </c>
      <c r="N6" s="388" t="s">
        <v>31</v>
      </c>
    </row>
    <row r="7" spans="2:19" x14ac:dyDescent="0.2">
      <c r="B7" s="389"/>
      <c r="C7" s="416" t="s">
        <v>67</v>
      </c>
      <c r="D7" s="391" t="s">
        <v>67</v>
      </c>
      <c r="E7" s="388"/>
      <c r="F7" s="390" t="s">
        <v>67</v>
      </c>
      <c r="G7" s="391" t="s">
        <v>67</v>
      </c>
      <c r="H7" s="388"/>
      <c r="I7" s="390" t="s">
        <v>67</v>
      </c>
      <c r="J7" s="391" t="s">
        <v>67</v>
      </c>
      <c r="K7" s="388"/>
      <c r="L7" s="390" t="s">
        <v>67</v>
      </c>
      <c r="M7" s="391" t="s">
        <v>67</v>
      </c>
      <c r="N7" s="388"/>
    </row>
    <row r="8" spans="2:19" x14ac:dyDescent="0.2">
      <c r="B8" s="389"/>
      <c r="C8" s="416" t="s">
        <v>316</v>
      </c>
      <c r="D8" s="391"/>
      <c r="E8" s="388"/>
      <c r="F8" s="416" t="s">
        <v>316</v>
      </c>
      <c r="G8" s="391"/>
      <c r="H8" s="388"/>
      <c r="I8" s="416" t="s">
        <v>316</v>
      </c>
      <c r="J8" s="391"/>
      <c r="K8" s="388"/>
      <c r="L8" s="416" t="s">
        <v>316</v>
      </c>
      <c r="M8" s="391"/>
      <c r="N8" s="388"/>
    </row>
    <row r="9" spans="2:19" x14ac:dyDescent="0.2">
      <c r="B9" s="392"/>
      <c r="C9" s="395" t="s">
        <v>107</v>
      </c>
      <c r="D9" s="394" t="s">
        <v>107</v>
      </c>
      <c r="E9" s="395" t="s">
        <v>107</v>
      </c>
      <c r="F9" s="393" t="s">
        <v>107</v>
      </c>
      <c r="G9" s="394" t="s">
        <v>107</v>
      </c>
      <c r="H9" s="395" t="s">
        <v>107</v>
      </c>
      <c r="I9" s="393" t="s">
        <v>107</v>
      </c>
      <c r="J9" s="394" t="s">
        <v>107</v>
      </c>
      <c r="K9" s="395" t="s">
        <v>107</v>
      </c>
      <c r="L9" s="393" t="s">
        <v>107</v>
      </c>
      <c r="M9" s="394" t="s">
        <v>107</v>
      </c>
      <c r="N9" s="395" t="s">
        <v>107</v>
      </c>
    </row>
    <row r="10" spans="2:19" x14ac:dyDescent="0.2">
      <c r="C10" s="396" t="s">
        <v>22</v>
      </c>
      <c r="D10" s="396" t="s">
        <v>24</v>
      </c>
      <c r="E10" s="396" t="s">
        <v>25</v>
      </c>
      <c r="F10" s="396" t="s">
        <v>22</v>
      </c>
      <c r="G10" s="396" t="s">
        <v>24</v>
      </c>
      <c r="H10" s="396" t="s">
        <v>25</v>
      </c>
      <c r="I10" s="396" t="s">
        <v>22</v>
      </c>
      <c r="J10" s="396" t="s">
        <v>24</v>
      </c>
      <c r="K10" s="396" t="s">
        <v>25</v>
      </c>
      <c r="L10" s="396" t="s">
        <v>22</v>
      </c>
      <c r="M10" s="396" t="s">
        <v>24</v>
      </c>
      <c r="N10" s="396" t="s">
        <v>25</v>
      </c>
    </row>
    <row r="11" spans="2:19" x14ac:dyDescent="0.2">
      <c r="C11" s="396"/>
      <c r="D11" s="396"/>
      <c r="E11" s="4" t="str">
        <f>C10&amp;" - "&amp;D10</f>
        <v>(a) - (c)</v>
      </c>
      <c r="F11" s="396"/>
      <c r="G11" s="396"/>
      <c r="H11" s="4" t="str">
        <f>F10&amp;" - "&amp;G10</f>
        <v>(a) - (c)</v>
      </c>
      <c r="I11" s="396"/>
      <c r="J11" s="396"/>
      <c r="K11" s="4" t="str">
        <f>I10&amp;" - "&amp;J10</f>
        <v>(a) - (c)</v>
      </c>
      <c r="L11" s="396"/>
      <c r="M11" s="396"/>
      <c r="N11" s="4" t="str">
        <f>L10&amp;" - "&amp;M10</f>
        <v>(a) - (c)</v>
      </c>
    </row>
    <row r="12" spans="2:19" x14ac:dyDescent="0.2">
      <c r="C12" s="396"/>
      <c r="D12" s="396"/>
      <c r="E12" s="396"/>
      <c r="F12" s="397"/>
      <c r="G12" s="396"/>
      <c r="H12" s="396"/>
      <c r="I12" s="397"/>
      <c r="J12" s="396"/>
      <c r="K12" s="396"/>
      <c r="L12" s="397"/>
      <c r="M12" s="396"/>
      <c r="N12" s="396"/>
    </row>
    <row r="13" spans="2:19" hidden="1" x14ac:dyDescent="0.2">
      <c r="B13" s="398">
        <v>2014</v>
      </c>
      <c r="C13" s="399">
        <f>($D$47*'Tariff Page'!D8+$D$48*'Tariff Page'!C8+$D$49*'Tariff Page'!F8+$D$50*'Tariff Page'!E8)*10</f>
        <v>38.884255707762556</v>
      </c>
      <c r="D13" s="399">
        <v>29.604164383561642</v>
      </c>
      <c r="E13" s="399"/>
      <c r="F13" s="400">
        <f>($H$47*'Tariff Page Wind'!D8+$H$48*'Tariff Page Wind'!C8+$H$49*'Tariff Page Wind'!F8+$H$50*'Tariff Page Wind'!E8)*10</f>
        <v>27.354195231194538</v>
      </c>
      <c r="G13" s="399">
        <v>26.014585223467137</v>
      </c>
      <c r="H13" s="399"/>
      <c r="I13" s="400">
        <f>($K$47*'Tariff Page Solar Fixed'!D8+$K$48*'Tariff Page Solar Fixed'!C8+$K$49*'Tariff Page Solar Fixed'!F8+$K$50*'Tariff Page Solar Fixed'!E8)*10</f>
        <v>38.230843207750745</v>
      </c>
      <c r="J13" s="399">
        <v>27.006440806421338</v>
      </c>
      <c r="K13" s="399"/>
      <c r="L13" s="400">
        <f>($N$47*'Tariff Page Solar Tracking'!D8+$N$48*'Tariff Page Solar Tracking'!C8+$N$49*'Tariff Page Solar Tracking'!F8+$N$50*'Tariff Page Solar Tracking'!E8)*10</f>
        <v>41.524813551175001</v>
      </c>
      <c r="M13" s="399">
        <v>27.656440806421337</v>
      </c>
      <c r="N13" s="399"/>
      <c r="Q13" s="401"/>
      <c r="R13" s="401"/>
    </row>
    <row r="14" spans="2:19" s="245" customFormat="1" x14ac:dyDescent="0.2">
      <c r="B14" s="398">
        <f>B13+1</f>
        <v>2015</v>
      </c>
      <c r="C14" s="399">
        <f>($D$47*'Tariff Page'!D9+$D$48*'Tariff Page'!C9+$D$49*'Tariff Page'!F9+$D$50*'Tariff Page'!E9)*10</f>
        <v>39.774347031963465</v>
      </c>
      <c r="D14" s="399">
        <v>32.636246575342469</v>
      </c>
      <c r="E14" s="399">
        <f t="shared" ref="E14:E34" si="0">C14-D14</f>
        <v>7.1381004566209967</v>
      </c>
      <c r="F14" s="400">
        <f>($H$47*'Tariff Page Wind'!D9+$H$48*'Tariff Page Wind'!C9+$H$49*'Tariff Page Wind'!F9+$H$50*'Tariff Page Wind'!E9)*10</f>
        <v>30.436927383849152</v>
      </c>
      <c r="G14" s="399">
        <v>29.405546227457258</v>
      </c>
      <c r="H14" s="399">
        <f t="shared" ref="H14:H34" si="1">F14-G14</f>
        <v>1.0313811563918946</v>
      </c>
      <c r="I14" s="400">
        <f>($K$47*'Tariff Page Solar Fixed'!D9+$K$48*'Tariff Page Solar Fixed'!C9+$K$49*'Tariff Page Solar Fixed'!F9+$K$50*'Tariff Page Solar Fixed'!E9)*10</f>
        <v>38.416971168406313</v>
      </c>
      <c r="J14" s="399">
        <v>29.782815181808367</v>
      </c>
      <c r="K14" s="399">
        <f t="shared" ref="K14:K34" si="2">I14-J14</f>
        <v>8.6341559865979463</v>
      </c>
      <c r="L14" s="400">
        <f>($N$47*'Tariff Page Solar Tracking'!D9+$N$48*'Tariff Page Solar Tracking'!C9+$N$49*'Tariff Page Solar Tracking'!F9+$N$50*'Tariff Page Solar Tracking'!E9)*10</f>
        <v>41.098491774716038</v>
      </c>
      <c r="M14" s="399">
        <v>30.432815181808373</v>
      </c>
      <c r="N14" s="399">
        <f t="shared" ref="N14:N34" si="3">L14-M14</f>
        <v>10.665676592907666</v>
      </c>
      <c r="S14" s="402"/>
    </row>
    <row r="15" spans="2:19" x14ac:dyDescent="0.2">
      <c r="B15" s="398">
        <f t="shared" ref="B15:B34" si="4">B14+1</f>
        <v>2016</v>
      </c>
      <c r="C15" s="399">
        <f>($D$47*'Tariff Page'!D10+$D$48*'Tariff Page'!C10+$D$49*'Tariff Page'!F10+$D$50*'Tariff Page'!E10)*10</f>
        <v>37.488328767123292</v>
      </c>
      <c r="D15" s="399">
        <v>30.2212602739726</v>
      </c>
      <c r="E15" s="399">
        <f t="shared" si="0"/>
        <v>7.2670684931506919</v>
      </c>
      <c r="F15" s="400">
        <f>($H$47*'Tariff Page Wind'!D10+$H$48*'Tariff Page Wind'!C10+$H$49*'Tariff Page Wind'!F10+$H$50*'Tariff Page Wind'!E10)*10</f>
        <v>27.871533733537959</v>
      </c>
      <c r="G15" s="399">
        <v>26.823361317628212</v>
      </c>
      <c r="H15" s="399">
        <f t="shared" si="1"/>
        <v>1.0481724159097467</v>
      </c>
      <c r="I15" s="400">
        <f>($K$47*'Tariff Page Solar Fixed'!D10+$K$48*'Tariff Page Solar Fixed'!C10+$K$49*'Tariff Page Solar Fixed'!F10+$K$50*'Tariff Page Solar Fixed'!E10)*10</f>
        <v>36.251508690638175</v>
      </c>
      <c r="J15" s="399">
        <v>27.46155445457488</v>
      </c>
      <c r="K15" s="399">
        <f t="shared" si="2"/>
        <v>8.789954236063295</v>
      </c>
      <c r="L15" s="400">
        <f>($N$47*'Tariff Page Solar Tracking'!D10+$N$48*'Tariff Page Solar Tracking'!C10+$N$49*'Tariff Page Solar Tracking'!F10+$N$50*'Tariff Page Solar Tracking'!E10)*10</f>
        <v>38.970636428280784</v>
      </c>
      <c r="M15" s="399">
        <v>28.111554454574879</v>
      </c>
      <c r="N15" s="399">
        <f t="shared" si="3"/>
        <v>10.859081973705905</v>
      </c>
      <c r="S15" s="401"/>
    </row>
    <row r="16" spans="2:19" x14ac:dyDescent="0.2">
      <c r="B16" s="398">
        <f t="shared" si="4"/>
        <v>2017</v>
      </c>
      <c r="C16" s="399">
        <f>($D$47*'Tariff Page'!D11+$D$48*'Tariff Page'!C11+$D$49*'Tariff Page'!F11+$D$50*'Tariff Page'!E11)*10</f>
        <v>38.785351598173513</v>
      </c>
      <c r="D16" s="399">
        <v>31.389315068493154</v>
      </c>
      <c r="E16" s="399">
        <f t="shared" si="0"/>
        <v>7.3960365296803587</v>
      </c>
      <c r="F16" s="400">
        <f>($H$47*'Tariff Page Wind'!D11+$H$48*'Tariff Page Wind'!C11+$H$49*'Tariff Page Wind'!F11+$H$50*'Tariff Page Wind'!E11)*10</f>
        <v>28.848502415970934</v>
      </c>
      <c r="G16" s="399">
        <v>27.781556392117256</v>
      </c>
      <c r="H16" s="399">
        <f t="shared" si="1"/>
        <v>1.0669460238536779</v>
      </c>
      <c r="I16" s="400">
        <f>($K$47*'Tariff Page Solar Fixed'!D11+$K$48*'Tariff Page Solar Fixed'!C11+$K$49*'Tariff Page Solar Fixed'!F11+$K$50*'Tariff Page Solar Fixed'!E11)*10</f>
        <v>37.656624904708636</v>
      </c>
      <c r="J16" s="399">
        <v>28.707034723381991</v>
      </c>
      <c r="K16" s="399">
        <f t="shared" si="2"/>
        <v>8.949590181326645</v>
      </c>
      <c r="L16" s="400">
        <f>($N$47*'Tariff Page Solar Tracking'!D11+$N$48*'Tariff Page Solar Tracking'!C11+$N$49*'Tariff Page Solar Tracking'!F11+$N$50*'Tariff Page Solar Tracking'!E11)*10</f>
        <v>40.411823932869083</v>
      </c>
      <c r="M16" s="399">
        <v>29.357034723381993</v>
      </c>
      <c r="N16" s="399">
        <f t="shared" si="3"/>
        <v>11.05478920948709</v>
      </c>
      <c r="S16" s="401"/>
    </row>
    <row r="17" spans="2:19" x14ac:dyDescent="0.2">
      <c r="B17" s="398">
        <f t="shared" si="4"/>
        <v>2018</v>
      </c>
      <c r="C17" s="399">
        <f>($D$47*'Tariff Page'!D12+$D$48*'Tariff Page'!C12+$D$49*'Tariff Page'!F12+$D$50*'Tariff Page'!E12)*10</f>
        <v>42.61218264840182</v>
      </c>
      <c r="D17" s="399">
        <v>33.825534246575344</v>
      </c>
      <c r="E17" s="399">
        <f t="shared" si="0"/>
        <v>8.7866484018264757</v>
      </c>
      <c r="F17" s="400">
        <f>($H$47*'Tariff Page Wind'!D12+$H$48*'Tariff Page Wind'!C12+$H$49*'Tariff Page Wind'!F12+$H$50*'Tariff Page Wind'!E12)*10</f>
        <v>31.258118515908162</v>
      </c>
      <c r="G17" s="399">
        <v>29.989638243104338</v>
      </c>
      <c r="H17" s="399">
        <f t="shared" si="1"/>
        <v>1.2684802728038242</v>
      </c>
      <c r="I17" s="400">
        <f>($K$47*'Tariff Page Solar Fixed'!D12+$K$48*'Tariff Page Solar Fixed'!C12+$K$49*'Tariff Page Solar Fixed'!F12+$K$50*'Tariff Page Solar Fixed'!E12)*10</f>
        <v>41.747899675959005</v>
      </c>
      <c r="J17" s="399">
        <v>31.118294373569171</v>
      </c>
      <c r="K17" s="399">
        <f t="shared" si="2"/>
        <v>10.629605302389834</v>
      </c>
      <c r="L17" s="400">
        <f>($N$47*'Tariff Page Solar Tracking'!D12+$N$48*'Tariff Page Solar Tracking'!C12+$N$49*'Tariff Page Solar Tracking'!F12+$N$50*'Tariff Page Solar Tracking'!E12)*10</f>
        <v>44.898350871479842</v>
      </c>
      <c r="M17" s="399">
        <v>31.768294373569169</v>
      </c>
      <c r="N17" s="399">
        <f t="shared" si="3"/>
        <v>13.130056497910672</v>
      </c>
      <c r="S17" s="401"/>
    </row>
    <row r="18" spans="2:19" x14ac:dyDescent="0.2">
      <c r="B18" s="398">
        <f t="shared" si="4"/>
        <v>2019</v>
      </c>
      <c r="C18" s="399">
        <f>($D$47*'Tariff Page'!D13+$D$48*'Tariff Page'!C13+$D$49*'Tariff Page'!F13+$D$50*'Tariff Page'!E13)*10</f>
        <v>44.41517808219178</v>
      </c>
      <c r="D18" s="399">
        <v>35.482739726027397</v>
      </c>
      <c r="E18" s="399">
        <f t="shared" si="0"/>
        <v>8.9324383561643828</v>
      </c>
      <c r="F18" s="400">
        <f>($H$47*'Tariff Page Wind'!D13+$H$48*'Tariff Page Wind'!C13+$H$49*'Tariff Page Wind'!F13+$H$50*'Tariff Page Wind'!E13)*10</f>
        <v>32.584676179522667</v>
      </c>
      <c r="G18" s="399">
        <v>31.296437647017854</v>
      </c>
      <c r="H18" s="399">
        <f t="shared" si="1"/>
        <v>1.2882385325048133</v>
      </c>
      <c r="I18" s="400">
        <f>($K$47*'Tariff Page Solar Fixed'!D13+$K$48*'Tariff Page Solar Fixed'!C13+$K$49*'Tariff Page Solar Fixed'!F13+$K$50*'Tariff Page Solar Fixed'!E13)*10</f>
        <v>43.610911207132411</v>
      </c>
      <c r="J18" s="399">
        <v>32.805553162119303</v>
      </c>
      <c r="K18" s="399">
        <f t="shared" si="2"/>
        <v>10.805358045013108</v>
      </c>
      <c r="L18" s="400">
        <f>($N$47*'Tariff Page Solar Tracking'!D13+$N$48*'Tariff Page Solar Tracking'!C13+$N$49*'Tariff Page Solar Tracking'!F13+$N$50*'Tariff Page Solar Tracking'!E13)*10</f>
        <v>46.805109084767068</v>
      </c>
      <c r="M18" s="399">
        <v>33.455553162119301</v>
      </c>
      <c r="N18" s="399">
        <f t="shared" si="3"/>
        <v>13.349555922647767</v>
      </c>
      <c r="S18" s="401"/>
    </row>
    <row r="19" spans="2:19" x14ac:dyDescent="0.2">
      <c r="B19" s="398">
        <f t="shared" si="4"/>
        <v>2020</v>
      </c>
      <c r="C19" s="399">
        <f>($D$47*'Tariff Page'!D14+$D$48*'Tariff Page'!C14+$D$49*'Tariff Page'!F14+$D$50*'Tariff Page'!E14)*10</f>
        <v>48.053050228310504</v>
      </c>
      <c r="D19" s="399">
        <v>38.957999999999998</v>
      </c>
      <c r="E19" s="399">
        <f t="shared" si="0"/>
        <v>9.0950502283105052</v>
      </c>
      <c r="F19" s="400">
        <f>($H$47*'Tariff Page Wind'!D14+$H$48*'Tariff Page Wind'!C14+$H$49*'Tariff Page Wind'!F14+$H$50*'Tariff Page Wind'!E14)*10</f>
        <v>35.337332221506614</v>
      </c>
      <c r="G19" s="399">
        <v>34.021432125420404</v>
      </c>
      <c r="H19" s="399">
        <f t="shared" si="1"/>
        <v>1.3159000960862102</v>
      </c>
      <c r="I19" s="400">
        <f>($K$47*'Tariff Page Solar Fixed'!D14+$K$48*'Tariff Page Solar Fixed'!C14+$K$49*'Tariff Page Solar Fixed'!F14+$K$50*'Tariff Page Solar Fixed'!E14)*10</f>
        <v>47.393195196068838</v>
      </c>
      <c r="J19" s="399">
        <v>36.388292219476547</v>
      </c>
      <c r="K19" s="399">
        <f t="shared" si="2"/>
        <v>11.004902976592291</v>
      </c>
      <c r="L19" s="400">
        <f>($N$47*'Tariff Page Solar Tracking'!D14+$N$48*'Tariff Page Solar Tracking'!C14+$N$49*'Tariff Page Solar Tracking'!F14+$N$50*'Tariff Page Solar Tracking'!E14)*10</f>
        <v>50.637279306598302</v>
      </c>
      <c r="M19" s="399">
        <v>37.038292219476546</v>
      </c>
      <c r="N19" s="399">
        <f t="shared" si="3"/>
        <v>13.598987087121756</v>
      </c>
      <c r="S19" s="401"/>
    </row>
    <row r="20" spans="2:19" x14ac:dyDescent="0.2">
      <c r="B20" s="398">
        <f t="shared" si="4"/>
        <v>2021</v>
      </c>
      <c r="C20" s="399">
        <f>($D$47*'Tariff Page'!D15+$D$48*'Tariff Page'!C15+$D$49*'Tariff Page'!F15+$D$50*'Tariff Page'!E15)*10</f>
        <v>52.838063926940634</v>
      </c>
      <c r="D20" s="399">
        <v>42.245863013698624</v>
      </c>
      <c r="E20" s="399">
        <f t="shared" si="0"/>
        <v>10.59220091324201</v>
      </c>
      <c r="F20" s="400">
        <f>($H$47*'Tariff Page Wind'!D15+$H$48*'Tariff Page Wind'!C15+$H$49*'Tariff Page Wind'!F15+$H$50*'Tariff Page Wind'!E15)*10</f>
        <v>38.338500061603426</v>
      </c>
      <c r="G20" s="399">
        <v>36.809210760746481</v>
      </c>
      <c r="H20" s="399">
        <f t="shared" si="1"/>
        <v>1.529289300856945</v>
      </c>
      <c r="I20" s="400">
        <f>($K$47*'Tariff Page Solar Fixed'!D15+$K$48*'Tariff Page Solar Fixed'!C15+$K$49*'Tariff Page Solar Fixed'!F15+$K$50*'Tariff Page Solar Fixed'!E15)*10</f>
        <v>52.371583056205438</v>
      </c>
      <c r="J20" s="399">
        <v>39.556960753023489</v>
      </c>
      <c r="K20" s="399">
        <f t="shared" si="2"/>
        <v>12.814622303181949</v>
      </c>
      <c r="L20" s="400">
        <f>($N$47*'Tariff Page Solar Tracking'!D15+$N$48*'Tariff Page Solar Tracking'!C15+$N$49*'Tariff Page Solar Tracking'!F15+$N$50*'Tariff Page Solar Tracking'!E15)*10</f>
        <v>56.040851073832158</v>
      </c>
      <c r="M20" s="399">
        <v>40.20696075302348</v>
      </c>
      <c r="N20" s="399">
        <f t="shared" si="3"/>
        <v>15.833890320808678</v>
      </c>
      <c r="S20" s="401"/>
    </row>
    <row r="21" spans="2:19" x14ac:dyDescent="0.2">
      <c r="B21" s="398">
        <f t="shared" si="4"/>
        <v>2022</v>
      </c>
      <c r="C21" s="399">
        <f>($D$47*'Tariff Page'!D16+$D$48*'Tariff Page'!C16+$D$49*'Tariff Page'!F16+$D$50*'Tariff Page'!E16)*10</f>
        <v>53.795972602739724</v>
      </c>
      <c r="D21" s="399">
        <v>43.013123287671242</v>
      </c>
      <c r="E21" s="399">
        <f t="shared" si="0"/>
        <v>10.782849315068482</v>
      </c>
      <c r="F21" s="400">
        <f>($H$47*'Tariff Page Wind'!D16+$H$48*'Tariff Page Wind'!C16+$H$49*'Tariff Page Wind'!F16+$H$50*'Tariff Page Wind'!E16)*10</f>
        <v>38.158874433795745</v>
      </c>
      <c r="G21" s="399">
        <v>36.600938917600352</v>
      </c>
      <c r="H21" s="399">
        <f t="shared" si="1"/>
        <v>1.5579355161953927</v>
      </c>
      <c r="I21" s="400">
        <f>($K$47*'Tariff Page Solar Fixed'!D16+$K$48*'Tariff Page Solar Fixed'!C16+$K$49*'Tariff Page Solar Fixed'!F16+$K$50*'Tariff Page Solar Fixed'!E16)*10</f>
        <v>53.407569130094984</v>
      </c>
      <c r="J21" s="399">
        <v>40.357330604815999</v>
      </c>
      <c r="K21" s="399">
        <f t="shared" si="2"/>
        <v>13.050238525278985</v>
      </c>
      <c r="L21" s="400">
        <f>($N$47*'Tariff Page Solar Tracking'!D16+$N$48*'Tariff Page Solar Tracking'!C16+$N$49*'Tariff Page Solar Tracking'!F16+$N$50*'Tariff Page Solar Tracking'!E16)*10</f>
        <v>57.124421525633551</v>
      </c>
      <c r="M21" s="399">
        <v>41.007330604816005</v>
      </c>
      <c r="N21" s="399">
        <f t="shared" si="3"/>
        <v>16.117090920817546</v>
      </c>
      <c r="S21" s="401"/>
    </row>
    <row r="22" spans="2:19" x14ac:dyDescent="0.2">
      <c r="B22" s="398">
        <f t="shared" si="4"/>
        <v>2023</v>
      </c>
      <c r="C22" s="399">
        <f>($D$47*'Tariff Page'!D17+$D$48*'Tariff Page'!C17+$D$49*'Tariff Page'!F17+$D$50*'Tariff Page'!E17)*10</f>
        <v>55.469141552511417</v>
      </c>
      <c r="D22" s="399">
        <v>44.495643835616441</v>
      </c>
      <c r="E22" s="399">
        <f t="shared" si="0"/>
        <v>10.973497716894975</v>
      </c>
      <c r="F22" s="400">
        <f>($H$47*'Tariff Page Wind'!D17+$H$48*'Tariff Page Wind'!C17+$H$49*'Tariff Page Wind'!F17+$H$50*'Tariff Page Wind'!E17)*10</f>
        <v>38.824108177004781</v>
      </c>
      <c r="G22" s="399">
        <v>37.239495748985057</v>
      </c>
      <c r="H22" s="399">
        <f t="shared" si="1"/>
        <v>1.5846124280197245</v>
      </c>
      <c r="I22" s="400">
        <f>($K$47*'Tariff Page Solar Fixed'!D17+$K$48*'Tariff Page Solar Fixed'!C17+$K$49*'Tariff Page Solar Fixed'!F17+$K$50*'Tariff Page Solar Fixed'!E17)*10</f>
        <v>55.074231696648994</v>
      </c>
      <c r="J22" s="399">
        <v>41.794516500053945</v>
      </c>
      <c r="K22" s="399">
        <f t="shared" si="2"/>
        <v>13.279715196595049</v>
      </c>
      <c r="L22" s="400">
        <f>($N$47*'Tariff Page Solar Tracking'!D17+$N$48*'Tariff Page Solar Tracking'!C17+$N$49*'Tariff Page Solar Tracking'!F17+$N$50*'Tariff Page Solar Tracking'!E17)*10</f>
        <v>58.84710987586331</v>
      </c>
      <c r="M22" s="399">
        <v>42.44451650005395</v>
      </c>
      <c r="N22" s="399">
        <f t="shared" si="3"/>
        <v>16.40259337580936</v>
      </c>
      <c r="S22" s="401"/>
    </row>
    <row r="23" spans="2:19" x14ac:dyDescent="0.2">
      <c r="B23" s="398">
        <f t="shared" si="4"/>
        <v>2024</v>
      </c>
      <c r="C23" s="399">
        <f>($D$47*'Tariff Page'!D18+$D$48*'Tariff Page'!C18+$D$49*'Tariff Page'!F18+$D$50*'Tariff Page'!E18)*10</f>
        <v>57.695059360730589</v>
      </c>
      <c r="D23" s="399">
        <v>46.519698630136986</v>
      </c>
      <c r="E23" s="399">
        <f t="shared" si="0"/>
        <v>11.175360730593603</v>
      </c>
      <c r="F23" s="400">
        <f>($H$47*'Tariff Page Wind'!D18+$H$48*'Tariff Page Wind'!C18+$H$49*'Tariff Page Wind'!F18+$H$50*'Tariff Page Wind'!E18)*10</f>
        <v>41.729316306057939</v>
      </c>
      <c r="G23" s="399">
        <v>40.11605766269976</v>
      </c>
      <c r="H23" s="399">
        <f t="shared" si="1"/>
        <v>1.6132586433581793</v>
      </c>
      <c r="I23" s="400">
        <f>($K$47*'Tariff Page Solar Fixed'!D18+$K$48*'Tariff Page Solar Fixed'!C18+$K$49*'Tariff Page Solar Fixed'!F18+$K$50*'Tariff Page Solar Fixed'!E18)*10</f>
        <v>57.38181897636678</v>
      </c>
      <c r="J23" s="399">
        <v>43.8588121660787</v>
      </c>
      <c r="K23" s="399">
        <f t="shared" si="2"/>
        <v>13.523006810288081</v>
      </c>
      <c r="L23" s="400">
        <f>($N$47*'Tariff Page Solar Tracking'!D18+$N$48*'Tariff Page Solar Tracking'!C18+$N$49*'Tariff Page Solar Tracking'!F18+$N$50*'Tariff Page Solar Tracking'!E18)*10</f>
        <v>61.210722939256847</v>
      </c>
      <c r="M23" s="399">
        <v>44.508812166078698</v>
      </c>
      <c r="N23" s="399">
        <f t="shared" si="3"/>
        <v>16.701910773178149</v>
      </c>
      <c r="S23" s="401"/>
    </row>
    <row r="24" spans="2:19" x14ac:dyDescent="0.2">
      <c r="B24" s="398">
        <f t="shared" si="4"/>
        <v>2025</v>
      </c>
      <c r="C24" s="399">
        <f>($D$47*'Tariff Page'!D19+$D$48*'Tariff Page'!C19+$D$49*'Tariff Page'!F19+$D$50*'Tariff Page'!E19)*10</f>
        <v>61.793132420091332</v>
      </c>
      <c r="D24" s="399">
        <v>48.997260273972607</v>
      </c>
      <c r="E24" s="399">
        <f t="shared" si="0"/>
        <v>12.795872146118725</v>
      </c>
      <c r="F24" s="400">
        <f>($H$47*'Tariff Page Wind'!D19+$H$48*'Tariff Page Wind'!C19+$H$49*'Tariff Page Wind'!F19+$H$50*'Tariff Page Wind'!E19)*10</f>
        <v>44.305315416798436</v>
      </c>
      <c r="G24" s="399">
        <v>42.459893960725594</v>
      </c>
      <c r="H24" s="399">
        <f t="shared" si="1"/>
        <v>1.8454214560728417</v>
      </c>
      <c r="I24" s="400">
        <f>($K$47*'Tariff Page Solar Fixed'!D19+$K$48*'Tariff Page Solar Fixed'!C19+$K$49*'Tariff Page Solar Fixed'!F19+$K$50*'Tariff Page Solar Fixed'!E19)*10</f>
        <v>61.861002309670461</v>
      </c>
      <c r="J24" s="399">
        <v>46.386292865704334</v>
      </c>
      <c r="K24" s="399">
        <f t="shared" si="2"/>
        <v>15.474709443966127</v>
      </c>
      <c r="L24" s="400">
        <f>($N$47*'Tariff Page Solar Tracking'!D19+$N$48*'Tariff Page Solar Tracking'!C19+$N$49*'Tariff Page Solar Tracking'!F19+$N$50*'Tariff Page Solar Tracking'!E19)*10</f>
        <v>66.156535006788673</v>
      </c>
      <c r="M24" s="399">
        <v>47.036292865704326</v>
      </c>
      <c r="N24" s="399">
        <f t="shared" si="3"/>
        <v>19.120242141084347</v>
      </c>
      <c r="S24" s="401"/>
    </row>
    <row r="25" spans="2:19" x14ac:dyDescent="0.2">
      <c r="B25" s="398">
        <f t="shared" si="4"/>
        <v>2026</v>
      </c>
      <c r="C25" s="399">
        <f>($D$47*'Tariff Page'!D20+$D$48*'Tariff Page'!C20+$D$49*'Tariff Page'!F20+$D$50*'Tariff Page'!E20)*10</f>
        <v>64.23487671232877</v>
      </c>
      <c r="D25" s="399">
        <v>51.197890410958905</v>
      </c>
      <c r="E25" s="399">
        <f t="shared" si="0"/>
        <v>13.036986301369865</v>
      </c>
      <c r="F25" s="400">
        <f>($H$47*'Tariff Page Wind'!D20+$H$48*'Tariff Page Wind'!C20+$H$49*'Tariff Page Wind'!F20+$H$50*'Tariff Page Wind'!E20)*10</f>
        <v>46.056512595014532</v>
      </c>
      <c r="G25" s="399">
        <v>44.171574619539697</v>
      </c>
      <c r="H25" s="399">
        <f t="shared" si="1"/>
        <v>1.8849379754748341</v>
      </c>
      <c r="I25" s="400">
        <f>($K$47*'Tariff Page Solar Fixed'!D20+$K$48*'Tariff Page Solar Fixed'!C20+$K$49*'Tariff Page Solar Fixed'!F20+$K$50*'Tariff Page Solar Fixed'!E20)*10</f>
        <v>64.396096934326692</v>
      </c>
      <c r="J25" s="399">
        <v>48.62207009299177</v>
      </c>
      <c r="K25" s="399">
        <f t="shared" si="2"/>
        <v>15.774026841334923</v>
      </c>
      <c r="L25" s="400">
        <f>($N$47*'Tariff Page Solar Tracking'!D20+$N$48*'Tariff Page Solar Tracking'!C20+$N$49*'Tariff Page Solar Tracking'!F20+$N$50*'Tariff Page Solar Tracking'!E20)*10</f>
        <v>68.757632661699617</v>
      </c>
      <c r="M25" s="399">
        <v>49.272070092991775</v>
      </c>
      <c r="N25" s="399">
        <f t="shared" si="3"/>
        <v>19.485562568707842</v>
      </c>
      <c r="S25" s="401"/>
    </row>
    <row r="26" spans="2:19" x14ac:dyDescent="0.2">
      <c r="B26" s="398">
        <f t="shared" si="4"/>
        <v>2027</v>
      </c>
      <c r="C26" s="399">
        <f>($D$47*'Tariff Page'!D21+$D$48*'Tariff Page'!C21+$D$49*'Tariff Page'!F21+$D$50*'Tariff Page'!E21)*10</f>
        <v>60.448136986301364</v>
      </c>
      <c r="D26" s="399">
        <v>60.448136986301364</v>
      </c>
      <c r="E26" s="399">
        <f t="shared" si="0"/>
        <v>0</v>
      </c>
      <c r="F26" s="400">
        <f>($H$47*'Tariff Page Wind'!D21+$H$48*'Tariff Page Wind'!C21+$H$49*'Tariff Page Wind'!F21+$H$50*'Tariff Page Wind'!E21)*10</f>
        <v>38.101800192172412</v>
      </c>
      <c r="G26" s="399">
        <v>38.101800192172412</v>
      </c>
      <c r="H26" s="399">
        <f t="shared" si="1"/>
        <v>0</v>
      </c>
      <c r="I26" s="400">
        <f>($K$47*'Tariff Page Solar Fixed'!D21+$K$48*'Tariff Page Solar Fixed'!C21+$K$49*'Tariff Page Solar Fixed'!F21+$K$50*'Tariff Page Solar Fixed'!E21)*10</f>
        <v>61.439737692921462</v>
      </c>
      <c r="J26" s="399">
        <v>61.439737692921462</v>
      </c>
      <c r="K26" s="399">
        <f t="shared" si="2"/>
        <v>0</v>
      </c>
      <c r="L26" s="400">
        <f>($N$47*'Tariff Page Solar Tracking'!D21+$N$48*'Tariff Page Solar Tracking'!C21+$N$49*'Tariff Page Solar Tracking'!F21+$N$50*'Tariff Page Solar Tracking'!E21)*10</f>
        <v>67.277905913980391</v>
      </c>
      <c r="M26" s="399">
        <v>67.277905913980391</v>
      </c>
      <c r="N26" s="399">
        <f t="shared" si="3"/>
        <v>0</v>
      </c>
      <c r="S26" s="401"/>
    </row>
    <row r="27" spans="2:19" x14ac:dyDescent="0.2">
      <c r="B27" s="398">
        <f t="shared" si="4"/>
        <v>2028</v>
      </c>
      <c r="C27" s="399">
        <f>($D$47*'Tariff Page'!D22+$D$48*'Tariff Page'!C22+$D$49*'Tariff Page'!F22+$D$50*'Tariff Page'!E22)*10</f>
        <v>62.385789954337895</v>
      </c>
      <c r="D27" s="399">
        <v>62.385789954337895</v>
      </c>
      <c r="E27" s="399">
        <f t="shared" si="0"/>
        <v>0</v>
      </c>
      <c r="F27" s="400">
        <f>($H$47*'Tariff Page Wind'!D22+$H$48*'Tariff Page Wind'!C22+$H$49*'Tariff Page Wind'!F22+$H$50*'Tariff Page Wind'!E22)*10</f>
        <v>39.943171667394992</v>
      </c>
      <c r="G27" s="399">
        <v>39.943171667394992</v>
      </c>
      <c r="H27" s="399">
        <f t="shared" si="1"/>
        <v>0</v>
      </c>
      <c r="I27" s="400">
        <f>($K$47*'Tariff Page Solar Fixed'!D22+$K$48*'Tariff Page Solar Fixed'!C22+$K$49*'Tariff Page Solar Fixed'!F22+$K$50*'Tariff Page Solar Fixed'!E22)*10</f>
        <v>63.458759295816726</v>
      </c>
      <c r="J27" s="399">
        <v>63.458759295816726</v>
      </c>
      <c r="K27" s="399">
        <f t="shared" si="2"/>
        <v>0</v>
      </c>
      <c r="L27" s="400">
        <f>($N$47*'Tariff Page Solar Tracking'!D22+$N$48*'Tariff Page Solar Tracking'!C22+$N$49*'Tariff Page Solar Tracking'!F22+$N$50*'Tariff Page Solar Tracking'!E22)*10</f>
        <v>69.386722736086284</v>
      </c>
      <c r="M27" s="399">
        <v>69.386722736086284</v>
      </c>
      <c r="N27" s="399">
        <f t="shared" si="3"/>
        <v>0</v>
      </c>
      <c r="S27" s="401"/>
    </row>
    <row r="28" spans="2:19" x14ac:dyDescent="0.2">
      <c r="B28" s="398">
        <f t="shared" si="4"/>
        <v>2029</v>
      </c>
      <c r="C28" s="399">
        <f>($D$47*'Tariff Page'!D23+$D$48*'Tariff Page'!C23+$D$49*'Tariff Page'!F23+$D$50*'Tariff Page'!E23)*10</f>
        <v>64.6490502283105</v>
      </c>
      <c r="D28" s="399">
        <v>64.6490502283105</v>
      </c>
      <c r="E28" s="399">
        <f t="shared" si="0"/>
        <v>0</v>
      </c>
      <c r="F28" s="400">
        <f>($H$47*'Tariff Page Wind'!D23+$H$48*'Tariff Page Wind'!C23+$H$49*'Tariff Page Wind'!F23+$H$50*'Tariff Page Wind'!E23)*10</f>
        <v>41.474543142617577</v>
      </c>
      <c r="G28" s="399">
        <v>41.474543142617577</v>
      </c>
      <c r="H28" s="399">
        <f t="shared" si="1"/>
        <v>0</v>
      </c>
      <c r="I28" s="400">
        <f>($K$47*'Tariff Page Solar Fixed'!D23+$K$48*'Tariff Page Solar Fixed'!C23+$K$49*'Tariff Page Solar Fixed'!F23+$K$50*'Tariff Page Solar Fixed'!E23)*10</f>
        <v>65.797780898711963</v>
      </c>
      <c r="J28" s="399">
        <v>65.797780898711963</v>
      </c>
      <c r="K28" s="399">
        <f t="shared" si="2"/>
        <v>0</v>
      </c>
      <c r="L28" s="400">
        <f>($N$47*'Tariff Page Solar Tracking'!D23+$N$48*'Tariff Page Solar Tracking'!C23+$N$49*'Tariff Page Solar Tracking'!F23+$N$50*'Tariff Page Solar Tracking'!E23)*10</f>
        <v>71.835494051350096</v>
      </c>
      <c r="M28" s="399">
        <v>71.835494051350096</v>
      </c>
      <c r="N28" s="399">
        <f t="shared" si="3"/>
        <v>0</v>
      </c>
      <c r="S28" s="401"/>
    </row>
    <row r="29" spans="2:19" x14ac:dyDescent="0.2">
      <c r="B29" s="398">
        <f t="shared" si="4"/>
        <v>2030</v>
      </c>
      <c r="C29" s="399">
        <f>($D$47*'Tariff Page'!D24+$D$48*'Tariff Page'!C24+$D$49*'Tariff Page'!F24+$D$50*'Tariff Page'!E24)*10</f>
        <v>66.94352511415525</v>
      </c>
      <c r="D29" s="399">
        <v>66.94352511415525</v>
      </c>
      <c r="E29" s="399">
        <f t="shared" si="0"/>
        <v>0</v>
      </c>
      <c r="F29" s="400">
        <f>($H$47*'Tariff Page Wind'!D24+$H$48*'Tariff Page Wind'!C24+$H$49*'Tariff Page Wind'!F24+$H$50*'Tariff Page Wind'!E24)*10</f>
        <v>43.665914617840158</v>
      </c>
      <c r="G29" s="399">
        <v>43.665914617840158</v>
      </c>
      <c r="H29" s="399">
        <f t="shared" si="1"/>
        <v>0</v>
      </c>
      <c r="I29" s="400">
        <f>($K$47*'Tariff Page Solar Fixed'!D24+$K$48*'Tariff Page Solar Fixed'!C24+$K$49*'Tariff Page Solar Fixed'!F24+$K$50*'Tariff Page Solar Fixed'!E24)*10</f>
        <v>68.156802501607231</v>
      </c>
      <c r="J29" s="399">
        <v>68.156802501607231</v>
      </c>
      <c r="K29" s="399">
        <f t="shared" si="2"/>
        <v>0</v>
      </c>
      <c r="L29" s="400">
        <f>($N$47*'Tariff Page Solar Tracking'!D24+$N$48*'Tariff Page Solar Tracking'!C24+$N$49*'Tariff Page Solar Tracking'!F24+$N$50*'Tariff Page Solar Tracking'!E24)*10</f>
        <v>74.294288120034949</v>
      </c>
      <c r="M29" s="399">
        <v>74.294288120034949</v>
      </c>
      <c r="N29" s="399">
        <f t="shared" si="3"/>
        <v>0</v>
      </c>
      <c r="S29" s="401"/>
    </row>
    <row r="30" spans="2:19" x14ac:dyDescent="0.2">
      <c r="B30" s="398">
        <f t="shared" si="4"/>
        <v>2031</v>
      </c>
      <c r="C30" s="399">
        <f>($D$47*'Tariff Page'!D25+$D$48*'Tariff Page'!C25+$D$49*'Tariff Page'!F25+$D$50*'Tariff Page'!E25)*10</f>
        <v>68.324821917808208</v>
      </c>
      <c r="D30" s="399">
        <v>68.324821917808208</v>
      </c>
      <c r="E30" s="399">
        <f t="shared" si="0"/>
        <v>0</v>
      </c>
      <c r="F30" s="400">
        <f>($H$47*'Tariff Page Wind'!D25+$H$48*'Tariff Page Wind'!C25+$H$49*'Tariff Page Wind'!F25+$H$50*'Tariff Page Wind'!E25)*10</f>
        <v>43.921237745002941</v>
      </c>
      <c r="G30" s="399">
        <v>43.921237745002941</v>
      </c>
      <c r="H30" s="399">
        <f t="shared" si="1"/>
        <v>0</v>
      </c>
      <c r="I30" s="400">
        <f>($K$47*'Tariff Page Solar Fixed'!D25+$K$48*'Tariff Page Solar Fixed'!C25+$K$49*'Tariff Page Solar Fixed'!F25+$K$50*'Tariff Page Solar Fixed'!E25)*10</f>
        <v>69.625733090818315</v>
      </c>
      <c r="J30" s="399">
        <v>69.625733090818315</v>
      </c>
      <c r="K30" s="399">
        <f t="shared" si="2"/>
        <v>0</v>
      </c>
      <c r="L30" s="400">
        <f>($N$47*'Tariff Page Solar Tracking'!D25+$N$48*'Tariff Page Solar Tracking'!C25+$N$49*'Tariff Page Solar Tracking'!F25+$N$50*'Tariff Page Solar Tracking'!E25)*10</f>
        <v>75.872968421614587</v>
      </c>
      <c r="M30" s="399">
        <v>75.872968421614587</v>
      </c>
      <c r="N30" s="399">
        <f t="shared" si="3"/>
        <v>0</v>
      </c>
      <c r="S30" s="401"/>
    </row>
    <row r="31" spans="2:19" x14ac:dyDescent="0.2">
      <c r="B31" s="398">
        <f t="shared" si="4"/>
        <v>2032</v>
      </c>
      <c r="C31" s="399">
        <f>($D$47*'Tariff Page'!D26+$D$48*'Tariff Page'!C26+$D$49*'Tariff Page'!F26+$D$50*'Tariff Page'!E26)*10</f>
        <v>69.657333333333341</v>
      </c>
      <c r="D31" s="399">
        <v>69.657333333333341</v>
      </c>
      <c r="E31" s="399">
        <f t="shared" si="0"/>
        <v>0</v>
      </c>
      <c r="F31" s="400">
        <f>($H$47*'Tariff Page Wind'!D26+$H$48*'Tariff Page Wind'!C26+$H$49*'Tariff Page Wind'!F26+$H$50*'Tariff Page Wind'!E26)*10</f>
        <v>44.626560872165726</v>
      </c>
      <c r="G31" s="399">
        <v>44.626560872165726</v>
      </c>
      <c r="H31" s="399">
        <f t="shared" si="1"/>
        <v>0</v>
      </c>
      <c r="I31" s="400">
        <f>($K$47*'Tariff Page Solar Fixed'!D26+$K$48*'Tariff Page Solar Fixed'!C26+$K$49*'Tariff Page Solar Fixed'!F26+$K$50*'Tariff Page Solar Fixed'!E26)*10</f>
        <v>71.034663680029425</v>
      </c>
      <c r="J31" s="399">
        <v>71.034663680029425</v>
      </c>
      <c r="K31" s="399">
        <f t="shared" si="2"/>
        <v>0</v>
      </c>
      <c r="L31" s="400">
        <f>($N$47*'Tariff Page Solar Tracking'!D26+$N$48*'Tariff Page Solar Tracking'!C26+$N$49*'Tariff Page Solar Tracking'!F26+$N$50*'Tariff Page Solar Tracking'!E26)*10</f>
        <v>77.401625969773193</v>
      </c>
      <c r="M31" s="399">
        <v>77.401625969773193</v>
      </c>
      <c r="N31" s="399">
        <f t="shared" si="3"/>
        <v>0</v>
      </c>
      <c r="S31" s="401"/>
    </row>
    <row r="32" spans="2:19" x14ac:dyDescent="0.2">
      <c r="B32" s="398">
        <f t="shared" si="4"/>
        <v>2033</v>
      </c>
      <c r="C32" s="399">
        <f>($D$47*'Tariff Page'!D27+$D$48*'Tariff Page'!C27+$D$49*'Tariff Page'!F27+$D$50*'Tariff Page'!E27)*10</f>
        <v>71.061059360730582</v>
      </c>
      <c r="D32" s="399">
        <v>71.061059360730582</v>
      </c>
      <c r="E32" s="399">
        <f t="shared" si="0"/>
        <v>0</v>
      </c>
      <c r="F32" s="400">
        <f>($H$47*'Tariff Page Wind'!D27+$H$48*'Tariff Page Wind'!C27+$H$49*'Tariff Page Wind'!F27+$H$50*'Tariff Page Wind'!E27)*10</f>
        <v>45.215835651268712</v>
      </c>
      <c r="G32" s="399">
        <v>45.215835651268712</v>
      </c>
      <c r="H32" s="399">
        <f t="shared" si="1"/>
        <v>0</v>
      </c>
      <c r="I32" s="400">
        <f>($K$47*'Tariff Page Solar Fixed'!D27+$K$48*'Tariff Page Solar Fixed'!C27+$K$49*'Tariff Page Solar Fixed'!F27+$K$50*'Tariff Page Solar Fixed'!E27)*10</f>
        <v>72.53352600897739</v>
      </c>
      <c r="J32" s="399">
        <v>72.53352600897739</v>
      </c>
      <c r="K32" s="399">
        <f t="shared" si="2"/>
        <v>0</v>
      </c>
      <c r="L32" s="400">
        <f>($N$47*'Tariff Page Solar Tracking'!D27+$N$48*'Tariff Page Solar Tracking'!C27+$N$49*'Tariff Page Solar Tracking'!F27+$N$50*'Tariff Page Solar Tracking'!E27)*10</f>
        <v>79.01023801108974</v>
      </c>
      <c r="M32" s="399">
        <v>79.01023801108974</v>
      </c>
      <c r="N32" s="399">
        <f t="shared" si="3"/>
        <v>0</v>
      </c>
      <c r="S32" s="401"/>
    </row>
    <row r="33" spans="2:22" x14ac:dyDescent="0.2">
      <c r="B33" s="398">
        <f t="shared" si="4"/>
        <v>2034</v>
      </c>
      <c r="C33" s="399">
        <f>($D$47*'Tariff Page'!D28+$D$48*'Tariff Page'!C28+$D$49*'Tariff Page'!F28+$D$50*'Tariff Page'!E28)*10</f>
        <v>72.480392694063923</v>
      </c>
      <c r="D33" s="399">
        <v>72.480392694063923</v>
      </c>
      <c r="E33" s="399">
        <f t="shared" si="0"/>
        <v>0</v>
      </c>
      <c r="F33" s="400">
        <f>($H$47*'Tariff Page Wind'!D28+$H$48*'Tariff Page Wind'!C28+$H$49*'Tariff Page Wind'!F28+$H$50*'Tariff Page Wind'!E28)*10</f>
        <v>46.115110430371686</v>
      </c>
      <c r="G33" s="399">
        <v>46.115110430371686</v>
      </c>
      <c r="H33" s="399">
        <f t="shared" si="1"/>
        <v>0</v>
      </c>
      <c r="I33" s="400">
        <f>($K$47*'Tariff Page Solar Fixed'!D28+$K$48*'Tariff Page Solar Fixed'!C28+$K$49*'Tariff Page Solar Fixed'!F28+$K$50*'Tariff Page Solar Fixed'!E28)*10</f>
        <v>74.032411091346418</v>
      </c>
      <c r="J33" s="399">
        <v>74.032411091346418</v>
      </c>
      <c r="K33" s="399">
        <f t="shared" si="2"/>
        <v>0</v>
      </c>
      <c r="L33" s="400">
        <f>($N$47*'Tariff Page Solar Tracking'!D28+$N$48*'Tariff Page Solar Tracking'!C28+$N$49*'Tariff Page Solar Tracking'!F28+$N$50*'Tariff Page Solar Tracking'!E28)*10</f>
        <v>80.618872805827294</v>
      </c>
      <c r="M33" s="399">
        <v>80.618872805827294</v>
      </c>
      <c r="N33" s="399">
        <f t="shared" si="3"/>
        <v>0</v>
      </c>
      <c r="S33" s="401"/>
    </row>
    <row r="34" spans="2:22" x14ac:dyDescent="0.2">
      <c r="B34" s="398">
        <f t="shared" si="4"/>
        <v>2035</v>
      </c>
      <c r="C34" s="399">
        <f>($D$47*'Tariff Page'!D29+$D$48*'Tariff Page'!C29+$D$49*'Tariff Page'!F29+$D$50*'Tariff Page'!E29)*10</f>
        <v>73.900940639269407</v>
      </c>
      <c r="D34" s="399">
        <v>73.900940639269407</v>
      </c>
      <c r="E34" s="399">
        <f t="shared" si="0"/>
        <v>0</v>
      </c>
      <c r="F34" s="400">
        <f>($H$47*'Tariff Page Wind'!D29+$H$48*'Tariff Page Wind'!C29+$H$49*'Tariff Page Wind'!F29+$H$50*'Tariff Page Wind'!E29)*10</f>
        <v>46.998336861414877</v>
      </c>
      <c r="G34" s="399">
        <v>46.998336861414877</v>
      </c>
      <c r="H34" s="399">
        <f t="shared" si="1"/>
        <v>0</v>
      </c>
      <c r="I34" s="400">
        <f>($K$47*'Tariff Page Solar Fixed'!D29+$K$48*'Tariff Page Solar Fixed'!C29+$K$49*'Tariff Page Solar Fixed'!F29+$K$50*'Tariff Page Solar Fixed'!E29)*10</f>
        <v>75.541250666873324</v>
      </c>
      <c r="J34" s="399">
        <v>75.541250666873324</v>
      </c>
      <c r="K34" s="399">
        <f t="shared" si="2"/>
        <v>0</v>
      </c>
      <c r="L34" s="400">
        <f>($N$47*'Tariff Page Solar Tracking'!D29+$N$48*'Tariff Page Solar Tracking'!C29+$N$49*'Tariff Page Solar Tracking'!F29+$N$50*'Tariff Page Solar Tracking'!E29)*10</f>
        <v>82.257416586880709</v>
      </c>
      <c r="M34" s="399">
        <v>82.257416586880709</v>
      </c>
      <c r="N34" s="399">
        <f t="shared" si="3"/>
        <v>0</v>
      </c>
      <c r="S34" s="401"/>
    </row>
    <row r="35" spans="2:22" x14ac:dyDescent="0.2">
      <c r="B35" s="398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</row>
    <row r="36" spans="2:22" hidden="1" x14ac:dyDescent="0.2">
      <c r="B36" s="398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</row>
    <row r="37" spans="2:22" hidden="1" x14ac:dyDescent="0.2"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</row>
    <row r="38" spans="2:22" x14ac:dyDescent="0.2">
      <c r="C38" s="403"/>
      <c r="F38" s="403"/>
      <c r="I38" s="403"/>
      <c r="L38" s="403"/>
    </row>
    <row r="39" spans="2:22" x14ac:dyDescent="0.2">
      <c r="B39" s="404" t="str">
        <f>"20 Year ("&amp;B14&amp;" to "&amp;B33&amp;") Levelized Prices (Nominal) @ "&amp;TEXT($P$40,"?.000%")&amp;" Discount Rate (2)"</f>
        <v>20 Year (2015 to 2034) Levelized Prices (Nominal) @ 6.882% Discount Rate (2)</v>
      </c>
      <c r="C39" s="403"/>
      <c r="F39" s="403"/>
      <c r="I39" s="403"/>
      <c r="L39" s="403"/>
      <c r="O39" s="405"/>
      <c r="P39" s="60" t="s">
        <v>155</v>
      </c>
    </row>
    <row r="40" spans="2:22" x14ac:dyDescent="0.2">
      <c r="B40" s="406" t="s">
        <v>40</v>
      </c>
      <c r="C40" s="399">
        <f t="shared" ref="C40:N40" si="5">-PMT($P$40,COUNT(C14:C33),NPV($P$40,C14:C33))</f>
        <v>52.489361858046159</v>
      </c>
      <c r="D40" s="399">
        <f t="shared" si="5"/>
        <v>45.464846863762403</v>
      </c>
      <c r="E40" s="399">
        <f t="shared" si="5"/>
        <v>7.0245149942837548</v>
      </c>
      <c r="F40" s="399">
        <f t="shared" si="5"/>
        <v>36.802240089740103</v>
      </c>
      <c r="G40" s="399">
        <f t="shared" si="5"/>
        <v>35.78797716884813</v>
      </c>
      <c r="H40" s="399">
        <f t="shared" si="5"/>
        <v>1.0142629208919751</v>
      </c>
      <c r="I40" s="399">
        <f t="shared" si="5"/>
        <v>52.264010194424586</v>
      </c>
      <c r="J40" s="399">
        <f t="shared" si="5"/>
        <v>43.765420639297673</v>
      </c>
      <c r="K40" s="399">
        <f t="shared" si="5"/>
        <v>8.4985895551269124</v>
      </c>
      <c r="L40" s="399">
        <f t="shared" si="5"/>
        <v>56.306195756295629</v>
      </c>
      <c r="M40" s="399">
        <f t="shared" si="5"/>
        <v>45.80755025545227</v>
      </c>
      <c r="N40" s="399">
        <f t="shared" si="5"/>
        <v>10.498645500843367</v>
      </c>
      <c r="O40" s="407"/>
      <c r="P40" s="184">
        <v>6.8820000000000006E-2</v>
      </c>
    </row>
    <row r="41" spans="2:22" x14ac:dyDescent="0.2"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</row>
    <row r="42" spans="2:22" x14ac:dyDescent="0.2">
      <c r="B42" s="413" t="s">
        <v>322</v>
      </c>
    </row>
    <row r="43" spans="2:22" x14ac:dyDescent="0.2">
      <c r="B43" s="413" t="s">
        <v>315</v>
      </c>
    </row>
    <row r="44" spans="2:22" x14ac:dyDescent="0.2">
      <c r="B44" s="406"/>
    </row>
    <row r="45" spans="2:22" x14ac:dyDescent="0.2">
      <c r="B45" s="409"/>
      <c r="C45" s="410"/>
      <c r="D45" s="408"/>
      <c r="E45" s="408"/>
      <c r="F45" s="410"/>
      <c r="G45" s="408"/>
      <c r="H45" s="408"/>
      <c r="I45" s="410"/>
      <c r="J45" s="408"/>
      <c r="K45" s="408"/>
      <c r="L45" s="410"/>
      <c r="M45" s="408"/>
      <c r="N45" s="408"/>
      <c r="O45" s="408"/>
      <c r="P45" s="408"/>
      <c r="Q45" s="408"/>
      <c r="R45" s="408"/>
      <c r="S45" s="411"/>
      <c r="T45" s="411"/>
      <c r="U45" s="411"/>
      <c r="V45" s="411"/>
    </row>
    <row r="46" spans="2:22" x14ac:dyDescent="0.2">
      <c r="B46"/>
      <c r="C46" t="s">
        <v>301</v>
      </c>
      <c r="D46" t="s">
        <v>302</v>
      </c>
      <c r="E46"/>
      <c r="F46" t="s">
        <v>303</v>
      </c>
      <c r="G46"/>
      <c r="H46"/>
      <c r="I46" t="s">
        <v>304</v>
      </c>
      <c r="J46"/>
      <c r="K46" s="329"/>
      <c r="L46" s="378"/>
      <c r="M46" s="329"/>
      <c r="N46" s="329"/>
    </row>
    <row r="47" spans="2:22" x14ac:dyDescent="0.2">
      <c r="B47" s="329" t="s">
        <v>273</v>
      </c>
      <c r="C47" s="329">
        <v>1632</v>
      </c>
      <c r="D47" s="246">
        <v>0.18630136986301371</v>
      </c>
      <c r="E47" s="246"/>
      <c r="F47" s="246"/>
      <c r="G47" s="246"/>
      <c r="H47" s="379">
        <v>9.8465175706031097E-2</v>
      </c>
      <c r="I47" s="246"/>
      <c r="J47" s="246"/>
      <c r="K47" s="379">
        <v>0.38376957980028714</v>
      </c>
      <c r="L47" s="378"/>
      <c r="M47" s="246"/>
      <c r="N47" s="379">
        <v>0.38376957980028714</v>
      </c>
    </row>
    <row r="48" spans="2:22" x14ac:dyDescent="0.2">
      <c r="B48" s="329" t="s">
        <v>274</v>
      </c>
      <c r="C48" s="329">
        <v>3280</v>
      </c>
      <c r="D48" s="246">
        <v>0.37442922374429222</v>
      </c>
      <c r="E48" s="246"/>
      <c r="F48" s="246"/>
      <c r="G48" s="246"/>
      <c r="H48" s="379">
        <v>0.29670001831385018</v>
      </c>
      <c r="I48" s="246"/>
      <c r="J48" s="246"/>
      <c r="K48" s="379">
        <v>0.61395507809565952</v>
      </c>
      <c r="L48" s="378"/>
      <c r="M48" s="246"/>
      <c r="N48" s="379">
        <v>0.61395507809565952</v>
      </c>
    </row>
    <row r="49" spans="2:14" x14ac:dyDescent="0.2">
      <c r="B49" s="329" t="s">
        <v>275</v>
      </c>
      <c r="C49" s="329">
        <v>1296</v>
      </c>
      <c r="D49" s="246">
        <v>0.14794520547945206</v>
      </c>
      <c r="E49" s="246"/>
      <c r="F49" s="246"/>
      <c r="G49" s="246"/>
      <c r="H49" s="379">
        <v>0.15034737329992051</v>
      </c>
      <c r="I49" s="246"/>
      <c r="J49" s="246"/>
      <c r="K49" s="379">
        <v>1.4148075728142027E-3</v>
      </c>
      <c r="L49" s="378"/>
      <c r="M49" s="246"/>
      <c r="N49" s="379">
        <v>1.4148075728142027E-3</v>
      </c>
    </row>
    <row r="50" spans="2:14" x14ac:dyDescent="0.2">
      <c r="B50" s="329" t="s">
        <v>276</v>
      </c>
      <c r="C50" s="329">
        <v>2552</v>
      </c>
      <c r="D50" s="246">
        <v>0.29132420091324202</v>
      </c>
      <c r="E50" s="246"/>
      <c r="F50" s="329"/>
      <c r="G50" s="246"/>
      <c r="H50" s="379">
        <v>0.45448743268019814</v>
      </c>
      <c r="I50" s="329"/>
      <c r="J50" s="246"/>
      <c r="K50" s="379">
        <v>8.605345312390851E-4</v>
      </c>
      <c r="L50" s="378"/>
      <c r="M50" s="329"/>
      <c r="N50" s="379">
        <v>8.605345312390851E-4</v>
      </c>
    </row>
    <row r="52" spans="2:14" x14ac:dyDescent="0.2">
      <c r="F52" s="412"/>
      <c r="I52" s="412"/>
      <c r="J52" s="412"/>
      <c r="L52" s="412"/>
    </row>
  </sheetData>
  <pageMargins left="0.7" right="0.7" top="0.75" bottom="0.75" header="0.3" footer="0.3"/>
  <pageSetup scale="70" orientation="landscape" r:id="rId1"/>
  <headerFooter>
    <oddFooter>&amp;L&amp;F</oddFooter>
  </headerFooter>
  <rowBreaks count="1" manualBreakCount="1">
    <brk id="4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47"/>
  <sheetViews>
    <sheetView view="pageBreakPreview" topLeftCell="A2" zoomScale="60" zoomScaleNormal="100" workbookViewId="0">
      <selection activeCell="O1" sqref="O1"/>
    </sheetView>
  </sheetViews>
  <sheetFormatPr defaultRowHeight="12.75" x14ac:dyDescent="0.2"/>
  <cols>
    <col min="1" max="1" width="1.33203125" style="56" customWidth="1"/>
    <col min="2" max="2" width="6.5" style="56" customWidth="1"/>
    <col min="3" max="3" width="9.83203125" style="56" customWidth="1"/>
    <col min="4" max="4" width="12.1640625" style="56" customWidth="1"/>
    <col min="5" max="5" width="9.1640625" style="56" customWidth="1"/>
    <col min="6" max="6" width="9.83203125" style="56" bestFit="1" customWidth="1"/>
    <col min="7" max="8" width="10.1640625" style="56" customWidth="1"/>
    <col min="9" max="9" width="9" style="56" customWidth="1"/>
    <col min="10" max="10" width="10.33203125" style="56" customWidth="1"/>
    <col min="11" max="11" width="10.5" style="56" customWidth="1"/>
    <col min="12" max="13" width="9.33203125" style="56"/>
    <col min="14" max="15" width="0" style="56" hidden="1" customWidth="1"/>
    <col min="16" max="16384" width="9.33203125" style="56"/>
  </cols>
  <sheetData>
    <row r="1" spans="1:12" ht="15.75" x14ac:dyDescent="0.25">
      <c r="B1" s="24" t="s">
        <v>85</v>
      </c>
      <c r="C1" s="129"/>
      <c r="D1" s="129"/>
      <c r="E1" s="129"/>
      <c r="F1" s="129"/>
      <c r="G1" s="129"/>
      <c r="H1" s="129"/>
      <c r="I1" s="129"/>
      <c r="J1" s="129"/>
      <c r="K1" s="24"/>
    </row>
    <row r="2" spans="1:12" ht="15.75" x14ac:dyDescent="0.25">
      <c r="B2" s="24" t="s">
        <v>86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2" ht="15.75" x14ac:dyDescent="0.25">
      <c r="B3" s="24"/>
      <c r="C3" s="129"/>
      <c r="D3" s="129"/>
      <c r="E3" s="129"/>
      <c r="F3" s="129"/>
      <c r="G3" s="129"/>
      <c r="H3" s="129"/>
      <c r="I3" s="129"/>
      <c r="J3" s="129"/>
      <c r="K3" s="134" t="s">
        <v>87</v>
      </c>
    </row>
    <row r="4" spans="1:12" ht="5.25" customHeight="1" x14ac:dyDescent="0.2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51.75" customHeight="1" x14ac:dyDescent="0.2">
      <c r="A5" s="138"/>
      <c r="B5" s="25" t="s">
        <v>2</v>
      </c>
      <c r="C5" s="26" t="s">
        <v>42</v>
      </c>
      <c r="D5" s="26" t="s">
        <v>43</v>
      </c>
      <c r="E5" s="26" t="s">
        <v>44</v>
      </c>
      <c r="F5" s="26" t="s">
        <v>45</v>
      </c>
      <c r="G5" s="26" t="s">
        <v>46</v>
      </c>
      <c r="H5" s="26" t="s">
        <v>47</v>
      </c>
      <c r="I5" s="136"/>
      <c r="J5" s="136"/>
      <c r="K5" s="136"/>
      <c r="L5" s="137"/>
    </row>
    <row r="6" spans="1:12" ht="18.75" customHeight="1" x14ac:dyDescent="0.2">
      <c r="B6" s="27"/>
      <c r="C6" s="28" t="s">
        <v>38</v>
      </c>
      <c r="D6" s="29" t="s">
        <v>39</v>
      </c>
      <c r="E6" s="29" t="s">
        <v>39</v>
      </c>
      <c r="F6" s="29" t="s">
        <v>40</v>
      </c>
      <c r="G6" s="29" t="s">
        <v>39</v>
      </c>
      <c r="H6" s="29" t="s">
        <v>39</v>
      </c>
      <c r="I6" s="136"/>
      <c r="J6" s="136"/>
      <c r="K6" s="136"/>
      <c r="L6" s="137"/>
    </row>
    <row r="7" spans="1:12" x14ac:dyDescent="0.2">
      <c r="C7" s="30" t="s">
        <v>22</v>
      </c>
      <c r="D7" s="30" t="s">
        <v>23</v>
      </c>
      <c r="E7" s="30" t="s">
        <v>24</v>
      </c>
      <c r="F7" s="30" t="s">
        <v>25</v>
      </c>
      <c r="G7" s="30" t="s">
        <v>26</v>
      </c>
      <c r="H7" s="30" t="s">
        <v>32</v>
      </c>
      <c r="I7" s="136"/>
      <c r="J7" s="136"/>
      <c r="K7" s="136"/>
    </row>
    <row r="8" spans="1:12" ht="6" customHeight="1" x14ac:dyDescent="0.2">
      <c r="I8" s="136"/>
      <c r="J8" s="136"/>
      <c r="K8" s="136"/>
    </row>
    <row r="9" spans="1:12" ht="15.75" x14ac:dyDescent="0.25">
      <c r="B9" s="31" t="str">
        <f>C43</f>
        <v>SCCT Frame "F" x 1 - East Side Resource (4,250')</v>
      </c>
      <c r="C9" s="137"/>
      <c r="E9" s="137"/>
      <c r="F9" s="137"/>
      <c r="G9" s="137"/>
      <c r="H9" s="137"/>
      <c r="I9" s="136"/>
      <c r="J9" s="136"/>
      <c r="K9" s="136"/>
      <c r="L9" s="137"/>
    </row>
    <row r="10" spans="1:12" x14ac:dyDescent="0.2">
      <c r="B10" s="139">
        <v>2012</v>
      </c>
      <c r="C10" s="140">
        <f>C45</f>
        <v>761.56</v>
      </c>
      <c r="D10" s="141">
        <f>ROUND(C10*C50,2)</f>
        <v>60.57</v>
      </c>
      <c r="E10" s="141">
        <f>C48</f>
        <v>31.22</v>
      </c>
      <c r="F10" s="141">
        <f>C49</f>
        <v>10.220000000000001</v>
      </c>
      <c r="G10" s="142">
        <f t="shared" ref="G10:G36" si="0">ROUND(F10*(8.76*$C$51)+E10,2)</f>
        <v>50.02</v>
      </c>
      <c r="H10" s="142">
        <f t="shared" ref="H10:H34" si="1">ROUND(D10+G10,2)</f>
        <v>110.59</v>
      </c>
      <c r="I10" s="136"/>
      <c r="J10" s="136"/>
      <c r="K10" s="136"/>
    </row>
    <row r="11" spans="1:12" x14ac:dyDescent="0.2">
      <c r="B11" s="139">
        <f t="shared" ref="B11:B34" si="2">B10+1</f>
        <v>2013</v>
      </c>
      <c r="C11" s="143"/>
      <c r="D11" s="141">
        <f>ROUND(D10*(1+$D$134),2)</f>
        <v>61.42</v>
      </c>
      <c r="E11" s="141">
        <f>ROUND(E10*(1+$D$134),2)</f>
        <v>31.66</v>
      </c>
      <c r="F11" s="141">
        <f>ROUND(F10*(1+$D$134),2)</f>
        <v>10.36</v>
      </c>
      <c r="G11" s="142">
        <f t="shared" si="0"/>
        <v>50.72</v>
      </c>
      <c r="H11" s="142">
        <f t="shared" si="1"/>
        <v>112.14</v>
      </c>
      <c r="I11" s="136"/>
      <c r="J11" s="136"/>
      <c r="K11" s="136"/>
    </row>
    <row r="12" spans="1:12" x14ac:dyDescent="0.2">
      <c r="B12" s="139">
        <f t="shared" si="2"/>
        <v>2014</v>
      </c>
      <c r="C12" s="143"/>
      <c r="D12" s="142">
        <f>ROUND(D11*(1+$D$135),2)</f>
        <v>62.34</v>
      </c>
      <c r="E12" s="142">
        <f>ROUND(E11*(1+$D$135),2)</f>
        <v>32.130000000000003</v>
      </c>
      <c r="F12" s="142">
        <f>ROUND(F11*(1+$D$135),2)</f>
        <v>10.52</v>
      </c>
      <c r="G12" s="142">
        <f t="shared" si="0"/>
        <v>51.48</v>
      </c>
      <c r="H12" s="142">
        <f t="shared" si="1"/>
        <v>113.82</v>
      </c>
      <c r="I12" s="144"/>
      <c r="J12" s="144"/>
      <c r="K12" s="145"/>
    </row>
    <row r="13" spans="1:12" x14ac:dyDescent="0.2">
      <c r="B13" s="139">
        <f t="shared" si="2"/>
        <v>2015</v>
      </c>
      <c r="C13" s="143"/>
      <c r="D13" s="142">
        <f>ROUND(D12*(1+$D$136),2)</f>
        <v>63.4</v>
      </c>
      <c r="E13" s="142">
        <f>ROUND(E12*(1+$D$136),2)</f>
        <v>32.68</v>
      </c>
      <c r="F13" s="142">
        <f>ROUND(F12*(1+$D$136),2)</f>
        <v>10.7</v>
      </c>
      <c r="G13" s="142">
        <f t="shared" si="0"/>
        <v>52.36</v>
      </c>
      <c r="H13" s="142">
        <f t="shared" si="1"/>
        <v>115.76</v>
      </c>
      <c r="I13" s="144"/>
      <c r="J13" s="144"/>
      <c r="K13" s="145"/>
    </row>
    <row r="14" spans="1:12" x14ac:dyDescent="0.2">
      <c r="B14" s="139">
        <f t="shared" si="2"/>
        <v>2016</v>
      </c>
      <c r="C14" s="143"/>
      <c r="D14" s="142">
        <f>ROUND(D13*(1+$D$137),2)</f>
        <v>64.540000000000006</v>
      </c>
      <c r="E14" s="142">
        <f>ROUND(E13*(1+$D$137),2)</f>
        <v>33.270000000000003</v>
      </c>
      <c r="F14" s="142">
        <f>ROUND(F13*(1+$D$137),2)</f>
        <v>10.89</v>
      </c>
      <c r="G14" s="142">
        <f t="shared" si="0"/>
        <v>53.3</v>
      </c>
      <c r="H14" s="142">
        <f t="shared" si="1"/>
        <v>117.84</v>
      </c>
      <c r="I14" s="144"/>
      <c r="J14" s="144"/>
      <c r="K14" s="145"/>
    </row>
    <row r="15" spans="1:12" x14ac:dyDescent="0.2">
      <c r="B15" s="139">
        <f t="shared" si="2"/>
        <v>2017</v>
      </c>
      <c r="C15" s="143"/>
      <c r="D15" s="142">
        <f>ROUND(D14*(1+$D$138),2)</f>
        <v>65.7</v>
      </c>
      <c r="E15" s="142">
        <f>ROUND(E14*(1+$D$138),2)</f>
        <v>33.869999999999997</v>
      </c>
      <c r="F15" s="142">
        <f>ROUND(F14*(1+$D$138),2)</f>
        <v>11.09</v>
      </c>
      <c r="G15" s="142">
        <f t="shared" si="0"/>
        <v>54.27</v>
      </c>
      <c r="H15" s="142">
        <f t="shared" si="1"/>
        <v>119.97</v>
      </c>
      <c r="I15" s="144"/>
      <c r="J15" s="144"/>
      <c r="K15" s="145"/>
    </row>
    <row r="16" spans="1:12" x14ac:dyDescent="0.2">
      <c r="B16" s="139">
        <f t="shared" si="2"/>
        <v>2018</v>
      </c>
      <c r="C16" s="143"/>
      <c r="D16" s="142">
        <f>ROUND(D15*(1+$D$139),2)</f>
        <v>66.88</v>
      </c>
      <c r="E16" s="142">
        <f>ROUND(E15*(1+$D$139),2)</f>
        <v>34.479999999999997</v>
      </c>
      <c r="F16" s="142">
        <f>ROUND(F15*(1+$D$139),2)</f>
        <v>11.29</v>
      </c>
      <c r="G16" s="142">
        <f t="shared" si="0"/>
        <v>55.25</v>
      </c>
      <c r="H16" s="142">
        <f t="shared" si="1"/>
        <v>122.13</v>
      </c>
      <c r="I16" s="144"/>
      <c r="J16" s="144"/>
      <c r="K16" s="145"/>
    </row>
    <row r="17" spans="2:11" x14ac:dyDescent="0.2">
      <c r="B17" s="139">
        <f t="shared" si="2"/>
        <v>2019</v>
      </c>
      <c r="C17" s="143"/>
      <c r="D17" s="146">
        <f>ROUND(D16*(1+$D$140),2)</f>
        <v>68.02</v>
      </c>
      <c r="E17" s="146">
        <f>ROUND(E16*(1+$D$140),2)</f>
        <v>35.07</v>
      </c>
      <c r="F17" s="146">
        <f>ROUND(F16*(1+$D$140),2)</f>
        <v>11.48</v>
      </c>
      <c r="G17" s="142">
        <f t="shared" si="0"/>
        <v>56.19</v>
      </c>
      <c r="H17" s="142">
        <f t="shared" si="1"/>
        <v>124.21</v>
      </c>
      <c r="I17" s="144"/>
      <c r="J17" s="144"/>
      <c r="K17" s="145"/>
    </row>
    <row r="18" spans="2:11" x14ac:dyDescent="0.2">
      <c r="B18" s="139">
        <f t="shared" si="2"/>
        <v>2020</v>
      </c>
      <c r="C18" s="143"/>
      <c r="D18" s="146">
        <f>ROUND(D17*(1+$D$141),2)</f>
        <v>69.239999999999995</v>
      </c>
      <c r="E18" s="146">
        <f>ROUND(E17*(1+$D$141),2)</f>
        <v>35.700000000000003</v>
      </c>
      <c r="F18" s="146">
        <f>ROUND(F17*(1+$D$141),2)</f>
        <v>11.69</v>
      </c>
      <c r="G18" s="142">
        <f t="shared" si="0"/>
        <v>57.2</v>
      </c>
      <c r="H18" s="142">
        <f t="shared" si="1"/>
        <v>126.44</v>
      </c>
      <c r="I18" s="144"/>
      <c r="J18" s="144"/>
      <c r="K18" s="145"/>
    </row>
    <row r="19" spans="2:11" x14ac:dyDescent="0.2">
      <c r="B19" s="139">
        <f t="shared" si="2"/>
        <v>2021</v>
      </c>
      <c r="C19" s="143"/>
      <c r="D19" s="146">
        <f>ROUND(D18*(1+$G$133),2)</f>
        <v>70.56</v>
      </c>
      <c r="E19" s="146">
        <f>ROUND(E18*(1+$G$133),2)</f>
        <v>36.380000000000003</v>
      </c>
      <c r="F19" s="146">
        <f>ROUND(F18*(1+$G$133),2)</f>
        <v>11.91</v>
      </c>
      <c r="G19" s="142">
        <f t="shared" si="0"/>
        <v>58.29</v>
      </c>
      <c r="H19" s="142">
        <f t="shared" si="1"/>
        <v>128.85</v>
      </c>
      <c r="I19" s="144"/>
      <c r="J19" s="144"/>
      <c r="K19" s="145"/>
    </row>
    <row r="20" spans="2:11" x14ac:dyDescent="0.2">
      <c r="B20" s="139">
        <f t="shared" si="2"/>
        <v>2022</v>
      </c>
      <c r="C20" s="143"/>
      <c r="D20" s="146">
        <f>ROUND(D19*(1+$G$134),2)</f>
        <v>71.83</v>
      </c>
      <c r="E20" s="146">
        <f>ROUND(E19*(1+$G$134),2)</f>
        <v>37.03</v>
      </c>
      <c r="F20" s="146">
        <f>ROUND(F19*(1+$G$134),2)</f>
        <v>12.12</v>
      </c>
      <c r="G20" s="142">
        <f t="shared" si="0"/>
        <v>59.33</v>
      </c>
      <c r="H20" s="142">
        <f t="shared" si="1"/>
        <v>131.16</v>
      </c>
      <c r="I20" s="144"/>
      <c r="J20" s="144"/>
      <c r="K20" s="145"/>
    </row>
    <row r="21" spans="2:11" x14ac:dyDescent="0.2">
      <c r="B21" s="139">
        <f t="shared" si="2"/>
        <v>2023</v>
      </c>
      <c r="C21" s="143"/>
      <c r="D21" s="146">
        <f>ROUND(D20*(1+$G$135),2)</f>
        <v>73.12</v>
      </c>
      <c r="E21" s="146">
        <f>ROUND(E20*(1+$G$135),2)</f>
        <v>37.700000000000003</v>
      </c>
      <c r="F21" s="146">
        <f>ROUND(F20*(1+$G$135),2)</f>
        <v>12.34</v>
      </c>
      <c r="G21" s="142">
        <f t="shared" si="0"/>
        <v>60.4</v>
      </c>
      <c r="H21" s="142">
        <f t="shared" si="1"/>
        <v>133.52000000000001</v>
      </c>
      <c r="I21" s="144"/>
      <c r="J21" s="144"/>
      <c r="K21" s="145"/>
    </row>
    <row r="22" spans="2:11" x14ac:dyDescent="0.2">
      <c r="B22" s="139">
        <f t="shared" si="2"/>
        <v>2024</v>
      </c>
      <c r="C22" s="143"/>
      <c r="D22" s="146">
        <f>ROUND(D21*(1+$G$136),2)</f>
        <v>74.44</v>
      </c>
      <c r="E22" s="146">
        <f>ROUND(E21*(1+$G$136),2)</f>
        <v>38.380000000000003</v>
      </c>
      <c r="F22" s="146">
        <f>ROUND(F21*(1+$G$136),2)</f>
        <v>12.56</v>
      </c>
      <c r="G22" s="142">
        <f t="shared" si="0"/>
        <v>61.49</v>
      </c>
      <c r="H22" s="142">
        <f t="shared" si="1"/>
        <v>135.93</v>
      </c>
      <c r="I22" s="144"/>
      <c r="J22" s="144"/>
      <c r="K22" s="145"/>
    </row>
    <row r="23" spans="2:11" x14ac:dyDescent="0.2">
      <c r="B23" s="139">
        <f t="shared" si="2"/>
        <v>2025</v>
      </c>
      <c r="C23" s="143"/>
      <c r="D23" s="146">
        <f>ROUND(D22*(1+$G$137),2)</f>
        <v>75.78</v>
      </c>
      <c r="E23" s="146">
        <f>ROUND(E22*(1+$G$137),2)</f>
        <v>39.07</v>
      </c>
      <c r="F23" s="146">
        <f>ROUND(F22*(1+$G$137),2)</f>
        <v>12.79</v>
      </c>
      <c r="G23" s="142">
        <f t="shared" si="0"/>
        <v>62.6</v>
      </c>
      <c r="H23" s="142">
        <f t="shared" si="1"/>
        <v>138.38</v>
      </c>
      <c r="I23" s="144"/>
      <c r="J23" s="144"/>
      <c r="K23" s="145"/>
    </row>
    <row r="24" spans="2:11" x14ac:dyDescent="0.2">
      <c r="B24" s="139">
        <f t="shared" si="2"/>
        <v>2026</v>
      </c>
      <c r="C24" s="143"/>
      <c r="D24" s="146">
        <f>ROUND(D23*(1+$G$138),2)</f>
        <v>77.22</v>
      </c>
      <c r="E24" s="146">
        <f>ROUND(E23*(1+$G$138),2)</f>
        <v>39.81</v>
      </c>
      <c r="F24" s="146">
        <f>ROUND(F23*(1+$G$138),2)</f>
        <v>13.03</v>
      </c>
      <c r="G24" s="142">
        <f t="shared" si="0"/>
        <v>63.78</v>
      </c>
      <c r="H24" s="142">
        <f t="shared" si="1"/>
        <v>141</v>
      </c>
      <c r="I24" s="144"/>
      <c r="J24" s="144"/>
      <c r="K24" s="145"/>
    </row>
    <row r="25" spans="2:11" x14ac:dyDescent="0.2">
      <c r="B25" s="139">
        <f t="shared" si="2"/>
        <v>2027</v>
      </c>
      <c r="C25" s="143"/>
      <c r="D25" s="146">
        <f>ROUND(D24*(1+$G$139),2)</f>
        <v>78.69</v>
      </c>
      <c r="E25" s="146">
        <f>ROUND(E24*(1+$G$139),2)</f>
        <v>40.57</v>
      </c>
      <c r="F25" s="146">
        <f>ROUND(F24*(1+$G$139),2)</f>
        <v>13.28</v>
      </c>
      <c r="G25" s="142">
        <f t="shared" si="0"/>
        <v>65</v>
      </c>
      <c r="H25" s="142">
        <f t="shared" si="1"/>
        <v>143.69</v>
      </c>
      <c r="I25" s="144"/>
      <c r="J25" s="144"/>
      <c r="K25" s="145"/>
    </row>
    <row r="26" spans="2:11" x14ac:dyDescent="0.2">
      <c r="B26" s="139">
        <f t="shared" si="2"/>
        <v>2028</v>
      </c>
      <c r="C26" s="143"/>
      <c r="D26" s="146">
        <f>ROUND(D25*(1+$G$140),2)</f>
        <v>80.19</v>
      </c>
      <c r="E26" s="146">
        <f>ROUND(E25*(1+$G$140),2)</f>
        <v>41.34</v>
      </c>
      <c r="F26" s="146">
        <f>ROUND(F25*(1+$G$140),2)</f>
        <v>13.53</v>
      </c>
      <c r="G26" s="142">
        <f t="shared" si="0"/>
        <v>66.23</v>
      </c>
      <c r="H26" s="142">
        <f t="shared" si="1"/>
        <v>146.41999999999999</v>
      </c>
      <c r="I26" s="144"/>
      <c r="J26" s="144"/>
      <c r="K26" s="145"/>
    </row>
    <row r="27" spans="2:11" x14ac:dyDescent="0.2">
      <c r="B27" s="139">
        <f t="shared" si="2"/>
        <v>2029</v>
      </c>
      <c r="C27" s="143"/>
      <c r="D27" s="146">
        <f>ROUND(D26*(1+$G$141),2)</f>
        <v>81.709999999999994</v>
      </c>
      <c r="E27" s="146">
        <f>ROUND(E26*(1+$G$141),2)</f>
        <v>42.13</v>
      </c>
      <c r="F27" s="146">
        <f>ROUND(F26*(1+$G$141),2)</f>
        <v>13.79</v>
      </c>
      <c r="G27" s="142">
        <f t="shared" si="0"/>
        <v>67.5</v>
      </c>
      <c r="H27" s="142">
        <f t="shared" si="1"/>
        <v>149.21</v>
      </c>
      <c r="I27" s="144"/>
      <c r="J27" s="144"/>
      <c r="K27" s="145"/>
    </row>
    <row r="28" spans="2:11" x14ac:dyDescent="0.2">
      <c r="B28" s="139">
        <f t="shared" si="2"/>
        <v>2030</v>
      </c>
      <c r="C28" s="143"/>
      <c r="D28" s="146">
        <f>ROUND(D27*(1+$J$133),2)</f>
        <v>83.26</v>
      </c>
      <c r="E28" s="146">
        <f>ROUND(E27*(1+$J$133),2)</f>
        <v>42.93</v>
      </c>
      <c r="F28" s="146">
        <f>ROUND(F27*(1+$J$133),2)</f>
        <v>14.05</v>
      </c>
      <c r="G28" s="142">
        <f t="shared" si="0"/>
        <v>68.78</v>
      </c>
      <c r="H28" s="142">
        <f t="shared" si="1"/>
        <v>152.04</v>
      </c>
      <c r="I28" s="144"/>
      <c r="J28" s="144"/>
      <c r="K28" s="145"/>
    </row>
    <row r="29" spans="2:11" x14ac:dyDescent="0.2">
      <c r="B29" s="139">
        <f t="shared" si="2"/>
        <v>2031</v>
      </c>
      <c r="C29" s="143"/>
      <c r="D29" s="146">
        <f>ROUND(D28*(1+$J$134),2)</f>
        <v>84.93</v>
      </c>
      <c r="E29" s="146">
        <f>ROUND(E28*(1+$J$134),2)</f>
        <v>43.79</v>
      </c>
      <c r="F29" s="146">
        <f>ROUND(F28*(1+$J$134),2)</f>
        <v>14.33</v>
      </c>
      <c r="G29" s="142">
        <f t="shared" si="0"/>
        <v>70.150000000000006</v>
      </c>
      <c r="H29" s="142">
        <f t="shared" si="1"/>
        <v>155.08000000000001</v>
      </c>
      <c r="I29" s="144"/>
      <c r="J29" s="144"/>
      <c r="K29" s="145"/>
    </row>
    <row r="30" spans="2:11" x14ac:dyDescent="0.2">
      <c r="B30" s="139">
        <f t="shared" si="2"/>
        <v>2032</v>
      </c>
      <c r="C30" s="143"/>
      <c r="D30" s="146">
        <f>ROUND(D29*(1+$J$135),2)</f>
        <v>86.63</v>
      </c>
      <c r="E30" s="146">
        <f>ROUND(E29*(1+$J$135),2)</f>
        <v>44.67</v>
      </c>
      <c r="F30" s="146">
        <f>ROUND(F29*(1+$J$135),2)</f>
        <v>14.62</v>
      </c>
      <c r="G30" s="142">
        <f t="shared" si="0"/>
        <v>71.56</v>
      </c>
      <c r="H30" s="142">
        <f t="shared" si="1"/>
        <v>158.19</v>
      </c>
      <c r="I30" s="144"/>
      <c r="J30" s="144"/>
      <c r="K30" s="145"/>
    </row>
    <row r="31" spans="2:11" x14ac:dyDescent="0.2">
      <c r="B31" s="139">
        <f t="shared" si="2"/>
        <v>2033</v>
      </c>
      <c r="C31" s="143"/>
      <c r="D31" s="146">
        <f>ROUND(D30*(1+$J$136),2)</f>
        <v>88.36</v>
      </c>
      <c r="E31" s="146">
        <f>ROUND(E30*(1+$J$136),2)</f>
        <v>45.56</v>
      </c>
      <c r="F31" s="146">
        <f>ROUND(F30*(1+$J$136),2)</f>
        <v>14.91</v>
      </c>
      <c r="G31" s="142">
        <f t="shared" si="0"/>
        <v>72.989999999999995</v>
      </c>
      <c r="H31" s="142">
        <f t="shared" si="1"/>
        <v>161.35</v>
      </c>
      <c r="I31" s="144"/>
      <c r="J31" s="144"/>
      <c r="K31" s="145"/>
    </row>
    <row r="32" spans="2:11" x14ac:dyDescent="0.2">
      <c r="B32" s="139">
        <f t="shared" si="2"/>
        <v>2034</v>
      </c>
      <c r="C32" s="143"/>
      <c r="D32" s="146">
        <f>ROUND(D31*(1+$J$137),2)</f>
        <v>90.13</v>
      </c>
      <c r="E32" s="146">
        <f>ROUND(E31*(1+$J$137),2)</f>
        <v>46.47</v>
      </c>
      <c r="F32" s="146">
        <f>ROUND(F31*(1+$J$137),2)</f>
        <v>15.21</v>
      </c>
      <c r="G32" s="142">
        <f t="shared" si="0"/>
        <v>74.45</v>
      </c>
      <c r="H32" s="142">
        <f t="shared" si="1"/>
        <v>164.58</v>
      </c>
      <c r="I32" s="144"/>
      <c r="J32" s="144"/>
      <c r="K32" s="145"/>
    </row>
    <row r="33" spans="2:12" x14ac:dyDescent="0.2">
      <c r="B33" s="139">
        <f t="shared" si="2"/>
        <v>2035</v>
      </c>
      <c r="C33" s="143"/>
      <c r="D33" s="146">
        <f>ROUND(D32*(1+$J$138),2)</f>
        <v>91.93</v>
      </c>
      <c r="E33" s="146">
        <f>ROUND(E32*(1+$J$138),2)</f>
        <v>47.4</v>
      </c>
      <c r="F33" s="146">
        <f>ROUND(F32*(1+$J$138),2)</f>
        <v>15.51</v>
      </c>
      <c r="G33" s="142">
        <f t="shared" ref="G33:G34" si="3">ROUND(F33*(8.76*$C$51)+E33,2)</f>
        <v>75.930000000000007</v>
      </c>
      <c r="H33" s="142">
        <f t="shared" si="1"/>
        <v>167.86</v>
      </c>
      <c r="I33" s="144"/>
      <c r="J33" s="144"/>
      <c r="K33" s="145"/>
    </row>
    <row r="34" spans="2:12" x14ac:dyDescent="0.2">
      <c r="B34" s="139">
        <f t="shared" si="2"/>
        <v>2036</v>
      </c>
      <c r="C34" s="143"/>
      <c r="D34" s="146">
        <f>ROUND(D33*(1+$J$139),2)</f>
        <v>93.86</v>
      </c>
      <c r="E34" s="146">
        <f>ROUND(E33*(1+$J$139),2)</f>
        <v>48.4</v>
      </c>
      <c r="F34" s="146">
        <f>ROUND(F33*(1+$J$139),2)</f>
        <v>15.84</v>
      </c>
      <c r="G34" s="142">
        <f t="shared" si="3"/>
        <v>77.540000000000006</v>
      </c>
      <c r="H34" s="142">
        <f t="shared" si="1"/>
        <v>171.4</v>
      </c>
      <c r="I34" s="144"/>
      <c r="J34" s="144"/>
      <c r="K34" s="145"/>
    </row>
    <row r="35" spans="2:12" x14ac:dyDescent="0.2">
      <c r="B35" s="139">
        <f>B34+1</f>
        <v>2037</v>
      </c>
      <c r="C35" s="143"/>
      <c r="D35" s="146">
        <f>ROUND(D34*(1+$J$140),2)</f>
        <v>95.83</v>
      </c>
      <c r="E35" s="146">
        <f>ROUND(E34*(1+$J$140),2)</f>
        <v>49.42</v>
      </c>
      <c r="F35" s="146">
        <f>ROUND(F34*(1+$J$140),2)</f>
        <v>16.170000000000002</v>
      </c>
      <c r="G35" s="142">
        <f t="shared" si="0"/>
        <v>79.17</v>
      </c>
      <c r="H35" s="142">
        <f>ROUND(D35+G35,2)</f>
        <v>175</v>
      </c>
      <c r="I35" s="144"/>
      <c r="J35" s="144"/>
      <c r="K35" s="145"/>
    </row>
    <row r="36" spans="2:12" x14ac:dyDescent="0.2">
      <c r="B36" s="139">
        <f t="shared" ref="B36" si="4">B35+1</f>
        <v>2038</v>
      </c>
      <c r="C36" s="143"/>
      <c r="D36" s="146">
        <f>ROUND(D35*(1+$J$141),2)</f>
        <v>97.84</v>
      </c>
      <c r="E36" s="146">
        <f>ROUND(E35*(1+$J$141),2)</f>
        <v>50.46</v>
      </c>
      <c r="F36" s="146">
        <f>ROUND(F35*(1+$J$141),2)</f>
        <v>16.510000000000002</v>
      </c>
      <c r="G36" s="142">
        <f t="shared" si="0"/>
        <v>80.83</v>
      </c>
      <c r="H36" s="142">
        <f t="shared" ref="H36" si="5">ROUND(D36+G36,2)</f>
        <v>178.67</v>
      </c>
      <c r="I36" s="144"/>
      <c r="J36" s="144"/>
      <c r="K36" s="145"/>
    </row>
    <row r="37" spans="2:12" ht="12.75" customHeight="1" x14ac:dyDescent="0.2">
      <c r="B37" s="147"/>
      <c r="C37" s="148"/>
      <c r="D37" s="149"/>
      <c r="E37" s="146"/>
      <c r="F37" s="146"/>
      <c r="G37" s="146"/>
      <c r="H37" s="146"/>
      <c r="I37" s="144"/>
      <c r="J37" s="144"/>
      <c r="K37" s="150"/>
    </row>
    <row r="38" spans="2:12" x14ac:dyDescent="0.2">
      <c r="B38" s="71" t="str">
        <f>B96</f>
        <v>Source: (a)(c)(d)</v>
      </c>
      <c r="C38" s="71"/>
      <c r="D38" s="71" t="str">
        <f>D96</f>
        <v>Plant Costs  - 2013 IRP - Table 6.1 &amp; 6.2</v>
      </c>
      <c r="E38" s="71"/>
      <c r="F38" s="71"/>
      <c r="G38" s="71"/>
      <c r="H38" s="71"/>
      <c r="I38" s="71"/>
      <c r="J38" s="71"/>
      <c r="K38" s="71"/>
      <c r="L38" s="71"/>
    </row>
    <row r="39" spans="2:12" x14ac:dyDescent="0.2">
      <c r="B39" s="71"/>
      <c r="C39" s="151" t="str">
        <f>D7</f>
        <v>(b)</v>
      </c>
      <c r="D39" s="152" t="str">
        <f>"= "&amp;C7&amp;" x "&amp;C50&amp;D50</f>
        <v>= (a) x 0.07954  Payment Factor</v>
      </c>
      <c r="E39" s="71"/>
      <c r="F39" s="71"/>
      <c r="G39" s="71"/>
      <c r="H39" s="71"/>
      <c r="I39" s="71"/>
      <c r="J39" s="71"/>
      <c r="K39" s="71"/>
      <c r="L39" s="71"/>
    </row>
    <row r="40" spans="2:12" x14ac:dyDescent="0.2">
      <c r="B40" s="71"/>
      <c r="C40" s="151" t="str">
        <f>G7</f>
        <v>(e)</v>
      </c>
      <c r="D40" s="152" t="str">
        <f>"= "&amp;$F$7&amp;" x  (8.76 x "&amp;TEXT(C51,"?%")&amp;" ) + "&amp;$E$7</f>
        <v>= (d) x  (8.76 x 21% ) + (c)</v>
      </c>
      <c r="E40" s="71"/>
      <c r="F40" s="71"/>
      <c r="G40" s="71"/>
      <c r="H40" s="71"/>
      <c r="I40" s="71"/>
      <c r="J40" s="71"/>
      <c r="K40" s="71"/>
      <c r="L40" s="71"/>
    </row>
    <row r="41" spans="2:12" x14ac:dyDescent="0.2">
      <c r="B41" s="71"/>
      <c r="C41" s="151" t="str">
        <f>H7</f>
        <v>(f)</v>
      </c>
      <c r="D41" s="152" t="str">
        <f>"= "&amp;D7&amp;" + "&amp;G7</f>
        <v>= (b) + (e)</v>
      </c>
      <c r="E41" s="71"/>
      <c r="F41" s="71"/>
      <c r="G41" s="71"/>
      <c r="H41" s="71"/>
      <c r="I41" s="71"/>
      <c r="J41" s="71"/>
      <c r="K41" s="71"/>
      <c r="L41" s="71"/>
    </row>
    <row r="42" spans="2:12" ht="6" customHeight="1" thickBot="1" x14ac:dyDescent="0.25">
      <c r="B42" s="71"/>
      <c r="C42" s="151"/>
      <c r="D42" s="152"/>
      <c r="E42" s="71"/>
      <c r="F42" s="71"/>
      <c r="G42" s="71"/>
      <c r="H42" s="71"/>
      <c r="I42" s="71"/>
      <c r="J42" s="71"/>
      <c r="K42" s="71"/>
      <c r="L42" s="71"/>
    </row>
    <row r="43" spans="2:12" ht="13.5" thickBot="1" x14ac:dyDescent="0.25">
      <c r="B43" s="71"/>
      <c r="C43" s="32" t="s">
        <v>262</v>
      </c>
      <c r="D43" s="325"/>
      <c r="E43" s="326"/>
      <c r="F43" s="325"/>
      <c r="G43" s="325"/>
      <c r="H43" s="325"/>
      <c r="I43" s="325"/>
      <c r="J43" s="327"/>
      <c r="K43" s="328"/>
    </row>
    <row r="44" spans="2:12" x14ac:dyDescent="0.2">
      <c r="B44" s="71"/>
      <c r="C44" s="71">
        <v>181</v>
      </c>
      <c r="D44" s="56" t="s">
        <v>88</v>
      </c>
      <c r="E44" s="71"/>
      <c r="J44" s="71"/>
      <c r="K44" s="71"/>
    </row>
    <row r="45" spans="2:12" x14ac:dyDescent="0.2">
      <c r="B45" s="71"/>
      <c r="C45" s="62">
        <f>761.56</f>
        <v>761.56</v>
      </c>
      <c r="D45" s="56" t="s">
        <v>89</v>
      </c>
      <c r="E45" s="153"/>
      <c r="F45" s="19"/>
      <c r="G45" s="20"/>
      <c r="H45" s="71"/>
      <c r="I45" s="71"/>
      <c r="J45" s="71"/>
      <c r="K45" s="71"/>
    </row>
    <row r="46" spans="2:12" x14ac:dyDescent="0.2">
      <c r="B46" s="71"/>
      <c r="C46" s="63">
        <f>8.67+0.12</f>
        <v>8.7899999999999991</v>
      </c>
      <c r="D46" s="60" t="str">
        <f>E121</f>
        <v xml:space="preserve">  Fixed O&amp;M &amp; Capitalized O&amp;M</v>
      </c>
      <c r="E46" s="153"/>
      <c r="F46" s="19"/>
      <c r="G46" s="20"/>
      <c r="H46" s="71"/>
      <c r="I46" s="71"/>
      <c r="J46" s="71"/>
      <c r="K46" s="71"/>
    </row>
    <row r="47" spans="2:12" x14ac:dyDescent="0.2">
      <c r="B47" s="71"/>
      <c r="C47" s="40">
        <v>22.43</v>
      </c>
      <c r="D47" s="60" t="str">
        <f t="shared" ref="D47:D49" si="6">E122</f>
        <v xml:space="preserve">  Fixed Pipeline</v>
      </c>
      <c r="E47" s="153"/>
      <c r="F47" s="19"/>
      <c r="G47" s="20"/>
      <c r="H47" s="71"/>
      <c r="I47" s="71"/>
      <c r="J47" s="71"/>
      <c r="K47" s="71"/>
    </row>
    <row r="48" spans="2:12" x14ac:dyDescent="0.2">
      <c r="B48" s="71"/>
      <c r="C48" s="63">
        <f>C46+C47</f>
        <v>31.22</v>
      </c>
      <c r="D48" s="60" t="str">
        <f t="shared" si="6"/>
        <v xml:space="preserve">  Fixed O&amp;M including Fixed Pipeline &amp; Capitalized O&amp;M ($/kW-Yr)</v>
      </c>
      <c r="E48" s="153"/>
      <c r="F48" s="19"/>
      <c r="G48" s="20"/>
      <c r="H48" s="71"/>
      <c r="I48" s="71"/>
      <c r="J48" s="71"/>
      <c r="K48" s="71"/>
    </row>
    <row r="49" spans="2:12" x14ac:dyDescent="0.2">
      <c r="B49" s="71"/>
      <c r="C49" s="63">
        <f>9.48+0.74</f>
        <v>10.220000000000001</v>
      </c>
      <c r="D49" s="60" t="str">
        <f t="shared" si="6"/>
        <v xml:space="preserve">  Variable O&amp;M Costs &amp; Capitalized Variable O&amp;M ($/MWh)</v>
      </c>
      <c r="E49" s="153"/>
      <c r="F49" s="19"/>
      <c r="G49" s="20"/>
      <c r="H49" s="71"/>
      <c r="I49" s="71"/>
      <c r="J49" s="71"/>
      <c r="K49" s="71"/>
    </row>
    <row r="50" spans="2:12" x14ac:dyDescent="0.2">
      <c r="B50" s="71"/>
      <c r="C50" s="209">
        <v>7.954E-2</v>
      </c>
      <c r="D50" s="56" t="s">
        <v>90</v>
      </c>
      <c r="E50" s="71"/>
      <c r="F50" s="71"/>
      <c r="G50" s="71"/>
      <c r="H50" s="71"/>
      <c r="I50" s="71"/>
      <c r="J50" s="71"/>
      <c r="K50" s="71"/>
    </row>
    <row r="51" spans="2:12" x14ac:dyDescent="0.2">
      <c r="B51" s="71"/>
      <c r="C51" s="154">
        <v>0.21</v>
      </c>
      <c r="D51" s="56" t="s">
        <v>91</v>
      </c>
      <c r="E51" s="71"/>
      <c r="F51" s="71"/>
      <c r="G51" s="71"/>
      <c r="H51" s="71"/>
      <c r="I51" s="71"/>
      <c r="J51" s="71"/>
      <c r="K51" s="71"/>
    </row>
    <row r="52" spans="2:12" ht="3.75" customHeight="1" x14ac:dyDescent="0.2">
      <c r="B52" s="71"/>
      <c r="C52" s="71"/>
      <c r="D52" s="155"/>
      <c r="E52" s="156"/>
      <c r="F52" s="157"/>
      <c r="G52" s="71"/>
      <c r="H52" s="71"/>
      <c r="I52" s="71"/>
      <c r="J52" s="71"/>
      <c r="K52" s="71"/>
    </row>
    <row r="53" spans="2:12" ht="15.75" x14ac:dyDescent="0.25">
      <c r="B53" s="24" t="str">
        <f>$B$1</f>
        <v>Table 8</v>
      </c>
      <c r="C53" s="129"/>
      <c r="D53" s="129"/>
      <c r="E53" s="129"/>
      <c r="F53" s="129"/>
      <c r="G53" s="129"/>
      <c r="H53" s="129"/>
      <c r="I53" s="129"/>
      <c r="J53" s="129"/>
      <c r="K53" s="24"/>
    </row>
    <row r="54" spans="2:12" ht="15.75" x14ac:dyDescent="0.25">
      <c r="B54" s="24" t="str">
        <f>B2</f>
        <v>Total Cost of Displaceable Resources</v>
      </c>
      <c r="C54" s="24"/>
      <c r="D54" s="129"/>
      <c r="E54" s="129"/>
      <c r="F54" s="129"/>
      <c r="G54" s="129"/>
      <c r="H54" s="129"/>
      <c r="I54" s="129"/>
      <c r="J54" s="129"/>
      <c r="K54" s="129"/>
    </row>
    <row r="55" spans="2:12" ht="15.75" x14ac:dyDescent="0.25">
      <c r="B55" s="24"/>
      <c r="C55" s="129"/>
      <c r="D55" s="129"/>
      <c r="E55" s="129"/>
      <c r="F55" s="129"/>
      <c r="G55" s="129"/>
      <c r="H55" s="129"/>
      <c r="I55" s="129"/>
      <c r="J55" s="129"/>
      <c r="K55" s="134" t="s">
        <v>92</v>
      </c>
    </row>
    <row r="56" spans="2:12" ht="7.5" customHeight="1" x14ac:dyDescent="0.2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7"/>
    </row>
    <row r="57" spans="2:12" ht="51.75" customHeight="1" x14ac:dyDescent="0.2">
      <c r="B57" s="25" t="s">
        <v>2</v>
      </c>
      <c r="C57" s="26" t="s">
        <v>42</v>
      </c>
      <c r="D57" s="26" t="s">
        <v>43</v>
      </c>
      <c r="E57" s="26" t="s">
        <v>44</v>
      </c>
      <c r="F57" s="26" t="s">
        <v>45</v>
      </c>
      <c r="G57" s="26" t="s">
        <v>46</v>
      </c>
      <c r="H57" s="26" t="s">
        <v>47</v>
      </c>
      <c r="I57" s="73" t="s">
        <v>33</v>
      </c>
      <c r="J57" s="73" t="s">
        <v>127</v>
      </c>
      <c r="K57" s="74" t="s">
        <v>128</v>
      </c>
      <c r="L57" s="137"/>
    </row>
    <row r="58" spans="2:12" ht="18.75" customHeight="1" x14ac:dyDescent="0.2">
      <c r="B58" s="27"/>
      <c r="C58" s="28" t="s">
        <v>38</v>
      </c>
      <c r="D58" s="29" t="s">
        <v>39</v>
      </c>
      <c r="E58" s="29" t="s">
        <v>39</v>
      </c>
      <c r="F58" s="29" t="s">
        <v>40</v>
      </c>
      <c r="G58" s="29" t="s">
        <v>39</v>
      </c>
      <c r="H58" s="29" t="s">
        <v>39</v>
      </c>
      <c r="I58" s="75" t="s">
        <v>41</v>
      </c>
      <c r="J58" s="76" t="s">
        <v>129</v>
      </c>
      <c r="K58" s="76" t="s">
        <v>129</v>
      </c>
      <c r="L58" s="137"/>
    </row>
    <row r="59" spans="2:12" x14ac:dyDescent="0.2">
      <c r="C59" s="30" t="s">
        <v>22</v>
      </c>
      <c r="D59" s="30" t="s">
        <v>23</v>
      </c>
      <c r="E59" s="30" t="s">
        <v>24</v>
      </c>
      <c r="F59" s="30" t="s">
        <v>25</v>
      </c>
      <c r="G59" s="30" t="s">
        <v>26</v>
      </c>
      <c r="H59" s="30" t="s">
        <v>32</v>
      </c>
      <c r="I59" s="22" t="s">
        <v>130</v>
      </c>
      <c r="J59" s="22" t="s">
        <v>131</v>
      </c>
      <c r="K59" s="22" t="s">
        <v>132</v>
      </c>
    </row>
    <row r="60" spans="2:12" ht="6" customHeight="1" x14ac:dyDescent="0.2">
      <c r="I60" s="136"/>
      <c r="J60" s="136"/>
      <c r="K60" s="136"/>
    </row>
    <row r="61" spans="2:12" ht="15.75" x14ac:dyDescent="0.25">
      <c r="B61" s="31" t="str">
        <f>C104</f>
        <v>CCCT Dry "J", Adv 1x1 - East Side Resource (5,050')</v>
      </c>
      <c r="C61" s="137"/>
      <c r="E61" s="137"/>
      <c r="F61" s="137"/>
      <c r="G61" s="137"/>
      <c r="H61" s="137"/>
      <c r="I61" s="136"/>
      <c r="J61" s="136"/>
      <c r="K61" s="136"/>
      <c r="L61" s="137"/>
    </row>
    <row r="62" spans="2:12" x14ac:dyDescent="0.2">
      <c r="B62" s="139">
        <v>2012</v>
      </c>
      <c r="C62" s="140">
        <f>H110</f>
        <v>1015</v>
      </c>
      <c r="D62" s="141">
        <f>C62*$C$126</f>
        <v>80.042900000000003</v>
      </c>
      <c r="E62" s="158">
        <f>I110</f>
        <v>24.78</v>
      </c>
      <c r="F62" s="158">
        <f>J115</f>
        <v>2.64</v>
      </c>
      <c r="G62" s="146">
        <f t="shared" ref="G62:G88" si="7">ROUND(F62*(8.76*$G$115)+E62,2)</f>
        <v>36.78</v>
      </c>
      <c r="H62" s="146">
        <f t="shared" ref="H62:H72" si="8">ROUND(D62+G62,2)</f>
        <v>116.82</v>
      </c>
      <c r="I62" s="136"/>
      <c r="J62" s="136"/>
      <c r="K62" s="136"/>
    </row>
    <row r="63" spans="2:12" x14ac:dyDescent="0.2">
      <c r="B63" s="139">
        <f t="shared" ref="B63:B88" si="9">B62+1</f>
        <v>2013</v>
      </c>
      <c r="C63" s="143"/>
      <c r="D63" s="141">
        <f>ROUND(D62*(1+$D$134),2)</f>
        <v>81.16</v>
      </c>
      <c r="E63" s="141">
        <f>ROUND(E62*(1+$D$134),2)</f>
        <v>25.13</v>
      </c>
      <c r="F63" s="141">
        <f>ROUND(F62*(1+$D$134),2)</f>
        <v>2.68</v>
      </c>
      <c r="G63" s="142">
        <f t="shared" si="7"/>
        <v>37.31</v>
      </c>
      <c r="H63" s="146">
        <f t="shared" si="8"/>
        <v>118.47</v>
      </c>
      <c r="I63" s="136"/>
      <c r="J63" s="136"/>
      <c r="K63" s="136"/>
    </row>
    <row r="64" spans="2:12" s="137" customFormat="1" x14ac:dyDescent="0.2">
      <c r="B64" s="147">
        <f t="shared" si="9"/>
        <v>2014</v>
      </c>
      <c r="C64" s="148"/>
      <c r="D64" s="142">
        <f>ROUND(D63*(1+$D$135),2)</f>
        <v>82.38</v>
      </c>
      <c r="E64" s="142">
        <f>ROUND(E63*(1+$D$135),2)</f>
        <v>25.51</v>
      </c>
      <c r="F64" s="142">
        <f>ROUND(F63*(1+$D$135),2)</f>
        <v>2.72</v>
      </c>
      <c r="G64" s="146">
        <f t="shared" si="7"/>
        <v>37.880000000000003</v>
      </c>
      <c r="H64" s="142">
        <f t="shared" si="8"/>
        <v>120.26</v>
      </c>
      <c r="I64" s="136"/>
      <c r="J64" s="136"/>
      <c r="K64" s="136"/>
    </row>
    <row r="65" spans="2:11" s="137" customFormat="1" x14ac:dyDescent="0.2">
      <c r="B65" s="147">
        <f t="shared" si="9"/>
        <v>2015</v>
      </c>
      <c r="C65" s="148"/>
      <c r="D65" s="142">
        <f>ROUND(D64*(1+$D$136),2)</f>
        <v>83.78</v>
      </c>
      <c r="E65" s="142">
        <f>ROUND(E64*(1+$D$136),2)</f>
        <v>25.94</v>
      </c>
      <c r="F65" s="142">
        <f>ROUND(F64*(1+$D$136),2)</f>
        <v>2.77</v>
      </c>
      <c r="G65" s="146">
        <f t="shared" si="7"/>
        <v>38.53</v>
      </c>
      <c r="H65" s="146">
        <f t="shared" si="8"/>
        <v>122.31</v>
      </c>
      <c r="I65" s="136"/>
      <c r="J65" s="136"/>
      <c r="K65" s="136"/>
    </row>
    <row r="66" spans="2:11" s="137" customFormat="1" x14ac:dyDescent="0.2">
      <c r="B66" s="147">
        <f t="shared" si="9"/>
        <v>2016</v>
      </c>
      <c r="C66" s="148"/>
      <c r="D66" s="142">
        <f>ROUND(D65*(1+$D$137),2)</f>
        <v>85.29</v>
      </c>
      <c r="E66" s="142">
        <f>ROUND(E65*(1+$D$137),2)</f>
        <v>26.41</v>
      </c>
      <c r="F66" s="142">
        <f>ROUND(F65*(1+$D$137),2)</f>
        <v>2.82</v>
      </c>
      <c r="G66" s="146">
        <f t="shared" si="7"/>
        <v>39.229999999999997</v>
      </c>
      <c r="H66" s="146">
        <f t="shared" si="8"/>
        <v>124.52</v>
      </c>
      <c r="I66" s="136"/>
      <c r="J66" s="136"/>
      <c r="K66" s="136"/>
    </row>
    <row r="67" spans="2:11" s="137" customFormat="1" x14ac:dyDescent="0.2">
      <c r="B67" s="147">
        <f t="shared" si="9"/>
        <v>2017</v>
      </c>
      <c r="C67" s="148"/>
      <c r="D67" s="142">
        <f>ROUND(D66*(1+$D$138),2)</f>
        <v>86.83</v>
      </c>
      <c r="E67" s="142">
        <f>ROUND(E66*(1+$D$138),2)</f>
        <v>26.89</v>
      </c>
      <c r="F67" s="142">
        <f>ROUND(F66*(1+$D$138),2)</f>
        <v>2.87</v>
      </c>
      <c r="G67" s="146">
        <f t="shared" si="7"/>
        <v>39.94</v>
      </c>
      <c r="H67" s="146">
        <f t="shared" ref="H67:H68" si="10">ROUND(D67+G67,2)</f>
        <v>126.77</v>
      </c>
      <c r="I67" s="136"/>
      <c r="J67" s="136"/>
      <c r="K67" s="136"/>
    </row>
    <row r="68" spans="2:11" x14ac:dyDescent="0.2">
      <c r="B68" s="139">
        <f t="shared" si="9"/>
        <v>2018</v>
      </c>
      <c r="C68" s="143"/>
      <c r="D68" s="141">
        <f>ROUND(D67*(1+$D$139),2)</f>
        <v>88.39</v>
      </c>
      <c r="E68" s="141">
        <f>ROUND(E67*(1+$D$139),2)</f>
        <v>27.37</v>
      </c>
      <c r="F68" s="141">
        <f>ROUND(F67*(1+$D$139),2)</f>
        <v>2.92</v>
      </c>
      <c r="G68" s="146">
        <f t="shared" si="7"/>
        <v>40.65</v>
      </c>
      <c r="H68" s="146">
        <f t="shared" si="10"/>
        <v>129.04</v>
      </c>
      <c r="I68" s="136"/>
      <c r="J68" s="136"/>
      <c r="K68" s="136"/>
    </row>
    <row r="69" spans="2:11" x14ac:dyDescent="0.2">
      <c r="B69" s="139">
        <f t="shared" si="9"/>
        <v>2019</v>
      </c>
      <c r="C69" s="143"/>
      <c r="D69" s="146">
        <f>ROUND(D68*(1+$D$140),2)</f>
        <v>89.89</v>
      </c>
      <c r="E69" s="146">
        <f>ROUND(E68*(1+$D$140),2)</f>
        <v>27.84</v>
      </c>
      <c r="F69" s="146">
        <f>ROUND(F68*(1+$D$140),2)</f>
        <v>2.97</v>
      </c>
      <c r="G69" s="146">
        <f t="shared" si="7"/>
        <v>41.34</v>
      </c>
      <c r="H69" s="146">
        <f t="shared" si="8"/>
        <v>131.22999999999999</v>
      </c>
      <c r="I69" s="136"/>
      <c r="J69" s="136"/>
      <c r="K69" s="136"/>
    </row>
    <row r="70" spans="2:11" x14ac:dyDescent="0.2">
      <c r="B70" s="139">
        <f t="shared" si="9"/>
        <v>2020</v>
      </c>
      <c r="C70" s="143"/>
      <c r="D70" s="146">
        <f>ROUND(D69*(1+$D$141),2)</f>
        <v>91.51</v>
      </c>
      <c r="E70" s="146">
        <f>ROUND(E69*(1+$D$141),2)</f>
        <v>28.34</v>
      </c>
      <c r="F70" s="146">
        <f>ROUND(F69*(1+$D$141),2)</f>
        <v>3.02</v>
      </c>
      <c r="G70" s="146">
        <f t="shared" si="7"/>
        <v>42.07</v>
      </c>
      <c r="H70" s="146">
        <f t="shared" si="8"/>
        <v>133.58000000000001</v>
      </c>
      <c r="I70" s="136"/>
      <c r="J70" s="136"/>
      <c r="K70" s="136"/>
    </row>
    <row r="71" spans="2:11" x14ac:dyDescent="0.2">
      <c r="B71" s="139">
        <f t="shared" si="9"/>
        <v>2021</v>
      </c>
      <c r="C71" s="143"/>
      <c r="D71" s="146">
        <f>ROUND(D70*(1+$G$133),2)</f>
        <v>93.25</v>
      </c>
      <c r="E71" s="146">
        <f>ROUND(E70*(1+$G$133),2)</f>
        <v>28.88</v>
      </c>
      <c r="F71" s="146">
        <f>ROUND(F70*(1+$G$133),2)</f>
        <v>3.08</v>
      </c>
      <c r="G71" s="146">
        <f t="shared" si="7"/>
        <v>42.88</v>
      </c>
      <c r="H71" s="146">
        <f t="shared" si="8"/>
        <v>136.13</v>
      </c>
      <c r="I71" s="136"/>
      <c r="J71" s="136"/>
      <c r="K71" s="136"/>
    </row>
    <row r="72" spans="2:11" x14ac:dyDescent="0.2">
      <c r="B72" s="139">
        <f t="shared" si="9"/>
        <v>2022</v>
      </c>
      <c r="C72" s="143"/>
      <c r="D72" s="146">
        <f>ROUND(D71*(1+$G$134),2)</f>
        <v>94.93</v>
      </c>
      <c r="E72" s="146">
        <f>ROUND(E71*(1+$G$134),2)</f>
        <v>29.4</v>
      </c>
      <c r="F72" s="146">
        <f>ROUND(F71*(1+$G$134),2)</f>
        <v>3.14</v>
      </c>
      <c r="G72" s="146">
        <f t="shared" si="7"/>
        <v>43.68</v>
      </c>
      <c r="H72" s="146">
        <f t="shared" si="8"/>
        <v>138.61000000000001</v>
      </c>
      <c r="I72" s="136"/>
      <c r="J72" s="136"/>
      <c r="K72" s="136"/>
    </row>
    <row r="73" spans="2:11" x14ac:dyDescent="0.2">
      <c r="B73" s="147">
        <f t="shared" si="9"/>
        <v>2023</v>
      </c>
      <c r="C73" s="148"/>
      <c r="D73" s="142">
        <f>ROUND(D72*(1+$G$135),2)</f>
        <v>96.64</v>
      </c>
      <c r="E73" s="142">
        <f>ROUND(E72*(1+$G$135),2)</f>
        <v>29.93</v>
      </c>
      <c r="F73" s="142">
        <f>ROUND(F72*(1+$G$135),2)</f>
        <v>3.2</v>
      </c>
      <c r="G73" s="146">
        <f t="shared" si="7"/>
        <v>44.48</v>
      </c>
      <c r="H73" s="146">
        <f t="shared" ref="H73:H87" si="11">ROUND(D73+G73,2)</f>
        <v>141.12</v>
      </c>
      <c r="I73" s="77"/>
      <c r="J73" s="77"/>
      <c r="K73" s="77"/>
    </row>
    <row r="74" spans="2:11" x14ac:dyDescent="0.2">
      <c r="B74" s="147">
        <f t="shared" si="9"/>
        <v>2024</v>
      </c>
      <c r="C74" s="148"/>
      <c r="D74" s="142">
        <f>ROUND(D73*(1+$G$136),2)</f>
        <v>98.38</v>
      </c>
      <c r="E74" s="142">
        <f>ROUND(E73*(1+$G$136),2)</f>
        <v>30.47</v>
      </c>
      <c r="F74" s="142">
        <f>ROUND(F73*(1+$G$136),2)</f>
        <v>3.26</v>
      </c>
      <c r="G74" s="146">
        <f t="shared" si="7"/>
        <v>45.29</v>
      </c>
      <c r="H74" s="146">
        <f t="shared" si="11"/>
        <v>143.66999999999999</v>
      </c>
      <c r="I74" s="77"/>
      <c r="J74" s="77"/>
      <c r="K74" s="77"/>
    </row>
    <row r="75" spans="2:11" x14ac:dyDescent="0.2">
      <c r="B75" s="147">
        <f t="shared" si="9"/>
        <v>2025</v>
      </c>
      <c r="C75" s="148"/>
      <c r="D75" s="142">
        <f>ROUND(D74*(1+$G$137),2)</f>
        <v>100.15</v>
      </c>
      <c r="E75" s="142">
        <f>ROUND(E74*(1+$G$137),2)</f>
        <v>31.02</v>
      </c>
      <c r="F75" s="142">
        <f>ROUND(F74*(1+$G$137),2)</f>
        <v>3.32</v>
      </c>
      <c r="G75" s="146">
        <f t="shared" si="7"/>
        <v>46.11</v>
      </c>
      <c r="H75" s="146">
        <f t="shared" si="11"/>
        <v>146.26</v>
      </c>
      <c r="I75" s="77"/>
      <c r="J75" s="77"/>
      <c r="K75" s="77"/>
    </row>
    <row r="76" spans="2:11" ht="13.5" thickBot="1" x14ac:dyDescent="0.25">
      <c r="B76" s="159">
        <f t="shared" si="9"/>
        <v>2026</v>
      </c>
      <c r="C76" s="160"/>
      <c r="D76" s="161">
        <f>ROUND(D75*(1+$G$138),2)</f>
        <v>102.05</v>
      </c>
      <c r="E76" s="161">
        <f>ROUND(E75*(1+$G$138),2)</f>
        <v>31.61</v>
      </c>
      <c r="F76" s="161">
        <f>ROUND(F75*(1+$G$138),2)</f>
        <v>3.38</v>
      </c>
      <c r="G76" s="161">
        <f t="shared" si="7"/>
        <v>46.98</v>
      </c>
      <c r="H76" s="161">
        <f t="shared" si="11"/>
        <v>149.03</v>
      </c>
      <c r="I76" s="78"/>
      <c r="J76" s="78"/>
      <c r="K76" s="78"/>
    </row>
    <row r="77" spans="2:11" x14ac:dyDescent="0.2">
      <c r="B77" s="139">
        <f t="shared" si="9"/>
        <v>2027</v>
      </c>
      <c r="C77" s="143"/>
      <c r="D77" s="146">
        <f>ROUND(D76*(1+$G$139),2)</f>
        <v>103.99</v>
      </c>
      <c r="E77" s="146">
        <f>ROUND(E76*(1+$G$139),2)</f>
        <v>32.21</v>
      </c>
      <c r="F77" s="146">
        <f>ROUND(F76*(1+$G$139),2)</f>
        <v>3.44</v>
      </c>
      <c r="G77" s="146">
        <f t="shared" si="7"/>
        <v>47.85</v>
      </c>
      <c r="H77" s="146">
        <f t="shared" si="11"/>
        <v>151.84</v>
      </c>
      <c r="I77" s="77">
        <f>VLOOKUP(B77,'Table 9'!$B$10:$C$34,2,FALSE)</f>
        <v>6.3</v>
      </c>
      <c r="J77" s="77">
        <f t="shared" ref="J77:J88" si="12">ROUND($K$115*I77/1000,2)</f>
        <v>41.33</v>
      </c>
      <c r="K77" s="77">
        <f t="shared" ref="K77:K88" si="13">ROUND(H77*1000/8760/$G$115+J77,2)</f>
        <v>74.73</v>
      </c>
    </row>
    <row r="78" spans="2:11" x14ac:dyDescent="0.2">
      <c r="B78" s="139">
        <f t="shared" si="9"/>
        <v>2028</v>
      </c>
      <c r="C78" s="143"/>
      <c r="D78" s="146">
        <f>ROUND(D77*(1+$G$140),2)</f>
        <v>105.97</v>
      </c>
      <c r="E78" s="146">
        <f>ROUND(E77*(1+$G$140),2)</f>
        <v>32.82</v>
      </c>
      <c r="F78" s="146">
        <f>ROUND(F77*(1+$G$140),2)</f>
        <v>3.51</v>
      </c>
      <c r="G78" s="146">
        <f t="shared" si="7"/>
        <v>48.78</v>
      </c>
      <c r="H78" s="146">
        <f t="shared" si="11"/>
        <v>154.75</v>
      </c>
      <c r="I78" s="77">
        <f>VLOOKUP(B78,'Table 9'!$B$10:$C$34,2,FALSE)</f>
        <v>6.54</v>
      </c>
      <c r="J78" s="77">
        <f t="shared" si="12"/>
        <v>42.9</v>
      </c>
      <c r="K78" s="77">
        <f t="shared" si="13"/>
        <v>76.94</v>
      </c>
    </row>
    <row r="79" spans="2:11" x14ac:dyDescent="0.2">
      <c r="B79" s="139">
        <f t="shared" si="9"/>
        <v>2029</v>
      </c>
      <c r="C79" s="143"/>
      <c r="D79" s="146">
        <f>ROUND(D78*(1+$G$141),2)</f>
        <v>107.98</v>
      </c>
      <c r="E79" s="146">
        <f>ROUND(E78*(1+$G$141),2)</f>
        <v>33.44</v>
      </c>
      <c r="F79" s="146">
        <f>ROUND(F78*(1+$G$141),2)</f>
        <v>3.58</v>
      </c>
      <c r="G79" s="146">
        <f t="shared" si="7"/>
        <v>49.72</v>
      </c>
      <c r="H79" s="146">
        <f t="shared" si="11"/>
        <v>157.69999999999999</v>
      </c>
      <c r="I79" s="77">
        <f>VLOOKUP(B79,'Table 9'!$B$10:$C$34,2,FALSE)</f>
        <v>6.83</v>
      </c>
      <c r="J79" s="77">
        <f t="shared" si="12"/>
        <v>44.8</v>
      </c>
      <c r="K79" s="77">
        <f t="shared" si="13"/>
        <v>79.489999999999995</v>
      </c>
    </row>
    <row r="80" spans="2:11" x14ac:dyDescent="0.2">
      <c r="B80" s="139">
        <f t="shared" si="9"/>
        <v>2030</v>
      </c>
      <c r="C80" s="143"/>
      <c r="D80" s="146">
        <f>ROUND(D79*(1+$J$133),2)</f>
        <v>110.03</v>
      </c>
      <c r="E80" s="146">
        <f>ROUND(E79*(1+$J$133),2)</f>
        <v>34.08</v>
      </c>
      <c r="F80" s="146">
        <f>ROUND(F79*(1+$J$133),2)</f>
        <v>3.65</v>
      </c>
      <c r="G80" s="146">
        <f t="shared" si="7"/>
        <v>50.67</v>
      </c>
      <c r="H80" s="146">
        <f t="shared" si="11"/>
        <v>160.69999999999999</v>
      </c>
      <c r="I80" s="77">
        <f>VLOOKUP(B80,'Table 9'!$B$10:$C$34,2,FALSE)</f>
        <v>7.12</v>
      </c>
      <c r="J80" s="77">
        <f t="shared" si="12"/>
        <v>46.71</v>
      </c>
      <c r="K80" s="77">
        <f t="shared" si="13"/>
        <v>82.06</v>
      </c>
    </row>
    <row r="81" spans="2:15" x14ac:dyDescent="0.2">
      <c r="B81" s="139">
        <f t="shared" si="9"/>
        <v>2031</v>
      </c>
      <c r="C81" s="143"/>
      <c r="D81" s="146">
        <f>ROUND(D80*(1+$J$134),2)</f>
        <v>112.23</v>
      </c>
      <c r="E81" s="146">
        <f>ROUND(E80*(1+$J$134),2)</f>
        <v>34.76</v>
      </c>
      <c r="F81" s="146">
        <f>ROUND(F80*(1+$J$134),2)</f>
        <v>3.72</v>
      </c>
      <c r="G81" s="146">
        <f t="shared" si="7"/>
        <v>51.67</v>
      </c>
      <c r="H81" s="146">
        <f t="shared" si="11"/>
        <v>163.9</v>
      </c>
      <c r="I81" s="77">
        <f>VLOOKUP(B81,'Table 9'!$B$10:$C$34,2,FALSE)</f>
        <v>7.27</v>
      </c>
      <c r="J81" s="77">
        <f t="shared" si="12"/>
        <v>47.69</v>
      </c>
      <c r="K81" s="77">
        <f t="shared" si="13"/>
        <v>83.74</v>
      </c>
    </row>
    <row r="82" spans="2:15" x14ac:dyDescent="0.2">
      <c r="B82" s="139">
        <f t="shared" si="9"/>
        <v>2032</v>
      </c>
      <c r="C82" s="143"/>
      <c r="D82" s="146">
        <f>ROUND(D81*(1+$J$135),2)</f>
        <v>114.47</v>
      </c>
      <c r="E82" s="146">
        <f>ROUND(E81*(1+$J$135),2)</f>
        <v>35.46</v>
      </c>
      <c r="F82" s="146">
        <f>ROUND(F81*(1+$J$135),2)</f>
        <v>3.79</v>
      </c>
      <c r="G82" s="146">
        <f t="shared" si="7"/>
        <v>52.69</v>
      </c>
      <c r="H82" s="146">
        <f t="shared" si="11"/>
        <v>167.16</v>
      </c>
      <c r="I82" s="77">
        <f>VLOOKUP(B82,'Table 9'!$B$10:$C$34,2,FALSE)</f>
        <v>7.41</v>
      </c>
      <c r="J82" s="77">
        <f t="shared" si="12"/>
        <v>48.61</v>
      </c>
      <c r="K82" s="77">
        <f t="shared" si="13"/>
        <v>85.38</v>
      </c>
    </row>
    <row r="83" spans="2:15" x14ac:dyDescent="0.2">
      <c r="B83" s="139">
        <f t="shared" si="9"/>
        <v>2033</v>
      </c>
      <c r="C83" s="143"/>
      <c r="D83" s="146">
        <f>ROUND(D82*(1+$J$136),2)</f>
        <v>116.76</v>
      </c>
      <c r="E83" s="146">
        <f>ROUND(E82*(1+$J$136),2)</f>
        <v>36.17</v>
      </c>
      <c r="F83" s="146">
        <f>ROUND(F82*(1+$J$136),2)</f>
        <v>3.87</v>
      </c>
      <c r="G83" s="146">
        <f t="shared" si="7"/>
        <v>53.76</v>
      </c>
      <c r="H83" s="146">
        <f t="shared" si="11"/>
        <v>170.52</v>
      </c>
      <c r="I83" s="77">
        <f>VLOOKUP(B83,'Table 9'!$B$10:$C$34,2,FALSE)</f>
        <v>7.56</v>
      </c>
      <c r="J83" s="77">
        <f t="shared" si="12"/>
        <v>49.59</v>
      </c>
      <c r="K83" s="77">
        <f t="shared" si="13"/>
        <v>87.1</v>
      </c>
    </row>
    <row r="84" spans="2:15" x14ac:dyDescent="0.2">
      <c r="B84" s="139">
        <f t="shared" si="9"/>
        <v>2034</v>
      </c>
      <c r="C84" s="143"/>
      <c r="D84" s="146">
        <f>ROUND(D83*(1+$J$137),2)</f>
        <v>119.1</v>
      </c>
      <c r="E84" s="146">
        <f>ROUND(E83*(1+$J$137),2)</f>
        <v>36.89</v>
      </c>
      <c r="F84" s="146">
        <f>ROUND(F83*(1+$J$137),2)</f>
        <v>3.95</v>
      </c>
      <c r="G84" s="146">
        <f t="shared" si="7"/>
        <v>54.85</v>
      </c>
      <c r="H84" s="146">
        <f t="shared" si="11"/>
        <v>173.95</v>
      </c>
      <c r="I84" s="77">
        <f>VLOOKUP(B84,'Table 9'!$B$10:$C$34,2,FALSE)</f>
        <v>7.71</v>
      </c>
      <c r="J84" s="77">
        <f t="shared" si="12"/>
        <v>50.58</v>
      </c>
      <c r="K84" s="77">
        <f t="shared" si="13"/>
        <v>88.84</v>
      </c>
    </row>
    <row r="85" spans="2:15" x14ac:dyDescent="0.2">
      <c r="B85" s="139">
        <f t="shared" si="9"/>
        <v>2035</v>
      </c>
      <c r="C85" s="143"/>
      <c r="D85" s="146">
        <f>ROUND(D84*(1+$J$138),2)</f>
        <v>121.48</v>
      </c>
      <c r="E85" s="146">
        <f>ROUND(E84*(1+$J$138),2)</f>
        <v>37.630000000000003</v>
      </c>
      <c r="F85" s="146">
        <f>ROUND(F84*(1+$J$138),2)</f>
        <v>4.03</v>
      </c>
      <c r="G85" s="146">
        <f t="shared" si="7"/>
        <v>55.95</v>
      </c>
      <c r="H85" s="146">
        <f t="shared" si="11"/>
        <v>177.43</v>
      </c>
      <c r="I85" s="77">
        <f>VLOOKUP(B85,'Table 9'!$B$10:$C$34,2,FALSE)</f>
        <v>7.86</v>
      </c>
      <c r="J85" s="77">
        <f t="shared" si="12"/>
        <v>51.56</v>
      </c>
      <c r="K85" s="77">
        <f t="shared" si="13"/>
        <v>90.59</v>
      </c>
    </row>
    <row r="86" spans="2:15" x14ac:dyDescent="0.2">
      <c r="B86" s="139">
        <f t="shared" si="9"/>
        <v>2036</v>
      </c>
      <c r="C86" s="143"/>
      <c r="D86" s="146">
        <f>ROUND(D85*(1+$J$139),2)</f>
        <v>124.03</v>
      </c>
      <c r="E86" s="146">
        <f>ROUND(E85*(1+$J$139),2)</f>
        <v>38.42</v>
      </c>
      <c r="F86" s="146">
        <f>ROUND(F85*(1+$J$139),2)</f>
        <v>4.1100000000000003</v>
      </c>
      <c r="G86" s="146">
        <f t="shared" si="7"/>
        <v>57.11</v>
      </c>
      <c r="H86" s="146">
        <f t="shared" si="11"/>
        <v>181.14</v>
      </c>
      <c r="I86" s="77">
        <f>VLOOKUP(B86,'Table 9'!$B$10:$C$34,2,FALSE)</f>
        <v>8.0299999999999994</v>
      </c>
      <c r="J86" s="77">
        <f t="shared" si="12"/>
        <v>52.68</v>
      </c>
      <c r="K86" s="77">
        <f t="shared" si="13"/>
        <v>92.52</v>
      </c>
    </row>
    <row r="87" spans="2:15" x14ac:dyDescent="0.2">
      <c r="B87" s="139">
        <f t="shared" si="9"/>
        <v>2037</v>
      </c>
      <c r="C87" s="143"/>
      <c r="D87" s="146">
        <f>ROUND(D86*(1+$J$140),2)</f>
        <v>126.63</v>
      </c>
      <c r="E87" s="146">
        <f>ROUND(E86*(1+$J$140),2)</f>
        <v>39.229999999999997</v>
      </c>
      <c r="F87" s="146">
        <f>ROUND(F86*(1+$J$140),2)</f>
        <v>4.2</v>
      </c>
      <c r="G87" s="146">
        <f t="shared" si="7"/>
        <v>58.33</v>
      </c>
      <c r="H87" s="146">
        <f t="shared" si="11"/>
        <v>184.96</v>
      </c>
      <c r="I87" s="77">
        <f>VLOOKUP(B87,'Table 9'!$B$10:$C$34,2,FALSE)</f>
        <v>8.1999999999999993</v>
      </c>
      <c r="J87" s="77">
        <f t="shared" si="12"/>
        <v>53.79</v>
      </c>
      <c r="K87" s="77">
        <f t="shared" si="13"/>
        <v>94.47</v>
      </c>
    </row>
    <row r="88" spans="2:15" x14ac:dyDescent="0.2">
      <c r="B88" s="139">
        <f t="shared" si="9"/>
        <v>2038</v>
      </c>
      <c r="C88" s="143"/>
      <c r="D88" s="146">
        <f>ROUND(D87*(1+$J$141),2)</f>
        <v>129.29</v>
      </c>
      <c r="E88" s="146">
        <f>ROUND(E87*(1+$J$141),2)</f>
        <v>40.049999999999997</v>
      </c>
      <c r="F88" s="146">
        <f>ROUND(F87*(1+$J$141),2)</f>
        <v>4.29</v>
      </c>
      <c r="G88" s="146">
        <f t="shared" si="7"/>
        <v>59.55</v>
      </c>
      <c r="H88" s="146">
        <f t="shared" ref="H88" si="14">ROUND(D88+G88,2)</f>
        <v>188.84</v>
      </c>
      <c r="I88" s="77">
        <f>VLOOKUP(B88,'Table 9'!$B$10:$C$34,2,FALSE)</f>
        <v>8.3699999999999992</v>
      </c>
      <c r="J88" s="77">
        <f t="shared" si="12"/>
        <v>54.91</v>
      </c>
      <c r="K88" s="77">
        <f t="shared" si="13"/>
        <v>96.45</v>
      </c>
    </row>
    <row r="89" spans="2:15" x14ac:dyDescent="0.2">
      <c r="M89" s="139"/>
      <c r="O89" s="162"/>
    </row>
    <row r="90" spans="2:15" ht="15.75" x14ac:dyDescent="0.25">
      <c r="B90" s="24" t="str">
        <f>$B$53</f>
        <v>Table 8</v>
      </c>
      <c r="C90" s="129"/>
      <c r="D90" s="129"/>
      <c r="E90" s="129"/>
      <c r="F90" s="129"/>
      <c r="G90" s="129"/>
      <c r="H90" s="129"/>
      <c r="I90" s="129"/>
      <c r="J90" s="129"/>
      <c r="K90" s="24"/>
      <c r="M90" s="139"/>
      <c r="N90" s="162"/>
      <c r="O90" s="162"/>
    </row>
    <row r="91" spans="2:15" ht="15.75" x14ac:dyDescent="0.25">
      <c r="B91" s="24" t="str">
        <f>B2</f>
        <v>Total Cost of Displaceable Resources</v>
      </c>
      <c r="C91" s="33"/>
      <c r="D91" s="129"/>
      <c r="E91" s="129"/>
      <c r="F91" s="129"/>
      <c r="G91" s="129"/>
      <c r="H91" s="129"/>
      <c r="I91" s="129"/>
      <c r="J91" s="129"/>
      <c r="K91" s="129"/>
      <c r="M91" s="139"/>
      <c r="N91" s="162"/>
      <c r="O91" s="162"/>
    </row>
    <row r="92" spans="2:15" ht="15.75" x14ac:dyDescent="0.25">
      <c r="B92" s="24"/>
      <c r="C92" s="129"/>
      <c r="D92" s="129"/>
      <c r="E92" s="129"/>
      <c r="F92" s="129"/>
      <c r="G92" s="129"/>
      <c r="H92" s="129"/>
      <c r="I92" s="129"/>
      <c r="J92" s="129"/>
      <c r="K92" s="134" t="s">
        <v>93</v>
      </c>
      <c r="M92" s="139"/>
      <c r="N92" s="162"/>
      <c r="O92" s="162"/>
    </row>
    <row r="93" spans="2:15" ht="5.25" customHeight="1" x14ac:dyDescent="0.2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7"/>
      <c r="M93" s="139"/>
      <c r="N93" s="162"/>
      <c r="O93" s="162"/>
    </row>
    <row r="94" spans="2:15" ht="14.25" x14ac:dyDescent="0.2">
      <c r="B94" s="33" t="s">
        <v>94</v>
      </c>
      <c r="C94" s="34"/>
      <c r="D94" s="34"/>
      <c r="E94" s="34"/>
      <c r="F94" s="34"/>
      <c r="G94" s="34"/>
      <c r="H94" s="34"/>
      <c r="I94" s="34"/>
      <c r="J94" s="34"/>
      <c r="K94" s="34"/>
      <c r="M94" s="139"/>
      <c r="N94" s="162"/>
      <c r="O94" s="162"/>
    </row>
    <row r="96" spans="2:15" x14ac:dyDescent="0.2">
      <c r="B96" s="60" t="s">
        <v>64</v>
      </c>
      <c r="C96" s="60"/>
      <c r="D96" s="71" t="s">
        <v>141</v>
      </c>
      <c r="E96" s="60"/>
      <c r="F96" s="60"/>
      <c r="G96" s="60"/>
      <c r="H96" s="60"/>
      <c r="I96" s="60"/>
    </row>
    <row r="97" spans="3:11" x14ac:dyDescent="0.2">
      <c r="C97" s="163" t="str">
        <f>D59</f>
        <v>(b)</v>
      </c>
      <c r="D97" s="146" t="str">
        <f>"= "&amp;C59&amp;" x "&amp;C126&amp;E126</f>
        <v>= (a) x 0.07886  Payment Factor</v>
      </c>
    </row>
    <row r="98" spans="3:11" x14ac:dyDescent="0.2">
      <c r="C98" s="163" t="str">
        <f>G59</f>
        <v>(e)</v>
      </c>
      <c r="D98" s="146" t="str">
        <f>"= "&amp;$F$59&amp;" x  (8.76 x "&amp;TEXT(G115,"0.0%")&amp;") + "&amp;$E$59</f>
        <v>= (d) x  (8.76 x 51.9%) + (c)</v>
      </c>
    </row>
    <row r="99" spans="3:11" x14ac:dyDescent="0.2">
      <c r="C99" s="163" t="str">
        <f>H59</f>
        <v>(f)</v>
      </c>
      <c r="D99" s="146" t="str">
        <f>"= "&amp;D59&amp;" + "&amp;G59</f>
        <v>= (b) + (e)</v>
      </c>
    </row>
    <row r="100" spans="3:11" x14ac:dyDescent="0.2">
      <c r="C100" s="163" t="str">
        <f>I59</f>
        <v>(g)</v>
      </c>
      <c r="D100" s="164" t="str">
        <f>'Table 9'!B1&amp;" - "&amp;'Table 9'!B2</f>
        <v>Table 9 - Natural Gas Price - Delivered to Plant</v>
      </c>
    </row>
    <row r="101" spans="3:11" x14ac:dyDescent="0.2">
      <c r="C101" s="163" t="str">
        <f>J59</f>
        <v>(h)</v>
      </c>
      <c r="D101" s="146" t="str">
        <f>"= "&amp;TEXT(K115,"?,0")&amp;" MMBtu/MWH x "&amp;I59</f>
        <v>= 6,560 MMBtu/MWH x (g)</v>
      </c>
    </row>
    <row r="102" spans="3:11" x14ac:dyDescent="0.2">
      <c r="C102" s="163" t="str">
        <f>K59</f>
        <v>(i)</v>
      </c>
      <c r="D102" s="165" t="str">
        <f>"= "&amp;H59&amp;" / (8.76 x 'Capacity Factor' ) + "&amp;J59</f>
        <v>= (f) / (8.76 x 'Capacity Factor' ) + (h)</v>
      </c>
    </row>
    <row r="103" spans="3:11" ht="13.5" thickBot="1" x14ac:dyDescent="0.25"/>
    <row r="104" spans="3:11" ht="13.5" thickBot="1" x14ac:dyDescent="0.25">
      <c r="C104" s="32" t="s">
        <v>142</v>
      </c>
      <c r="D104" s="54"/>
      <c r="E104" s="54"/>
      <c r="F104" s="54"/>
      <c r="G104" s="54"/>
      <c r="H104" s="54"/>
      <c r="I104" s="54"/>
      <c r="J104" s="55"/>
      <c r="K104" s="68"/>
    </row>
    <row r="105" spans="3:11" ht="5.25" customHeight="1" x14ac:dyDescent="0.2"/>
    <row r="106" spans="3:11" ht="5.25" customHeight="1" x14ac:dyDescent="0.2"/>
    <row r="107" spans="3:11" x14ac:dyDescent="0.2">
      <c r="C107" s="35" t="s">
        <v>77</v>
      </c>
      <c r="D107" s="36"/>
      <c r="E107" s="35"/>
      <c r="F107" s="37" t="s">
        <v>74</v>
      </c>
      <c r="G107" s="37" t="s">
        <v>76</v>
      </c>
      <c r="H107" s="37" t="s">
        <v>71</v>
      </c>
      <c r="I107" s="37" t="s">
        <v>72</v>
      </c>
    </row>
    <row r="108" spans="3:11" x14ac:dyDescent="0.2">
      <c r="C108" s="56" t="s">
        <v>144</v>
      </c>
      <c r="F108" s="166">
        <f>C119</f>
        <v>380</v>
      </c>
      <c r="G108" s="66">
        <f>F108/F110</f>
        <v>0.89834515366430256</v>
      </c>
      <c r="H108" s="62">
        <f>C120</f>
        <v>1075</v>
      </c>
      <c r="I108" s="63">
        <f>C123</f>
        <v>25.39</v>
      </c>
    </row>
    <row r="109" spans="3:11" x14ac:dyDescent="0.2">
      <c r="C109" s="56" t="s">
        <v>143</v>
      </c>
      <c r="F109" s="38">
        <f>D119</f>
        <v>43</v>
      </c>
      <c r="G109" s="18">
        <f>1-G108</f>
        <v>0.10165484633569744</v>
      </c>
      <c r="H109" s="39">
        <f>D120</f>
        <v>486</v>
      </c>
      <c r="I109" s="40">
        <f>D123</f>
        <v>19.41</v>
      </c>
    </row>
    <row r="110" spans="3:11" x14ac:dyDescent="0.2">
      <c r="C110" s="56" t="s">
        <v>78</v>
      </c>
      <c r="F110" s="166">
        <f>F108+F109</f>
        <v>423</v>
      </c>
      <c r="G110" s="66">
        <f>G108+G109</f>
        <v>1</v>
      </c>
      <c r="H110" s="62">
        <f>ROUND(((F108*H108)+(F109*H109))/F110,0)</f>
        <v>1015</v>
      </c>
      <c r="I110" s="63">
        <f>ROUND(((F108*I108)+(F109*I109))/F110,2)</f>
        <v>24.78</v>
      </c>
    </row>
    <row r="111" spans="3:11" x14ac:dyDescent="0.2">
      <c r="F111" s="166"/>
      <c r="G111" s="66"/>
      <c r="H111" s="62"/>
      <c r="I111" s="63"/>
    </row>
    <row r="112" spans="3:11" x14ac:dyDescent="0.2">
      <c r="C112" s="35" t="s">
        <v>77</v>
      </c>
      <c r="D112" s="36"/>
      <c r="E112" s="35"/>
      <c r="F112" s="37" t="s">
        <v>74</v>
      </c>
      <c r="G112" s="37" t="s">
        <v>79</v>
      </c>
      <c r="H112" s="37" t="s">
        <v>65</v>
      </c>
      <c r="I112" s="37" t="s">
        <v>76</v>
      </c>
      <c r="J112" s="37" t="s">
        <v>95</v>
      </c>
      <c r="K112" s="37" t="s">
        <v>73</v>
      </c>
    </row>
    <row r="113" spans="3:11" x14ac:dyDescent="0.2">
      <c r="C113" s="167" t="str">
        <f>C108</f>
        <v>CCCT Dry "J" - Turbine</v>
      </c>
      <c r="D113" s="167"/>
      <c r="E113" s="167"/>
      <c r="F113" s="56">
        <f>C119</f>
        <v>380</v>
      </c>
      <c r="G113" s="66">
        <f>C127</f>
        <v>0.56000000000000005</v>
      </c>
      <c r="H113" s="56">
        <f>G113*F113</f>
        <v>212.8</v>
      </c>
      <c r="I113" s="66">
        <f>H113/H115</f>
        <v>0.96868171886380194</v>
      </c>
      <c r="J113" s="63">
        <f>C124</f>
        <v>2.72</v>
      </c>
      <c r="K113" s="168">
        <f>C125</f>
        <v>6495</v>
      </c>
    </row>
    <row r="114" spans="3:11" x14ac:dyDescent="0.2">
      <c r="C114" s="167" t="str">
        <f>C109</f>
        <v>CCCT Dry "J" - Duct Firing</v>
      </c>
      <c r="D114" s="167"/>
      <c r="E114" s="167"/>
      <c r="F114" s="41">
        <f>D119</f>
        <v>43</v>
      </c>
      <c r="G114" s="18">
        <f>D127</f>
        <v>0.16</v>
      </c>
      <c r="H114" s="41">
        <f>G114*F114</f>
        <v>6.88</v>
      </c>
      <c r="I114" s="18">
        <f>1-I113</f>
        <v>3.1318281136198056E-2</v>
      </c>
      <c r="J114" s="42">
        <f>D124</f>
        <v>0.08</v>
      </c>
      <c r="K114" s="53">
        <f>D125</f>
        <v>8611</v>
      </c>
    </row>
    <row r="115" spans="3:11" x14ac:dyDescent="0.2">
      <c r="C115" s="56" t="s">
        <v>80</v>
      </c>
      <c r="F115" s="56">
        <f>F113+F114</f>
        <v>423</v>
      </c>
      <c r="G115" s="169">
        <f>ROUND(H115/F115,3)</f>
        <v>0.51900000000000002</v>
      </c>
      <c r="H115" s="56">
        <f>SUM(H113:H114)</f>
        <v>219.68</v>
      </c>
      <c r="I115" s="66">
        <f>I113+I114</f>
        <v>1</v>
      </c>
      <c r="J115" s="63">
        <f>ROUND(($I113*J113)+($I114*J114),2)</f>
        <v>2.64</v>
      </c>
      <c r="K115" s="166">
        <f>ROUND(($I113*K113)+($I114*K114),-1)</f>
        <v>6560</v>
      </c>
    </row>
    <row r="116" spans="3:11" x14ac:dyDescent="0.2">
      <c r="G116" s="169"/>
      <c r="I116" s="66"/>
      <c r="J116" s="63"/>
      <c r="K116" s="43" t="s">
        <v>96</v>
      </c>
    </row>
    <row r="118" spans="3:11" x14ac:dyDescent="0.2">
      <c r="C118" s="57" t="s">
        <v>97</v>
      </c>
      <c r="D118" s="57" t="s">
        <v>98</v>
      </c>
      <c r="E118" s="44" t="str">
        <f>D96</f>
        <v>Plant Costs  - 2013 IRP - Table 6.1 &amp; 6.2</v>
      </c>
      <c r="F118" s="58"/>
      <c r="G118" s="58"/>
      <c r="H118" s="58"/>
      <c r="I118" s="58"/>
      <c r="J118" s="58"/>
      <c r="K118" s="59"/>
    </row>
    <row r="119" spans="3:11" x14ac:dyDescent="0.2">
      <c r="C119" s="60">
        <v>380</v>
      </c>
      <c r="D119" s="60">
        <v>43</v>
      </c>
      <c r="E119" s="60" t="s">
        <v>88</v>
      </c>
      <c r="F119" s="60"/>
      <c r="G119" s="60"/>
      <c r="H119" s="61"/>
      <c r="I119" s="60"/>
      <c r="J119" s="60"/>
      <c r="K119" s="60"/>
    </row>
    <row r="120" spans="3:11" x14ac:dyDescent="0.2">
      <c r="C120" s="62">
        <v>1075</v>
      </c>
      <c r="D120" s="62">
        <v>486</v>
      </c>
      <c r="E120" s="60" t="s">
        <v>117</v>
      </c>
      <c r="F120" s="60"/>
      <c r="G120" s="60"/>
      <c r="H120" s="60"/>
      <c r="I120" s="60"/>
      <c r="J120" s="60"/>
      <c r="K120" s="60"/>
    </row>
    <row r="121" spans="3:11" x14ac:dyDescent="0.2">
      <c r="C121" s="63">
        <f>10.54+0.21</f>
        <v>10.75</v>
      </c>
      <c r="D121" s="63">
        <v>0</v>
      </c>
      <c r="E121" s="60" t="s">
        <v>145</v>
      </c>
      <c r="F121" s="60"/>
      <c r="G121" s="60"/>
      <c r="H121" s="60"/>
      <c r="I121" s="60"/>
      <c r="J121" s="60"/>
      <c r="K121" s="60"/>
    </row>
    <row r="122" spans="3:11" x14ac:dyDescent="0.2">
      <c r="C122" s="40">
        <v>14.64</v>
      </c>
      <c r="D122" s="40">
        <v>19.41</v>
      </c>
      <c r="E122" s="60" t="s">
        <v>126</v>
      </c>
      <c r="F122" s="60"/>
      <c r="G122" s="60"/>
      <c r="H122" s="60"/>
      <c r="I122" s="60"/>
      <c r="J122" s="60"/>
      <c r="K122" s="60"/>
    </row>
    <row r="123" spans="3:11" x14ac:dyDescent="0.2">
      <c r="C123" s="63">
        <f>C121+C122</f>
        <v>25.39</v>
      </c>
      <c r="D123" s="63">
        <f>D121+D122</f>
        <v>19.41</v>
      </c>
      <c r="E123" s="60" t="s">
        <v>146</v>
      </c>
      <c r="F123" s="60"/>
      <c r="G123" s="60"/>
      <c r="H123" s="60"/>
      <c r="I123" s="60"/>
      <c r="J123" s="60"/>
      <c r="K123" s="60"/>
    </row>
    <row r="124" spans="3:11" x14ac:dyDescent="0.2">
      <c r="C124" s="63">
        <f>2.54+0.18</f>
        <v>2.72</v>
      </c>
      <c r="D124" s="63">
        <v>0.08</v>
      </c>
      <c r="E124" s="60" t="s">
        <v>147</v>
      </c>
      <c r="F124" s="60"/>
      <c r="G124" s="60"/>
      <c r="H124" s="60"/>
      <c r="I124" s="60"/>
      <c r="J124" s="60"/>
      <c r="K124" s="60"/>
    </row>
    <row r="125" spans="3:11" x14ac:dyDescent="0.2">
      <c r="C125" s="64">
        <v>6495</v>
      </c>
      <c r="D125" s="64">
        <v>8611</v>
      </c>
      <c r="E125" s="60" t="s">
        <v>118</v>
      </c>
      <c r="F125" s="60"/>
      <c r="G125" s="60"/>
      <c r="H125" s="60"/>
      <c r="I125" s="60"/>
      <c r="J125" s="60"/>
      <c r="K125" s="60"/>
    </row>
    <row r="126" spans="3:11" x14ac:dyDescent="0.2">
      <c r="C126" s="223">
        <v>7.886E-2</v>
      </c>
      <c r="D126" s="223">
        <f>C126</f>
        <v>7.886E-2</v>
      </c>
      <c r="E126" s="60" t="s">
        <v>90</v>
      </c>
      <c r="F126" s="60"/>
      <c r="G126" s="60"/>
      <c r="H126" s="60"/>
      <c r="I126" s="60"/>
      <c r="J126" s="60"/>
      <c r="K126" s="60"/>
    </row>
    <row r="127" spans="3:11" x14ac:dyDescent="0.2">
      <c r="C127" s="65">
        <v>0.56000000000000005</v>
      </c>
      <c r="D127" s="65">
        <v>0.16</v>
      </c>
      <c r="E127" s="60" t="s">
        <v>91</v>
      </c>
      <c r="F127" s="60"/>
      <c r="G127" s="60"/>
      <c r="H127" s="60"/>
      <c r="I127" s="60"/>
      <c r="J127" s="60"/>
      <c r="K127" s="60"/>
    </row>
    <row r="128" spans="3:11" x14ac:dyDescent="0.2">
      <c r="C128" s="60"/>
      <c r="D128" s="66">
        <f>ROUND(H115/F115,3)</f>
        <v>0.51900000000000002</v>
      </c>
      <c r="E128" s="60" t="s">
        <v>119</v>
      </c>
      <c r="F128" s="60"/>
      <c r="G128" s="60"/>
      <c r="H128" s="60"/>
      <c r="I128" s="60"/>
      <c r="J128" s="60"/>
      <c r="K128" s="60"/>
    </row>
    <row r="129" spans="3:15" x14ac:dyDescent="0.2">
      <c r="C129" s="60"/>
      <c r="D129" s="248">
        <f>MIN(1,ROUND(D128/0.56,3))</f>
        <v>0.92700000000000005</v>
      </c>
      <c r="E129" s="67" t="str">
        <f>"  Capacity Factor - On-peak     "&amp;TEXT(D128,"0.0%")&amp;" / 56% (percent of hours on-peak) "</f>
        <v xml:space="preserve">  Capacity Factor - On-peak     51.9% / 56% (percent of hours on-peak) </v>
      </c>
      <c r="F129" s="60"/>
      <c r="G129" s="60"/>
      <c r="H129" s="60"/>
      <c r="I129" s="60"/>
      <c r="J129" s="60"/>
      <c r="K129" s="60"/>
    </row>
    <row r="130" spans="3:15" x14ac:dyDescent="0.2">
      <c r="C130" s="154"/>
      <c r="D130" s="154"/>
    </row>
    <row r="131" spans="3:15" ht="13.5" thickBot="1" x14ac:dyDescent="0.25"/>
    <row r="132" spans="3:15" ht="13.5" thickBot="1" x14ac:dyDescent="0.25">
      <c r="C132" s="266" t="str">
        <f>"Company Official Inflation - "&amp;'Table 9'!B37</f>
        <v>Company Official Inflation - Official Forward Price Curve dated March 2014</v>
      </c>
      <c r="D132" s="267"/>
      <c r="E132" s="267"/>
      <c r="F132" s="267"/>
      <c r="G132" s="267"/>
      <c r="H132" s="267"/>
      <c r="I132" s="267"/>
      <c r="J132" s="267"/>
      <c r="K132" s="268"/>
      <c r="N132" s="56" t="s">
        <v>116</v>
      </c>
    </row>
    <row r="133" spans="3:15" x14ac:dyDescent="0.2">
      <c r="C133" s="69">
        <v>2012</v>
      </c>
      <c r="D133" s="66">
        <v>1.9E-2</v>
      </c>
      <c r="E133" s="60"/>
      <c r="F133" s="69">
        <v>2021</v>
      </c>
      <c r="G133" s="66">
        <v>1.9E-2</v>
      </c>
      <c r="H133" s="60"/>
      <c r="I133" s="69">
        <v>2030</v>
      </c>
      <c r="J133" s="66">
        <v>1.9E-2</v>
      </c>
      <c r="K133" s="69"/>
      <c r="N133" s="69">
        <v>2009</v>
      </c>
      <c r="O133" s="66">
        <v>4.0000000000000001E-3</v>
      </c>
    </row>
    <row r="134" spans="3:15" x14ac:dyDescent="0.2">
      <c r="C134" s="69">
        <v>2013</v>
      </c>
      <c r="D134" s="66">
        <v>1.4E-2</v>
      </c>
      <c r="E134" s="60"/>
      <c r="F134" s="69">
        <v>2022</v>
      </c>
      <c r="G134" s="66">
        <v>1.7999999999999999E-2</v>
      </c>
      <c r="H134" s="60"/>
      <c r="I134" s="69">
        <v>2031</v>
      </c>
      <c r="J134" s="66">
        <v>0.02</v>
      </c>
      <c r="K134" s="69"/>
      <c r="N134" s="69">
        <f t="shared" ref="N134:N147" si="15">N133+1</f>
        <v>2010</v>
      </c>
      <c r="O134" s="66">
        <v>1.2999999999999999E-2</v>
      </c>
    </row>
    <row r="135" spans="3:15" x14ac:dyDescent="0.2">
      <c r="C135" s="69">
        <v>2014</v>
      </c>
      <c r="D135" s="66">
        <v>1.4999999999999999E-2</v>
      </c>
      <c r="E135" s="60"/>
      <c r="F135" s="69">
        <v>2023</v>
      </c>
      <c r="G135" s="66">
        <v>1.7999999999999999E-2</v>
      </c>
      <c r="H135" s="60"/>
      <c r="I135" s="69">
        <v>2032</v>
      </c>
      <c r="J135" s="66">
        <v>0.02</v>
      </c>
      <c r="K135" s="69"/>
      <c r="N135" s="69">
        <f t="shared" si="15"/>
        <v>2011</v>
      </c>
      <c r="O135" s="66">
        <v>1.7000000000000001E-2</v>
      </c>
    </row>
    <row r="136" spans="3:15" x14ac:dyDescent="0.2">
      <c r="C136" s="69">
        <v>2015</v>
      </c>
      <c r="D136" s="66">
        <v>1.7000000000000001E-2</v>
      </c>
      <c r="E136" s="60"/>
      <c r="F136" s="69">
        <v>2024</v>
      </c>
      <c r="G136" s="66">
        <v>1.7999999999999999E-2</v>
      </c>
      <c r="H136" s="60"/>
      <c r="I136" s="69">
        <v>2033</v>
      </c>
      <c r="J136" s="66">
        <v>0.02</v>
      </c>
      <c r="K136" s="69"/>
      <c r="N136" s="69">
        <f t="shared" si="15"/>
        <v>2012</v>
      </c>
      <c r="O136" s="66">
        <v>0.02</v>
      </c>
    </row>
    <row r="137" spans="3:15" x14ac:dyDescent="0.2">
      <c r="C137" s="69">
        <v>2016</v>
      </c>
      <c r="D137" s="66">
        <v>1.7999999999999999E-2</v>
      </c>
      <c r="E137" s="60"/>
      <c r="F137" s="69">
        <v>2025</v>
      </c>
      <c r="G137" s="66">
        <v>1.7999999999999999E-2</v>
      </c>
      <c r="H137" s="60"/>
      <c r="I137" s="69">
        <v>2034</v>
      </c>
      <c r="J137" s="66">
        <v>0.02</v>
      </c>
      <c r="K137" s="69"/>
      <c r="N137" s="69">
        <f t="shared" si="15"/>
        <v>2013</v>
      </c>
      <c r="O137" s="66">
        <v>0.02</v>
      </c>
    </row>
    <row r="138" spans="3:15" x14ac:dyDescent="0.2">
      <c r="C138" s="69">
        <v>2017</v>
      </c>
      <c r="D138" s="66">
        <v>1.7999999999999999E-2</v>
      </c>
      <c r="E138" s="60"/>
      <c r="F138" s="69">
        <v>2026</v>
      </c>
      <c r="G138" s="66">
        <v>1.9E-2</v>
      </c>
      <c r="H138" s="60"/>
      <c r="I138" s="69">
        <v>2035</v>
      </c>
      <c r="J138" s="66">
        <v>0.02</v>
      </c>
      <c r="K138" s="69"/>
      <c r="N138" s="69">
        <f t="shared" si="15"/>
        <v>2014</v>
      </c>
      <c r="O138" s="66">
        <v>1.9E-2</v>
      </c>
    </row>
    <row r="139" spans="3:15" s="137" customFormat="1" x14ac:dyDescent="0.2">
      <c r="C139" s="69">
        <v>2018</v>
      </c>
      <c r="D139" s="66">
        <v>1.7999999999999999E-2</v>
      </c>
      <c r="E139" s="70"/>
      <c r="F139" s="69">
        <v>2027</v>
      </c>
      <c r="G139" s="66">
        <v>1.9E-2</v>
      </c>
      <c r="H139" s="70"/>
      <c r="I139" s="69">
        <v>2036</v>
      </c>
      <c r="J139" s="66">
        <v>2.1000000000000001E-2</v>
      </c>
      <c r="K139" s="69"/>
      <c r="N139" s="69">
        <f t="shared" si="15"/>
        <v>2015</v>
      </c>
      <c r="O139" s="66">
        <v>1.9E-2</v>
      </c>
    </row>
    <row r="140" spans="3:15" s="137" customFormat="1" x14ac:dyDescent="0.2">
      <c r="C140" s="69">
        <v>2019</v>
      </c>
      <c r="D140" s="66">
        <v>1.7000000000000001E-2</v>
      </c>
      <c r="E140" s="70"/>
      <c r="F140" s="69">
        <v>2028</v>
      </c>
      <c r="G140" s="66">
        <v>1.9E-2</v>
      </c>
      <c r="H140" s="70"/>
      <c r="I140" s="69">
        <v>2037</v>
      </c>
      <c r="J140" s="66">
        <v>2.1000000000000001E-2</v>
      </c>
      <c r="K140" s="69"/>
      <c r="N140" s="69">
        <f t="shared" si="15"/>
        <v>2016</v>
      </c>
      <c r="O140" s="66">
        <v>1.9E-2</v>
      </c>
    </row>
    <row r="141" spans="3:15" s="137" customFormat="1" x14ac:dyDescent="0.2">
      <c r="C141" s="69">
        <v>2020</v>
      </c>
      <c r="D141" s="66">
        <v>1.7999999999999999E-2</v>
      </c>
      <c r="E141" s="70"/>
      <c r="F141" s="69">
        <v>2029</v>
      </c>
      <c r="G141" s="66">
        <v>1.9E-2</v>
      </c>
      <c r="H141" s="70"/>
      <c r="I141" s="69">
        <v>2038</v>
      </c>
      <c r="J141" s="66">
        <v>2.1000000000000001E-2</v>
      </c>
      <c r="K141" s="69"/>
      <c r="N141" s="69">
        <f t="shared" si="15"/>
        <v>2017</v>
      </c>
      <c r="O141" s="66">
        <v>1.9E-2</v>
      </c>
    </row>
    <row r="142" spans="3:15" x14ac:dyDescent="0.2">
      <c r="C142" s="170"/>
      <c r="D142" s="171"/>
      <c r="N142" s="69" t="e">
        <f>#REF!+1</f>
        <v>#REF!</v>
      </c>
      <c r="O142" s="66">
        <v>1.7000000000000001E-2</v>
      </c>
    </row>
    <row r="143" spans="3:15" x14ac:dyDescent="0.2">
      <c r="C143" s="170"/>
      <c r="D143" s="171"/>
      <c r="N143" s="69" t="e">
        <f t="shared" si="15"/>
        <v>#REF!</v>
      </c>
      <c r="O143" s="66">
        <v>1.6E-2</v>
      </c>
    </row>
    <row r="144" spans="3:15" x14ac:dyDescent="0.2">
      <c r="C144" s="170"/>
      <c r="D144" s="171"/>
      <c r="N144" s="69" t="e">
        <f t="shared" si="15"/>
        <v>#REF!</v>
      </c>
      <c r="O144" s="66">
        <v>1.6E-2</v>
      </c>
    </row>
    <row r="145" spans="3:15" x14ac:dyDescent="0.2">
      <c r="C145" s="170"/>
      <c r="D145" s="171"/>
      <c r="N145" s="69" t="e">
        <f t="shared" si="15"/>
        <v>#REF!</v>
      </c>
      <c r="O145" s="66">
        <v>1.6E-2</v>
      </c>
    </row>
    <row r="146" spans="3:15" x14ac:dyDescent="0.2">
      <c r="C146" s="170"/>
      <c r="D146" s="171"/>
      <c r="N146" s="69" t="e">
        <f t="shared" si="15"/>
        <v>#REF!</v>
      </c>
      <c r="O146" s="66">
        <v>1.7000000000000001E-2</v>
      </c>
    </row>
    <row r="147" spans="3:15" x14ac:dyDescent="0.2">
      <c r="C147" s="170"/>
      <c r="D147" s="171"/>
      <c r="N147" s="69" t="e">
        <f t="shared" si="15"/>
        <v>#REF!</v>
      </c>
      <c r="O147" s="66">
        <v>1.7000000000000001E-2</v>
      </c>
    </row>
  </sheetData>
  <phoneticPr fontId="7" type="noConversion"/>
  <pageMargins left="0.7" right="0.7" top="0.75" bottom="0.75" header="0.3" footer="0.3"/>
  <pageSetup scale="74" fitToHeight="2" orientation="portrait" r:id="rId1"/>
  <rowBreaks count="2" manualBreakCount="2">
    <brk id="52" min="1" max="10" man="1"/>
    <brk id="89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37"/>
  <sheetViews>
    <sheetView view="pageBreakPreview" zoomScale="60" zoomScaleNormal="100" workbookViewId="0">
      <selection activeCell="O1" sqref="O1"/>
    </sheetView>
  </sheetViews>
  <sheetFormatPr defaultRowHeight="12.75" x14ac:dyDescent="0.2"/>
  <cols>
    <col min="1" max="1" width="2" style="56" customWidth="1"/>
    <col min="2" max="2" width="24.5" style="56" customWidth="1"/>
    <col min="3" max="3" width="31.5" style="56" customWidth="1"/>
    <col min="4" max="4" width="2.1640625" style="56" customWidth="1"/>
    <col min="5" max="16384" width="9.33203125" style="56"/>
  </cols>
  <sheetData>
    <row r="1" spans="2:3" ht="15.75" x14ac:dyDescent="0.25">
      <c r="B1" s="24" t="s">
        <v>99</v>
      </c>
      <c r="C1" s="33"/>
    </row>
    <row r="2" spans="2:3" ht="15.75" x14ac:dyDescent="0.25">
      <c r="B2" s="24" t="s">
        <v>106</v>
      </c>
      <c r="C2" s="33"/>
    </row>
    <row r="3" spans="2:3" ht="15.75" x14ac:dyDescent="0.25">
      <c r="B3" s="24" t="s">
        <v>41</v>
      </c>
      <c r="C3" s="129"/>
    </row>
    <row r="4" spans="2:3" ht="15.75" x14ac:dyDescent="0.25">
      <c r="B4" s="24"/>
      <c r="C4" s="129"/>
    </row>
    <row r="5" spans="2:3" x14ac:dyDescent="0.2">
      <c r="B5" s="25"/>
      <c r="C5" s="25" t="s">
        <v>100</v>
      </c>
    </row>
    <row r="6" spans="2:3" x14ac:dyDescent="0.2">
      <c r="B6" s="45" t="s">
        <v>2</v>
      </c>
      <c r="C6" s="45" t="s">
        <v>105</v>
      </c>
    </row>
    <row r="7" spans="2:3" x14ac:dyDescent="0.2">
      <c r="B7" s="130"/>
      <c r="C7" s="46" t="s">
        <v>33</v>
      </c>
    </row>
    <row r="8" spans="2:3" x14ac:dyDescent="0.2">
      <c r="C8" s="135" t="s">
        <v>22</v>
      </c>
    </row>
    <row r="9" spans="2:3" x14ac:dyDescent="0.2">
      <c r="C9" s="131"/>
    </row>
    <row r="10" spans="2:3" x14ac:dyDescent="0.2">
      <c r="B10" s="132">
        <f>'Tables 3 to 6'!$B$13</f>
        <v>2014</v>
      </c>
      <c r="C10" s="133">
        <v>4.75</v>
      </c>
    </row>
    <row r="11" spans="2:3" x14ac:dyDescent="0.2">
      <c r="B11" s="132">
        <f>B10+1</f>
        <v>2015</v>
      </c>
      <c r="C11" s="133">
        <v>4.17</v>
      </c>
    </row>
    <row r="12" spans="2:3" x14ac:dyDescent="0.2">
      <c r="B12" s="132">
        <f t="shared" ref="B12:B34" si="0">B11+1</f>
        <v>2016</v>
      </c>
      <c r="C12" s="133">
        <v>3.96</v>
      </c>
    </row>
    <row r="13" spans="2:3" x14ac:dyDescent="0.2">
      <c r="B13" s="132">
        <f t="shared" si="0"/>
        <v>2017</v>
      </c>
      <c r="C13" s="133">
        <v>3.98</v>
      </c>
    </row>
    <row r="14" spans="2:3" x14ac:dyDescent="0.2">
      <c r="B14" s="132">
        <f t="shared" si="0"/>
        <v>2018</v>
      </c>
      <c r="C14" s="133">
        <v>4.18</v>
      </c>
    </row>
    <row r="15" spans="2:3" x14ac:dyDescent="0.2">
      <c r="B15" s="132">
        <f t="shared" si="0"/>
        <v>2019</v>
      </c>
      <c r="C15" s="133">
        <v>4.37</v>
      </c>
    </row>
    <row r="16" spans="2:3" x14ac:dyDescent="0.2">
      <c r="B16" s="132">
        <f t="shared" si="0"/>
        <v>2020</v>
      </c>
      <c r="C16" s="133">
        <v>4.7300000000000004</v>
      </c>
    </row>
    <row r="17" spans="2:3" x14ac:dyDescent="0.2">
      <c r="B17" s="132">
        <f t="shared" si="0"/>
        <v>2021</v>
      </c>
      <c r="C17" s="133">
        <v>5.1100000000000003</v>
      </c>
    </row>
    <row r="18" spans="2:3" x14ac:dyDescent="0.2">
      <c r="B18" s="132">
        <f t="shared" si="0"/>
        <v>2022</v>
      </c>
      <c r="C18" s="133">
        <v>5.35</v>
      </c>
    </row>
    <row r="19" spans="2:3" x14ac:dyDescent="0.2">
      <c r="B19" s="132">
        <f t="shared" si="0"/>
        <v>2023</v>
      </c>
      <c r="C19" s="133">
        <v>5.54</v>
      </c>
    </row>
    <row r="20" spans="2:3" x14ac:dyDescent="0.2">
      <c r="B20" s="132">
        <f t="shared" si="0"/>
        <v>2024</v>
      </c>
      <c r="C20" s="133">
        <v>5.73</v>
      </c>
    </row>
    <row r="21" spans="2:3" x14ac:dyDescent="0.2">
      <c r="B21" s="132">
        <f t="shared" si="0"/>
        <v>2025</v>
      </c>
      <c r="C21" s="133">
        <v>5.87</v>
      </c>
    </row>
    <row r="22" spans="2:3" x14ac:dyDescent="0.2">
      <c r="B22" s="132">
        <f t="shared" si="0"/>
        <v>2026</v>
      </c>
      <c r="C22" s="133">
        <v>6.06</v>
      </c>
    </row>
    <row r="23" spans="2:3" x14ac:dyDescent="0.2">
      <c r="B23" s="132">
        <f t="shared" si="0"/>
        <v>2027</v>
      </c>
      <c r="C23" s="133">
        <v>6.3</v>
      </c>
    </row>
    <row r="24" spans="2:3" x14ac:dyDescent="0.2">
      <c r="B24" s="132">
        <f t="shared" si="0"/>
        <v>2028</v>
      </c>
      <c r="C24" s="133">
        <v>6.54</v>
      </c>
    </row>
    <row r="25" spans="2:3" x14ac:dyDescent="0.2">
      <c r="B25" s="132">
        <f t="shared" si="0"/>
        <v>2029</v>
      </c>
      <c r="C25" s="133">
        <v>6.83</v>
      </c>
    </row>
    <row r="26" spans="2:3" x14ac:dyDescent="0.2">
      <c r="B26" s="132">
        <f t="shared" si="0"/>
        <v>2030</v>
      </c>
      <c r="C26" s="133">
        <v>7.12</v>
      </c>
    </row>
    <row r="27" spans="2:3" x14ac:dyDescent="0.2">
      <c r="B27" s="132">
        <f t="shared" si="0"/>
        <v>2031</v>
      </c>
      <c r="C27" s="133">
        <v>7.27</v>
      </c>
    </row>
    <row r="28" spans="2:3" x14ac:dyDescent="0.2">
      <c r="B28" s="132">
        <f t="shared" si="0"/>
        <v>2032</v>
      </c>
      <c r="C28" s="133">
        <v>7.41</v>
      </c>
    </row>
    <row r="29" spans="2:3" x14ac:dyDescent="0.2">
      <c r="B29" s="132">
        <f t="shared" si="0"/>
        <v>2033</v>
      </c>
      <c r="C29" s="133">
        <v>7.56</v>
      </c>
    </row>
    <row r="30" spans="2:3" x14ac:dyDescent="0.2">
      <c r="B30" s="132">
        <f t="shared" si="0"/>
        <v>2034</v>
      </c>
      <c r="C30" s="133">
        <v>7.71</v>
      </c>
    </row>
    <row r="31" spans="2:3" x14ac:dyDescent="0.2">
      <c r="B31" s="132">
        <f t="shared" si="0"/>
        <v>2035</v>
      </c>
      <c r="C31" s="133">
        <v>7.86</v>
      </c>
    </row>
    <row r="32" spans="2:3" x14ac:dyDescent="0.2">
      <c r="B32" s="132">
        <f t="shared" si="0"/>
        <v>2036</v>
      </c>
      <c r="C32" s="133">
        <v>8.0299999999999994</v>
      </c>
    </row>
    <row r="33" spans="2:3" x14ac:dyDescent="0.2">
      <c r="B33" s="132">
        <f t="shared" si="0"/>
        <v>2037</v>
      </c>
      <c r="C33" s="133">
        <v>8.1999999999999993</v>
      </c>
    </row>
    <row r="34" spans="2:3" x14ac:dyDescent="0.2">
      <c r="B34" s="132">
        <f t="shared" si="0"/>
        <v>2038</v>
      </c>
      <c r="C34" s="133">
        <v>8.3699999999999992</v>
      </c>
    </row>
    <row r="35" spans="2:3" x14ac:dyDescent="0.2">
      <c r="B35" s="132"/>
      <c r="C35" s="133"/>
    </row>
    <row r="36" spans="2:3" x14ac:dyDescent="0.2">
      <c r="B36" s="47" t="s">
        <v>101</v>
      </c>
    </row>
    <row r="37" spans="2:3" x14ac:dyDescent="0.2">
      <c r="B37" s="420" t="s">
        <v>283</v>
      </c>
      <c r="C37" s="420"/>
    </row>
  </sheetData>
  <mergeCells count="1">
    <mergeCell ref="B37:C37"/>
  </mergeCells>
  <phoneticPr fontId="7" type="noConversion"/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Table 1</vt:lpstr>
      <vt:lpstr>Table 2A BaseLoad</vt:lpstr>
      <vt:lpstr>Table 2B Wind</vt:lpstr>
      <vt:lpstr>Table 2C SolarFixed</vt:lpstr>
      <vt:lpstr>Table 2D SolarTracking</vt:lpstr>
      <vt:lpstr>Tables 3 to 6</vt:lpstr>
      <vt:lpstr>Table 7</vt:lpstr>
      <vt:lpstr>Table 8</vt:lpstr>
      <vt:lpstr>Table 9</vt:lpstr>
      <vt:lpstr>Table 10</vt:lpstr>
      <vt:lpstr>Table 11</vt:lpstr>
      <vt:lpstr>Table 12</vt:lpstr>
      <vt:lpstr>--- Do Not Print ---&gt;</vt:lpstr>
      <vt:lpstr>Tariff Page</vt:lpstr>
      <vt:lpstr>Tariff Page Solar Fixed</vt:lpstr>
      <vt:lpstr>Tariff Page Solar Tracking</vt:lpstr>
      <vt:lpstr>Tariff Page Wind</vt:lpstr>
      <vt:lpstr>'Table 2B Wind'!Capacity_Contr_Solar_Fixed</vt:lpstr>
      <vt:lpstr>'Table 2C SolarFixed'!Capacity_Contr_Solar_Fixed</vt:lpstr>
      <vt:lpstr>Capacity_Contr_Solar_Fixed</vt:lpstr>
      <vt:lpstr>'Table 2B Wind'!Capacity_Contr_Solar_Tracking</vt:lpstr>
      <vt:lpstr>'Table 2C SolarFixed'!Capacity_Contr_Solar_Tracking</vt:lpstr>
      <vt:lpstr>'Table 2D SolarTracking'!Capacity_Contr_Solar_Tracking</vt:lpstr>
      <vt:lpstr>Capacity_Contr_Solar_Tracking</vt:lpstr>
      <vt:lpstr>'Table 2B Wind'!Capacity_Contr_Wind</vt:lpstr>
      <vt:lpstr>'Table 2C SolarFixed'!Capacity_Contr_Wind</vt:lpstr>
      <vt:lpstr>'Table 2D SolarTracking'!Capacity_Contr_Wind</vt:lpstr>
      <vt:lpstr>Capacity_Contr_Wind</vt:lpstr>
      <vt:lpstr>'Table 1'!Print_Area</vt:lpstr>
      <vt:lpstr>'Table 10'!Print_Area</vt:lpstr>
      <vt:lpstr>'Table 11'!Print_Area</vt:lpstr>
      <vt:lpstr>'Table 12'!Print_Area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7'!Print_Area</vt:lpstr>
      <vt:lpstr>'Table 8'!Print_Area</vt:lpstr>
      <vt:lpstr>'Table 9'!Print_Area</vt:lpstr>
      <vt:lpstr>'Tables 3 to 6'!Print_Area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'Table 7'!Print_Titles</vt:lpstr>
      <vt:lpstr>Solar_Fixed_integr_cost</vt:lpstr>
      <vt:lpstr>Solar_Tracking_integr_cost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mpaschal</cp:lastModifiedBy>
  <cp:lastPrinted>2015-01-22T18:30:27Z</cp:lastPrinted>
  <dcterms:created xsi:type="dcterms:W3CDTF">2001-03-19T15:45:46Z</dcterms:created>
  <dcterms:modified xsi:type="dcterms:W3CDTF">2015-01-26T19:33:32Z</dcterms:modified>
</cp:coreProperties>
</file>