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55\"/>
    </mc:Choice>
  </mc:AlternateContent>
  <bookViews>
    <workbookView xWindow="0" yWindow="0" windowWidth="21600" windowHeight="9735" tabRatio="904" activeTab="11"/>
  </bookViews>
  <sheets>
    <sheet name="Table 1" sheetId="38" r:id="rId1"/>
    <sheet name="Table 2A BaseLoad" sheetId="17" r:id="rId2"/>
    <sheet name="Table 2B Wind" sheetId="40" r:id="rId3"/>
    <sheet name="Table 2C SolarFixed" sheetId="41" r:id="rId4"/>
    <sheet name="Table 2D SolarTracking" sheetId="42" r:id="rId5"/>
    <sheet name="Tables 3 to 6" sheetId="5" r:id="rId6"/>
    <sheet name="Table 7" sheetId="55" r:id="rId7"/>
    <sheet name="Table 8" sheetId="28" r:id="rId8"/>
    <sheet name="Table 9" sheetId="29" r:id="rId9"/>
    <sheet name="Table 10" sheetId="32" r:id="rId10"/>
    <sheet name="Table 11" sheetId="34" r:id="rId11"/>
    <sheet name="Table 12" sheetId="43" r:id="rId12"/>
    <sheet name="--- Do Not Print ---&gt;" sheetId="37" r:id="rId13"/>
    <sheet name="Tariff Page" sheetId="36" r:id="rId14"/>
    <sheet name="Tariff Page Solar Fixed" sheetId="44" r:id="rId15"/>
    <sheet name="Tariff Page Solar Tracking" sheetId="45" r:id="rId16"/>
    <sheet name="Tariff Page Wind" sheetId="39" r:id="rId17"/>
    <sheet name="OFPC Source" sheetId="5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Capacity_Contr_Solar_Fixed" localSheetId="2">'Table 2B Wind'!$Q$87</definedName>
    <definedName name="Capacity_Contr_Solar_Fixed" localSheetId="3">'Table 2C SolarFixed'!$F$88</definedName>
    <definedName name="Capacity_Contr_Solar_Fixed" localSheetId="4">'Table 2D SolarTracking'!#REF!</definedName>
    <definedName name="Capacity_Contr_Solar_Fixed">'Table 2A BaseLoad'!$E$109</definedName>
    <definedName name="Capacity_Contr_Solar_Tracking" localSheetId="2">'Table 2B Wind'!$D$85</definedName>
    <definedName name="Capacity_Contr_Solar_Tracking" localSheetId="3">'Table 2C SolarFixed'!$Q$90</definedName>
    <definedName name="Capacity_Contr_Solar_Tracking" localSheetId="4">'Table 2D SolarTracking'!$F$88</definedName>
    <definedName name="Capacity_Contr_Solar_Tracking">'Table 2A BaseLoad'!$Q$111</definedName>
    <definedName name="Capacity_Contr_Wind" localSheetId="2">'Table 2B Wind'!$E$86</definedName>
    <definedName name="Capacity_Contr_Wind" localSheetId="3">'Table 2C SolarFixed'!$Q$91</definedName>
    <definedName name="Capacity_Contr_Wind" localSheetId="4">'Table 2D SolarTracking'!$Q$91</definedName>
    <definedName name="Capacity_Contr_Wind">'Table 2A BaseLoad'!$Q$112</definedName>
    <definedName name="dateTable" localSheetId="0">'[1]on off peak hours'!$C$15:$ED$15</definedName>
    <definedName name="dateTable">'[2]on off peak hours'!$C$15:$ED$15</definedName>
    <definedName name="DispatchSum">"GRID Thermal Generation!R2C1:R4C2"</definedName>
    <definedName name="HoursHoliday" localSheetId="0">'[1]on off peak hours'!$C$16:$ED$20</definedName>
    <definedName name="HoursHoliday">'[2]on off peak hours'!$C$16:$ED$20</definedName>
    <definedName name="_xlnm.Print_Area" localSheetId="17">'OFPC Source'!$AA$4:$AM$38</definedName>
    <definedName name="_xlnm.Print_Area" localSheetId="0">'Table 1'!$B$1:$Y$69</definedName>
    <definedName name="_xlnm.Print_Area" localSheetId="9">'Table 10'!$A$1:$G$38</definedName>
    <definedName name="_xlnm.Print_Area" localSheetId="10">'Table 11'!$A$1:$Q$37</definedName>
    <definedName name="_xlnm.Print_Area" localSheetId="11">'Table 12'!$A$1:$G$46</definedName>
    <definedName name="_xlnm.Print_Area" localSheetId="1">'Table 2A BaseLoad'!$A$1:$Q$106</definedName>
    <definedName name="_xlnm.Print_Area" localSheetId="2">'Table 2B Wind'!$A$1:$S$83</definedName>
    <definedName name="_xlnm.Print_Area" localSheetId="3">'Table 2C SolarFixed'!$A$1:$S$86</definedName>
    <definedName name="_xlnm.Print_Area" localSheetId="4">'Table 2D SolarTracking'!$A$1:$S$86</definedName>
    <definedName name="_xlnm.Print_Area" localSheetId="6">'Table 7'!$A$1:$N$42</definedName>
    <definedName name="_xlnm.Print_Area" localSheetId="7">'Table 8'!$B$1:$K$141</definedName>
    <definedName name="_xlnm.Print_Area" localSheetId="8">'Table 9'!$A$1:$D$37</definedName>
    <definedName name="_xlnm.Print_Area" localSheetId="5">'Tables 3 to 6'!$A$1:$AY$48</definedName>
    <definedName name="_xlnm.Print_Area" localSheetId="13">'Tariff Page'!$A$1:$U$39</definedName>
    <definedName name="_xlnm.Print_Area" localSheetId="14">'Tariff Page Solar Fixed'!$A$1:$F$47</definedName>
    <definedName name="_xlnm.Print_Area" localSheetId="15">'Tariff Page Solar Tracking'!$A$1:$F$47</definedName>
    <definedName name="_xlnm.Print_Area" localSheetId="16">'Tariff Page Wind'!$A$1:$F$47</definedName>
    <definedName name="_xlnm.Print_Titles" localSheetId="1">'Table 2A BaseLoad'!$1:$4</definedName>
    <definedName name="_xlnm.Print_Titles" localSheetId="2">'Table 2B Wind'!$1:$4</definedName>
    <definedName name="_xlnm.Print_Titles" localSheetId="3">'Table 2C SolarFixed'!$1:$4</definedName>
    <definedName name="_xlnm.Print_Titles" localSheetId="4">'Table 2D SolarTracking'!$1:$4</definedName>
    <definedName name="RevenueSum">"GRID Thermal Revenue!R2C1:R4C2"</definedName>
    <definedName name="Solar_Fixed_integr_cost" localSheetId="17">'[3]Table 12'!$B$46</definedName>
    <definedName name="Solar_Fixed_integr_cost">'Table 12'!$B$46</definedName>
    <definedName name="Solar_Tracking_integr_cost" localSheetId="17">'[3]Table 12'!$B$45</definedName>
    <definedName name="Solar_Tracking_integr_cost">'Table 12'!$B$45</definedName>
    <definedName name="Study_Name" localSheetId="0">[4]ImportData!$D$7</definedName>
    <definedName name="Study_Name">[2]ImportData!$D$7</definedName>
  </definedNames>
  <calcPr calcId="152511"/>
</workbook>
</file>

<file path=xl/calcChain.xml><?xml version="1.0" encoding="utf-8"?>
<calcChain xmlns="http://schemas.openxmlformats.org/spreadsheetml/2006/main">
  <c r="W30" i="39" l="1"/>
  <c r="W29" i="39"/>
  <c r="W30" i="45"/>
  <c r="W29" i="45"/>
  <c r="W30" i="44"/>
  <c r="W29" i="44"/>
  <c r="M39" i="55" l="1"/>
  <c r="J39" i="55"/>
  <c r="G39" i="55"/>
  <c r="D39" i="55"/>
  <c r="B12" i="55" l="1"/>
  <c r="B13" i="55" s="1"/>
  <c r="N10" i="55"/>
  <c r="K10" i="55"/>
  <c r="H10" i="55"/>
  <c r="E10" i="55"/>
  <c r="B14" i="55" l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8" i="55" l="1"/>
  <c r="AT44" i="5"/>
  <c r="AS44" i="5"/>
  <c r="AT43" i="5"/>
  <c r="AS43" i="5"/>
  <c r="AY10" i="5"/>
  <c r="AX10" i="5"/>
  <c r="AZ10" i="5"/>
  <c r="AL44" i="5"/>
  <c r="AK44" i="5"/>
  <c r="AL43" i="5"/>
  <c r="AK43" i="5"/>
  <c r="AQ10" i="5"/>
  <c r="AP10" i="5"/>
  <c r="AI10" i="5"/>
  <c r="AC44" i="5"/>
  <c r="AD44" i="5"/>
  <c r="AD43" i="5"/>
  <c r="U45" i="5"/>
  <c r="AC45" i="5"/>
  <c r="AD45" i="5"/>
  <c r="A9" i="42" l="1"/>
  <c r="J81" i="17" l="1"/>
  <c r="I81" i="17"/>
  <c r="H81" i="17"/>
  <c r="L81" i="17"/>
  <c r="M81" i="17"/>
  <c r="K81" i="17"/>
  <c r="A82" i="17" l="1"/>
  <c r="D82" i="17" l="1"/>
  <c r="M82" i="17"/>
  <c r="H82" i="17"/>
  <c r="E82" i="17"/>
  <c r="L82" i="17"/>
  <c r="J82" i="17"/>
  <c r="I82" i="17"/>
  <c r="G82" i="17"/>
  <c r="C82" i="17"/>
  <c r="F82" i="17"/>
  <c r="K82" i="17"/>
  <c r="B82" i="17"/>
  <c r="A83" i="17"/>
  <c r="M83" i="17" l="1"/>
  <c r="I83" i="17"/>
  <c r="J83" i="17"/>
  <c r="F83" i="17"/>
  <c r="C83" i="17"/>
  <c r="G83" i="17"/>
  <c r="K83" i="17"/>
  <c r="D83" i="17"/>
  <c r="H83" i="17"/>
  <c r="L83" i="17"/>
  <c r="E83" i="17"/>
  <c r="B83" i="17"/>
  <c r="A84" i="17"/>
  <c r="M84" i="17" l="1"/>
  <c r="J84" i="17"/>
  <c r="C84" i="17"/>
  <c r="F84" i="17"/>
  <c r="L84" i="17"/>
  <c r="H84" i="17"/>
  <c r="D84" i="17"/>
  <c r="E84" i="17"/>
  <c r="I84" i="17"/>
  <c r="G84" i="17"/>
  <c r="K84" i="17"/>
  <c r="B84" i="17"/>
  <c r="A85" i="17"/>
  <c r="J85" i="17" l="1"/>
  <c r="G85" i="17"/>
  <c r="H85" i="17"/>
  <c r="L85" i="17"/>
  <c r="I85" i="17"/>
  <c r="E85" i="17"/>
  <c r="D85" i="17"/>
  <c r="C85" i="17"/>
  <c r="M85" i="17"/>
  <c r="F85" i="17"/>
  <c r="K85" i="17"/>
  <c r="B85" i="17"/>
  <c r="A86" i="17"/>
  <c r="H86" i="17" l="1"/>
  <c r="D86" i="17"/>
  <c r="F86" i="17"/>
  <c r="I86" i="17"/>
  <c r="L86" i="17"/>
  <c r="G86" i="17"/>
  <c r="K86" i="17"/>
  <c r="M86" i="17"/>
  <c r="E86" i="17"/>
  <c r="C86" i="17"/>
  <c r="J86" i="17"/>
  <c r="B86" i="17"/>
  <c r="A87" i="17"/>
  <c r="AT42" i="5"/>
  <c r="F87" i="17" l="1"/>
  <c r="H87" i="17"/>
  <c r="L87" i="17"/>
  <c r="M87" i="17"/>
  <c r="J87" i="17"/>
  <c r="G87" i="17"/>
  <c r="D87" i="17"/>
  <c r="C87" i="17"/>
  <c r="E87" i="17"/>
  <c r="I87" i="17"/>
  <c r="K87" i="17"/>
  <c r="B87" i="17"/>
  <c r="A88" i="17"/>
  <c r="F88" i="17" l="1"/>
  <c r="E88" i="17"/>
  <c r="J88" i="17"/>
  <c r="K88" i="17"/>
  <c r="G88" i="17"/>
  <c r="C88" i="17"/>
  <c r="L88" i="17"/>
  <c r="H88" i="17"/>
  <c r="D88" i="17"/>
  <c r="I88" i="17"/>
  <c r="M88" i="17"/>
  <c r="B88" i="17"/>
  <c r="A89" i="17"/>
  <c r="L89" i="17" l="1"/>
  <c r="J89" i="17"/>
  <c r="E89" i="17"/>
  <c r="C89" i="17"/>
  <c r="H89" i="17"/>
  <c r="I89" i="17"/>
  <c r="F89" i="17"/>
  <c r="K89" i="17"/>
  <c r="G89" i="17"/>
  <c r="D89" i="17"/>
  <c r="M89" i="17"/>
  <c r="B89" i="17"/>
  <c r="A90" i="17"/>
  <c r="O310" i="52"/>
  <c r="N310" i="52"/>
  <c r="B9" i="52"/>
  <c r="B10" i="52" s="1"/>
  <c r="S8" i="52"/>
  <c r="K8" i="52"/>
  <c r="F8" i="52"/>
  <c r="D8" i="52"/>
  <c r="K3" i="52"/>
  <c r="I8" i="52" l="1"/>
  <c r="J8" i="52"/>
  <c r="M90" i="17"/>
  <c r="F90" i="17"/>
  <c r="I90" i="17"/>
  <c r="E90" i="17"/>
  <c r="L90" i="17"/>
  <c r="J90" i="17"/>
  <c r="D90" i="17"/>
  <c r="C90" i="17"/>
  <c r="H90" i="17"/>
  <c r="K90" i="17"/>
  <c r="G90" i="17"/>
  <c r="B90" i="17"/>
  <c r="A91" i="17"/>
  <c r="D10" i="52"/>
  <c r="D9" i="52"/>
  <c r="F9" i="52"/>
  <c r="U8" i="52"/>
  <c r="K10" i="52"/>
  <c r="B11" i="52"/>
  <c r="K9" i="52"/>
  <c r="J10" i="52" l="1"/>
  <c r="I10" i="52"/>
  <c r="I9" i="52"/>
  <c r="J9" i="52"/>
  <c r="I91" i="17"/>
  <c r="E91" i="17"/>
  <c r="K91" i="17"/>
  <c r="H91" i="17"/>
  <c r="F91" i="17"/>
  <c r="J91" i="17"/>
  <c r="M91" i="17"/>
  <c r="G91" i="17"/>
  <c r="L91" i="17"/>
  <c r="C91" i="17"/>
  <c r="D91" i="17"/>
  <c r="B91" i="17"/>
  <c r="A92" i="17"/>
  <c r="R8" i="52"/>
  <c r="R9" i="52"/>
  <c r="S9" i="52"/>
  <c r="U9" i="52"/>
  <c r="K11" i="52"/>
  <c r="B12" i="52"/>
  <c r="D11" i="52"/>
  <c r="F10" i="52"/>
  <c r="R10" i="52"/>
  <c r="S10" i="52"/>
  <c r="I11" i="52" l="1"/>
  <c r="J11" i="52"/>
  <c r="J92" i="17"/>
  <c r="I92" i="17"/>
  <c r="H92" i="17"/>
  <c r="D92" i="17"/>
  <c r="G92" i="17"/>
  <c r="L92" i="17"/>
  <c r="C92" i="17"/>
  <c r="M92" i="17"/>
  <c r="F92" i="17"/>
  <c r="E92" i="17"/>
  <c r="K92" i="17"/>
  <c r="B92" i="17"/>
  <c r="A93" i="17"/>
  <c r="U10" i="52"/>
  <c r="D12" i="52"/>
  <c r="K12" i="52"/>
  <c r="B13" i="52"/>
  <c r="F11" i="52"/>
  <c r="S11" i="52"/>
  <c r="I12" i="52" l="1"/>
  <c r="J12" i="52"/>
  <c r="G93" i="17"/>
  <c r="I93" i="17"/>
  <c r="D93" i="17"/>
  <c r="J93" i="17"/>
  <c r="M93" i="17"/>
  <c r="E93" i="17"/>
  <c r="F93" i="17"/>
  <c r="L93" i="17"/>
  <c r="K93" i="17"/>
  <c r="H93" i="17"/>
  <c r="C93" i="17"/>
  <c r="B93" i="17"/>
  <c r="R11" i="52"/>
  <c r="F12" i="52"/>
  <c r="B14" i="52"/>
  <c r="D13" i="52"/>
  <c r="K13" i="52"/>
  <c r="S12" i="52"/>
  <c r="R12" i="52"/>
  <c r="U11" i="52"/>
  <c r="I13" i="52" l="1"/>
  <c r="J13" i="52"/>
  <c r="D14" i="52"/>
  <c r="B15" i="52"/>
  <c r="K14" i="52"/>
  <c r="R13" i="52"/>
  <c r="S13" i="52"/>
  <c r="F13" i="52"/>
  <c r="U12" i="52"/>
  <c r="J14" i="52" l="1"/>
  <c r="I14" i="52"/>
  <c r="F14" i="52"/>
  <c r="S14" i="52"/>
  <c r="U13" i="52"/>
  <c r="K15" i="52"/>
  <c r="B16" i="52"/>
  <c r="D15" i="52"/>
  <c r="I15" i="52" l="1"/>
  <c r="J15" i="52"/>
  <c r="R14" i="52"/>
  <c r="S15" i="52"/>
  <c r="R15" i="52"/>
  <c r="U14" i="52"/>
  <c r="F15" i="52"/>
  <c r="D16" i="52"/>
  <c r="K16" i="52"/>
  <c r="B17" i="52"/>
  <c r="I16" i="52" l="1"/>
  <c r="J16" i="52"/>
  <c r="B18" i="52"/>
  <c r="D17" i="52"/>
  <c r="K17" i="52"/>
  <c r="S16" i="52"/>
  <c r="U15" i="52"/>
  <c r="F16" i="52"/>
  <c r="I17" i="52" l="1"/>
  <c r="J17" i="52"/>
  <c r="R16" i="52"/>
  <c r="U16" i="52"/>
  <c r="D18" i="52"/>
  <c r="B19" i="52"/>
  <c r="K18" i="52"/>
  <c r="F17" i="52"/>
  <c r="R17" i="52"/>
  <c r="S17" i="52"/>
  <c r="J18" i="52" l="1"/>
  <c r="I18" i="52"/>
  <c r="K19" i="52"/>
  <c r="D19" i="52"/>
  <c r="B20" i="52"/>
  <c r="F18" i="52"/>
  <c r="R18" i="52"/>
  <c r="S18" i="52"/>
  <c r="U17" i="52"/>
  <c r="I19" i="52" l="1"/>
  <c r="J19" i="52"/>
  <c r="D20" i="52"/>
  <c r="K20" i="52"/>
  <c r="B21" i="52"/>
  <c r="F19" i="52"/>
  <c r="U18" i="52"/>
  <c r="S19" i="52"/>
  <c r="R19" i="52"/>
  <c r="I20" i="52" l="1"/>
  <c r="J20" i="52"/>
  <c r="B22" i="52"/>
  <c r="D21" i="52"/>
  <c r="K21" i="52"/>
  <c r="U19" i="52"/>
  <c r="S20" i="52"/>
  <c r="R20" i="52"/>
  <c r="F20" i="52"/>
  <c r="J21" i="52" l="1"/>
  <c r="I21" i="52"/>
  <c r="F21" i="52"/>
  <c r="U20" i="52"/>
  <c r="R21" i="52"/>
  <c r="S21" i="52"/>
  <c r="B23" i="52"/>
  <c r="K22" i="52"/>
  <c r="D22" i="52"/>
  <c r="J22" i="52" l="1"/>
  <c r="I22" i="52"/>
  <c r="K23" i="52"/>
  <c r="D23" i="52"/>
  <c r="B24" i="52"/>
  <c r="U21" i="52"/>
  <c r="R22" i="52"/>
  <c r="S22" i="52"/>
  <c r="F22" i="52"/>
  <c r="I23" i="52" l="1"/>
  <c r="J23" i="52"/>
  <c r="D24" i="52"/>
  <c r="K24" i="52"/>
  <c r="B25" i="52"/>
  <c r="U22" i="52"/>
  <c r="F23" i="52"/>
  <c r="S23" i="52"/>
  <c r="R23" i="52"/>
  <c r="I24" i="52" l="1"/>
  <c r="J24" i="52"/>
  <c r="B26" i="52"/>
  <c r="K25" i="52"/>
  <c r="D25" i="52"/>
  <c r="S24" i="52"/>
  <c r="R24" i="52"/>
  <c r="F24" i="52"/>
  <c r="U23" i="52"/>
  <c r="I25" i="52" l="1"/>
  <c r="J25" i="52"/>
  <c r="U24" i="52"/>
  <c r="R25" i="52"/>
  <c r="S25" i="52"/>
  <c r="F25" i="52"/>
  <c r="B27" i="52"/>
  <c r="K26" i="52"/>
  <c r="D26" i="52"/>
  <c r="J26" i="52" l="1"/>
  <c r="I26" i="52"/>
  <c r="K27" i="52"/>
  <c r="B28" i="52"/>
  <c r="D27" i="52"/>
  <c r="R26" i="52"/>
  <c r="S26" i="52"/>
  <c r="F26" i="52"/>
  <c r="U25" i="52"/>
  <c r="I27" i="52" l="1"/>
  <c r="J27" i="52"/>
  <c r="U26" i="52"/>
  <c r="F27" i="52"/>
  <c r="D28" i="52"/>
  <c r="B29" i="52"/>
  <c r="K28" i="52"/>
  <c r="S27" i="52"/>
  <c r="R27" i="52"/>
  <c r="I28" i="52" l="1"/>
  <c r="J28" i="52"/>
  <c r="K29" i="52"/>
  <c r="B30" i="52"/>
  <c r="D29" i="52"/>
  <c r="S28" i="52"/>
  <c r="R28" i="52"/>
  <c r="U27" i="52"/>
  <c r="F28" i="52"/>
  <c r="I29" i="52" l="1"/>
  <c r="J29" i="52"/>
  <c r="D30" i="52"/>
  <c r="B31" i="52"/>
  <c r="K30" i="52"/>
  <c r="F29" i="52"/>
  <c r="U28" i="52"/>
  <c r="S29" i="52"/>
  <c r="R29" i="52"/>
  <c r="J30" i="52" l="1"/>
  <c r="I30" i="52"/>
  <c r="U29" i="52"/>
  <c r="S30" i="52"/>
  <c r="R30" i="52"/>
  <c r="B32" i="52"/>
  <c r="K31" i="52"/>
  <c r="D31" i="52"/>
  <c r="F30" i="52"/>
  <c r="I31" i="52" l="1"/>
  <c r="J31" i="52"/>
  <c r="R31" i="52"/>
  <c r="S31" i="52"/>
  <c r="U30" i="52"/>
  <c r="F31" i="52"/>
  <c r="D32" i="52"/>
  <c r="K32" i="52"/>
  <c r="B33" i="52"/>
  <c r="I32" i="52" l="1"/>
  <c r="J32" i="52"/>
  <c r="K33" i="52"/>
  <c r="D33" i="52"/>
  <c r="B34" i="52"/>
  <c r="F32" i="52"/>
  <c r="S32" i="52"/>
  <c r="R32" i="52"/>
  <c r="U31" i="52"/>
  <c r="I33" i="52" l="1"/>
  <c r="J33" i="52"/>
  <c r="U32" i="52"/>
  <c r="R33" i="52"/>
  <c r="S33" i="52"/>
  <c r="K34" i="52"/>
  <c r="D34" i="52"/>
  <c r="B35" i="52"/>
  <c r="J34" i="52" l="1"/>
  <c r="I34" i="52"/>
  <c r="K35" i="52"/>
  <c r="D35" i="52"/>
  <c r="B36" i="52"/>
  <c r="R34" i="52"/>
  <c r="S34" i="52"/>
  <c r="I35" i="52" l="1"/>
  <c r="J35" i="52"/>
  <c r="R35" i="52"/>
  <c r="S35" i="52"/>
  <c r="K36" i="52"/>
  <c r="D36" i="52"/>
  <c r="B37" i="52"/>
  <c r="I36" i="52" l="1"/>
  <c r="J36" i="52"/>
  <c r="B38" i="52"/>
  <c r="K37" i="52"/>
  <c r="D37" i="52"/>
  <c r="R36" i="52"/>
  <c r="S36" i="52"/>
  <c r="J37" i="52" l="1"/>
  <c r="I37" i="52"/>
  <c r="R37" i="52"/>
  <c r="S37" i="52"/>
  <c r="B39" i="52"/>
  <c r="D38" i="52"/>
  <c r="K38" i="52"/>
  <c r="J38" i="52" l="1"/>
  <c r="I38" i="52"/>
  <c r="B40" i="52"/>
  <c r="D39" i="52"/>
  <c r="K39" i="52"/>
  <c r="R38" i="52"/>
  <c r="S38" i="52"/>
  <c r="I39" i="52" l="1"/>
  <c r="J39" i="52"/>
  <c r="B41" i="52"/>
  <c r="D40" i="52"/>
  <c r="K40" i="52"/>
  <c r="S39" i="52"/>
  <c r="R39" i="52"/>
  <c r="I40" i="52" l="1"/>
  <c r="J40" i="52"/>
  <c r="R40" i="52"/>
  <c r="S40" i="52"/>
  <c r="B42" i="52"/>
  <c r="D41" i="52"/>
  <c r="K41" i="52"/>
  <c r="I41" i="52" l="1"/>
  <c r="J41" i="52"/>
  <c r="S41" i="52"/>
  <c r="R41" i="52"/>
  <c r="B43" i="52"/>
  <c r="D42" i="52"/>
  <c r="K42" i="52"/>
  <c r="J42" i="52" l="1"/>
  <c r="I42" i="52"/>
  <c r="R42" i="52"/>
  <c r="S42" i="52"/>
  <c r="B44" i="52"/>
  <c r="D43" i="52"/>
  <c r="K43" i="52"/>
  <c r="I43" i="52" l="1"/>
  <c r="J43" i="52"/>
  <c r="R43" i="52"/>
  <c r="S43" i="52"/>
  <c r="B45" i="52"/>
  <c r="D44" i="52"/>
  <c r="K44" i="52"/>
  <c r="I44" i="52" l="1"/>
  <c r="J44" i="52"/>
  <c r="S44" i="52"/>
  <c r="R44" i="52"/>
  <c r="B46" i="52"/>
  <c r="D45" i="52"/>
  <c r="K45" i="52"/>
  <c r="I45" i="52" l="1"/>
  <c r="J45" i="52"/>
  <c r="R45" i="52"/>
  <c r="S45" i="52"/>
  <c r="B47" i="52"/>
  <c r="D46" i="52"/>
  <c r="K46" i="52"/>
  <c r="J46" i="52" l="1"/>
  <c r="I46" i="52"/>
  <c r="S46" i="52"/>
  <c r="R46" i="52"/>
  <c r="B48" i="52"/>
  <c r="D47" i="52"/>
  <c r="K47" i="52"/>
  <c r="I47" i="52" l="1"/>
  <c r="J47" i="52"/>
  <c r="R47" i="52"/>
  <c r="S47" i="52"/>
  <c r="B49" i="52"/>
  <c r="D48" i="52"/>
  <c r="K48" i="52"/>
  <c r="I48" i="52" l="1"/>
  <c r="J48" i="52"/>
  <c r="S48" i="52"/>
  <c r="R48" i="52"/>
  <c r="B50" i="52"/>
  <c r="D49" i="52"/>
  <c r="K49" i="52"/>
  <c r="I49" i="52" l="1"/>
  <c r="J49" i="52"/>
  <c r="R49" i="52"/>
  <c r="S49" i="52"/>
  <c r="B51" i="52"/>
  <c r="D50" i="52"/>
  <c r="K50" i="52"/>
  <c r="J50" i="52" l="1"/>
  <c r="I50" i="52"/>
  <c r="R50" i="52"/>
  <c r="S50" i="52"/>
  <c r="B52" i="52"/>
  <c r="D51" i="52"/>
  <c r="K51" i="52"/>
  <c r="I51" i="52" l="1"/>
  <c r="J51" i="52"/>
  <c r="S51" i="52"/>
  <c r="R51" i="52"/>
  <c r="B53" i="52"/>
  <c r="D52" i="52"/>
  <c r="K52" i="52"/>
  <c r="I52" i="52" l="1"/>
  <c r="J52" i="52"/>
  <c r="R52" i="52"/>
  <c r="S52" i="52"/>
  <c r="B54" i="52"/>
  <c r="K53" i="52"/>
  <c r="D53" i="52"/>
  <c r="J53" i="52" l="1"/>
  <c r="I53" i="52"/>
  <c r="S53" i="52"/>
  <c r="R53" i="52"/>
  <c r="B55" i="52"/>
  <c r="K54" i="52"/>
  <c r="D54" i="52"/>
  <c r="J54" i="52" l="1"/>
  <c r="I54" i="52"/>
  <c r="R54" i="52"/>
  <c r="S54" i="52"/>
  <c r="B56" i="52"/>
  <c r="K55" i="52"/>
  <c r="D55" i="52"/>
  <c r="I55" i="52" l="1"/>
  <c r="J55" i="52"/>
  <c r="S55" i="52"/>
  <c r="R55" i="52"/>
  <c r="B57" i="52"/>
  <c r="K56" i="52"/>
  <c r="D56" i="52"/>
  <c r="I56" i="52" l="1"/>
  <c r="J56" i="52"/>
  <c r="S56" i="52"/>
  <c r="R56" i="52"/>
  <c r="B58" i="52"/>
  <c r="K57" i="52"/>
  <c r="D57" i="52"/>
  <c r="I57" i="52" l="1"/>
  <c r="J57" i="52"/>
  <c r="S57" i="52"/>
  <c r="R57" i="52"/>
  <c r="B59" i="52"/>
  <c r="K58" i="52"/>
  <c r="D58" i="52"/>
  <c r="J58" i="52" l="1"/>
  <c r="I58" i="52"/>
  <c r="R58" i="52"/>
  <c r="S58" i="52"/>
  <c r="B60" i="52"/>
  <c r="K59" i="52"/>
  <c r="D59" i="52"/>
  <c r="I59" i="52" l="1"/>
  <c r="J59" i="52"/>
  <c r="S59" i="52"/>
  <c r="R59" i="52"/>
  <c r="B61" i="52"/>
  <c r="K60" i="52"/>
  <c r="D60" i="52"/>
  <c r="I60" i="52" l="1"/>
  <c r="J60" i="52"/>
  <c r="R60" i="52"/>
  <c r="S60" i="52"/>
  <c r="B62" i="52"/>
  <c r="K61" i="52"/>
  <c r="D61" i="52"/>
  <c r="I61" i="52" l="1"/>
  <c r="J61" i="52"/>
  <c r="S61" i="52"/>
  <c r="R61" i="52"/>
  <c r="B63" i="52"/>
  <c r="K62" i="52"/>
  <c r="D62" i="52"/>
  <c r="J62" i="52" l="1"/>
  <c r="I62" i="52"/>
  <c r="R62" i="52"/>
  <c r="S62" i="52"/>
  <c r="B64" i="52"/>
  <c r="K63" i="52"/>
  <c r="D63" i="52"/>
  <c r="I63" i="52" l="1"/>
  <c r="J63" i="52"/>
  <c r="S63" i="52"/>
  <c r="R63" i="52"/>
  <c r="B65" i="52"/>
  <c r="K64" i="52"/>
  <c r="D64" i="52"/>
  <c r="I64" i="52" l="1"/>
  <c r="J64" i="52"/>
  <c r="R64" i="52"/>
  <c r="S64" i="52"/>
  <c r="B66" i="52"/>
  <c r="K65" i="52"/>
  <c r="D65" i="52"/>
  <c r="I65" i="52" l="1"/>
  <c r="J65" i="52"/>
  <c r="S65" i="52"/>
  <c r="R65" i="52"/>
  <c r="B67" i="52"/>
  <c r="K66" i="52"/>
  <c r="D66" i="52"/>
  <c r="J66" i="52" l="1"/>
  <c r="I66" i="52"/>
  <c r="R66" i="52"/>
  <c r="S66" i="52"/>
  <c r="B68" i="52"/>
  <c r="K67" i="52"/>
  <c r="D67" i="52"/>
  <c r="I67" i="52" l="1"/>
  <c r="J67" i="52"/>
  <c r="S67" i="52"/>
  <c r="R67" i="52"/>
  <c r="B69" i="52"/>
  <c r="K68" i="52"/>
  <c r="D68" i="52"/>
  <c r="J68" i="52" l="1"/>
  <c r="I68" i="52"/>
  <c r="R68" i="52"/>
  <c r="S68" i="52"/>
  <c r="B70" i="52"/>
  <c r="K69" i="52"/>
  <c r="D69" i="52"/>
  <c r="I69" i="52" l="1"/>
  <c r="J69" i="52"/>
  <c r="S69" i="52"/>
  <c r="R69" i="52"/>
  <c r="B71" i="52"/>
  <c r="K70" i="52"/>
  <c r="D70" i="52"/>
  <c r="J70" i="52" l="1"/>
  <c r="I70" i="52"/>
  <c r="R70" i="52"/>
  <c r="S70" i="52"/>
  <c r="B72" i="52"/>
  <c r="K71" i="52"/>
  <c r="D71" i="52"/>
  <c r="I71" i="52" l="1"/>
  <c r="J71" i="52"/>
  <c r="S71" i="52"/>
  <c r="R71" i="52"/>
  <c r="B73" i="52"/>
  <c r="K72" i="52"/>
  <c r="D72" i="52"/>
  <c r="J72" i="52" l="1"/>
  <c r="I72" i="52"/>
  <c r="S72" i="52"/>
  <c r="R72" i="52"/>
  <c r="B74" i="52"/>
  <c r="K73" i="52"/>
  <c r="D73" i="52"/>
  <c r="I73" i="52" l="1"/>
  <c r="J73" i="52"/>
  <c r="S73" i="52"/>
  <c r="R73" i="52"/>
  <c r="B75" i="52"/>
  <c r="K74" i="52"/>
  <c r="D74" i="52"/>
  <c r="J74" i="52" l="1"/>
  <c r="I74" i="52"/>
  <c r="R74" i="52"/>
  <c r="S74" i="52"/>
  <c r="B76" i="52"/>
  <c r="K75" i="52"/>
  <c r="D75" i="52"/>
  <c r="I75" i="52" l="1"/>
  <c r="J75" i="52"/>
  <c r="S75" i="52"/>
  <c r="R75" i="52"/>
  <c r="B77" i="52"/>
  <c r="K76" i="52"/>
  <c r="D76" i="52"/>
  <c r="I76" i="52" l="1"/>
  <c r="J76" i="52"/>
  <c r="R76" i="52"/>
  <c r="S76" i="52"/>
  <c r="B78" i="52"/>
  <c r="K77" i="52"/>
  <c r="D77" i="52"/>
  <c r="J77" i="52" l="1"/>
  <c r="I77" i="52"/>
  <c r="S77" i="52"/>
  <c r="R77" i="52"/>
  <c r="B79" i="52"/>
  <c r="K78" i="52"/>
  <c r="D78" i="52"/>
  <c r="J78" i="52" l="1"/>
  <c r="I78" i="52"/>
  <c r="R78" i="52"/>
  <c r="S78" i="52"/>
  <c r="B80" i="52"/>
  <c r="K79" i="52"/>
  <c r="D79" i="52"/>
  <c r="I79" i="52" l="1"/>
  <c r="J79" i="52"/>
  <c r="S79" i="52"/>
  <c r="R79" i="52"/>
  <c r="B81" i="52"/>
  <c r="K80" i="52"/>
  <c r="D80" i="52"/>
  <c r="I80" i="52" l="1"/>
  <c r="J80" i="52"/>
  <c r="S80" i="52"/>
  <c r="R80" i="52"/>
  <c r="B82" i="52"/>
  <c r="K81" i="52"/>
  <c r="D81" i="52"/>
  <c r="I81" i="52" l="1"/>
  <c r="J81" i="52"/>
  <c r="S81" i="52"/>
  <c r="R81" i="52"/>
  <c r="B83" i="52"/>
  <c r="K82" i="52"/>
  <c r="D82" i="52"/>
  <c r="J82" i="52" l="1"/>
  <c r="I82" i="52"/>
  <c r="R82" i="52"/>
  <c r="S82" i="52"/>
  <c r="B84" i="52"/>
  <c r="K83" i="52"/>
  <c r="D83" i="52"/>
  <c r="I83" i="52" l="1"/>
  <c r="J83" i="52"/>
  <c r="S83" i="52"/>
  <c r="R83" i="52"/>
  <c r="B85" i="52"/>
  <c r="K84" i="52"/>
  <c r="D84" i="52"/>
  <c r="I84" i="52" l="1"/>
  <c r="J84" i="52"/>
  <c r="R84" i="52"/>
  <c r="S84" i="52"/>
  <c r="B86" i="52"/>
  <c r="K85" i="52"/>
  <c r="D85" i="52"/>
  <c r="J85" i="52" l="1"/>
  <c r="I85" i="52"/>
  <c r="S85" i="52"/>
  <c r="R85" i="52"/>
  <c r="B87" i="52"/>
  <c r="K86" i="52"/>
  <c r="D86" i="52"/>
  <c r="J86" i="52" l="1"/>
  <c r="I86" i="52"/>
  <c r="R86" i="52"/>
  <c r="S86" i="52"/>
  <c r="B88" i="52"/>
  <c r="K87" i="52"/>
  <c r="D87" i="52"/>
  <c r="I87" i="52" l="1"/>
  <c r="J87" i="52"/>
  <c r="S87" i="52"/>
  <c r="R87" i="52"/>
  <c r="B89" i="52"/>
  <c r="K88" i="52"/>
  <c r="D88" i="52"/>
  <c r="I88" i="52" l="1"/>
  <c r="J88" i="52"/>
  <c r="R88" i="52"/>
  <c r="S88" i="52"/>
  <c r="B90" i="52"/>
  <c r="K89" i="52"/>
  <c r="D89" i="52"/>
  <c r="I89" i="52" l="1"/>
  <c r="J89" i="52"/>
  <c r="S89" i="52"/>
  <c r="R89" i="52"/>
  <c r="B91" i="52"/>
  <c r="K90" i="52"/>
  <c r="D90" i="52"/>
  <c r="J90" i="52" l="1"/>
  <c r="I90" i="52"/>
  <c r="R90" i="52"/>
  <c r="S90" i="52"/>
  <c r="B92" i="52"/>
  <c r="K91" i="52"/>
  <c r="D91" i="52"/>
  <c r="I91" i="52" l="1"/>
  <c r="J91" i="52"/>
  <c r="S91" i="52"/>
  <c r="R91" i="52"/>
  <c r="B93" i="52"/>
  <c r="K92" i="52"/>
  <c r="D92" i="52"/>
  <c r="J92" i="52" l="1"/>
  <c r="I92" i="52"/>
  <c r="S92" i="52"/>
  <c r="R92" i="52"/>
  <c r="B94" i="52"/>
  <c r="K93" i="52"/>
  <c r="D93" i="52"/>
  <c r="J93" i="52" l="1"/>
  <c r="I93" i="52"/>
  <c r="S93" i="52"/>
  <c r="R93" i="52"/>
  <c r="B95" i="52"/>
  <c r="K94" i="52"/>
  <c r="D94" i="52"/>
  <c r="J94" i="52" l="1"/>
  <c r="I94" i="52"/>
  <c r="R94" i="52"/>
  <c r="S94" i="52"/>
  <c r="B96" i="52"/>
  <c r="K95" i="52"/>
  <c r="D95" i="52"/>
  <c r="I95" i="52" l="1"/>
  <c r="J95" i="52"/>
  <c r="S95" i="52"/>
  <c r="R95" i="52"/>
  <c r="B97" i="52"/>
  <c r="K96" i="52"/>
  <c r="D96" i="52"/>
  <c r="I96" i="52" l="1"/>
  <c r="J96" i="52"/>
  <c r="S96" i="52"/>
  <c r="R96" i="52"/>
  <c r="B98" i="52"/>
  <c r="K97" i="52"/>
  <c r="D97" i="52"/>
  <c r="I97" i="52" l="1"/>
  <c r="J97" i="52"/>
  <c r="S97" i="52"/>
  <c r="R97" i="52"/>
  <c r="B99" i="52"/>
  <c r="K98" i="52"/>
  <c r="D98" i="52"/>
  <c r="J98" i="52" l="1"/>
  <c r="I98" i="52"/>
  <c r="R98" i="52"/>
  <c r="S98" i="52"/>
  <c r="B100" i="52"/>
  <c r="K99" i="52"/>
  <c r="D99" i="52"/>
  <c r="I99" i="52" l="1"/>
  <c r="J99" i="52"/>
  <c r="S99" i="52"/>
  <c r="R99" i="52"/>
  <c r="B101" i="52"/>
  <c r="K100" i="52"/>
  <c r="D100" i="52"/>
  <c r="I100" i="52" l="1"/>
  <c r="J100" i="52"/>
  <c r="R100" i="52"/>
  <c r="S100" i="52"/>
  <c r="B102" i="52"/>
  <c r="K101" i="52"/>
  <c r="D101" i="52"/>
  <c r="I101" i="52" l="1"/>
  <c r="J101" i="52"/>
  <c r="S101" i="52"/>
  <c r="R101" i="52"/>
  <c r="B103" i="52"/>
  <c r="K102" i="52"/>
  <c r="D102" i="52"/>
  <c r="J102" i="52" l="1"/>
  <c r="I102" i="52"/>
  <c r="R102" i="52"/>
  <c r="S102" i="52"/>
  <c r="B104" i="52"/>
  <c r="K103" i="52"/>
  <c r="D103" i="52"/>
  <c r="I103" i="52" l="1"/>
  <c r="J103" i="52"/>
  <c r="R103" i="52"/>
  <c r="S103" i="52"/>
  <c r="B105" i="52"/>
  <c r="K104" i="52"/>
  <c r="D104" i="52"/>
  <c r="J104" i="52" l="1"/>
  <c r="I104" i="52"/>
  <c r="B106" i="52"/>
  <c r="K105" i="52"/>
  <c r="D105" i="52"/>
  <c r="R104" i="52"/>
  <c r="S104" i="52"/>
  <c r="I105" i="52" l="1"/>
  <c r="J105" i="52"/>
  <c r="R105" i="52"/>
  <c r="S105" i="52"/>
  <c r="B107" i="52"/>
  <c r="K106" i="52"/>
  <c r="D106" i="52"/>
  <c r="J106" i="52" l="1"/>
  <c r="I106" i="52"/>
  <c r="B108" i="52"/>
  <c r="K107" i="52"/>
  <c r="D107" i="52"/>
  <c r="R106" i="52"/>
  <c r="S106" i="52"/>
  <c r="I107" i="52" l="1"/>
  <c r="J107" i="52"/>
  <c r="R107" i="52"/>
  <c r="S107" i="52"/>
  <c r="B109" i="52"/>
  <c r="K108" i="52"/>
  <c r="D108" i="52"/>
  <c r="I108" i="52" l="1"/>
  <c r="J108" i="52"/>
  <c r="B110" i="52"/>
  <c r="K109" i="52"/>
  <c r="D109" i="52"/>
  <c r="R108" i="52"/>
  <c r="S108" i="52"/>
  <c r="I109" i="52" l="1"/>
  <c r="J109" i="52"/>
  <c r="R109" i="52"/>
  <c r="S109" i="52"/>
  <c r="B111" i="52"/>
  <c r="K110" i="52"/>
  <c r="D110" i="52"/>
  <c r="J110" i="52" l="1"/>
  <c r="I110" i="52"/>
  <c r="B112" i="52"/>
  <c r="K111" i="52"/>
  <c r="D111" i="52"/>
  <c r="R110" i="52"/>
  <c r="S110" i="52"/>
  <c r="I111" i="52" l="1"/>
  <c r="J111" i="52"/>
  <c r="R111" i="52"/>
  <c r="S111" i="52"/>
  <c r="B113" i="52"/>
  <c r="K112" i="52"/>
  <c r="D112" i="52"/>
  <c r="I112" i="52" l="1"/>
  <c r="J112" i="52"/>
  <c r="B114" i="52"/>
  <c r="K113" i="52"/>
  <c r="D113" i="52"/>
  <c r="R112" i="52"/>
  <c r="S112" i="52"/>
  <c r="I113" i="52" l="1"/>
  <c r="J113" i="52"/>
  <c r="R113" i="52"/>
  <c r="S113" i="52"/>
  <c r="B115" i="52"/>
  <c r="K114" i="52"/>
  <c r="D114" i="52"/>
  <c r="J114" i="52" l="1"/>
  <c r="I114" i="52"/>
  <c r="B116" i="52"/>
  <c r="K115" i="52"/>
  <c r="D115" i="52"/>
  <c r="R114" i="52"/>
  <c r="S114" i="52"/>
  <c r="I115" i="52" l="1"/>
  <c r="J115" i="52"/>
  <c r="R115" i="52"/>
  <c r="S115" i="52"/>
  <c r="B117" i="52"/>
  <c r="K116" i="52"/>
  <c r="D116" i="52"/>
  <c r="I116" i="52" l="1"/>
  <c r="J116" i="52"/>
  <c r="B118" i="52"/>
  <c r="K117" i="52"/>
  <c r="D117" i="52"/>
  <c r="R116" i="52"/>
  <c r="S116" i="52"/>
  <c r="J117" i="52" l="1"/>
  <c r="I117" i="52"/>
  <c r="R117" i="52"/>
  <c r="S117" i="52"/>
  <c r="B119" i="52"/>
  <c r="K118" i="52"/>
  <c r="D118" i="52"/>
  <c r="J118" i="52" l="1"/>
  <c r="I118" i="52"/>
  <c r="B120" i="52"/>
  <c r="K119" i="52"/>
  <c r="D119" i="52"/>
  <c r="R118" i="52"/>
  <c r="S118" i="52"/>
  <c r="I119" i="52" l="1"/>
  <c r="J119" i="52"/>
  <c r="R119" i="52"/>
  <c r="S119" i="52"/>
  <c r="B121" i="52"/>
  <c r="K120" i="52"/>
  <c r="D120" i="52"/>
  <c r="J120" i="52" l="1"/>
  <c r="I120" i="52"/>
  <c r="B122" i="52"/>
  <c r="K121" i="52"/>
  <c r="D121" i="52"/>
  <c r="R120" i="52"/>
  <c r="S120" i="52"/>
  <c r="I121" i="52" l="1"/>
  <c r="J121" i="52"/>
  <c r="R121" i="52"/>
  <c r="S121" i="52"/>
  <c r="B123" i="52"/>
  <c r="K122" i="52"/>
  <c r="D122" i="52"/>
  <c r="J122" i="52" l="1"/>
  <c r="I122" i="52"/>
  <c r="B124" i="52"/>
  <c r="K123" i="52"/>
  <c r="D123" i="52"/>
  <c r="R122" i="52"/>
  <c r="S122" i="52"/>
  <c r="I123" i="52" l="1"/>
  <c r="J123" i="52"/>
  <c r="R123" i="52"/>
  <c r="S123" i="52"/>
  <c r="B125" i="52"/>
  <c r="K124" i="52"/>
  <c r="D124" i="52"/>
  <c r="J124" i="52" l="1"/>
  <c r="I124" i="52"/>
  <c r="B126" i="52"/>
  <c r="K125" i="52"/>
  <c r="D125" i="52"/>
  <c r="R124" i="52"/>
  <c r="S124" i="52"/>
  <c r="J125" i="52" l="1"/>
  <c r="I125" i="52"/>
  <c r="R125" i="52"/>
  <c r="S125" i="52"/>
  <c r="B127" i="52"/>
  <c r="K126" i="52"/>
  <c r="D126" i="52"/>
  <c r="J126" i="52" l="1"/>
  <c r="I126" i="52"/>
  <c r="B128" i="52"/>
  <c r="K127" i="52"/>
  <c r="D127" i="52"/>
  <c r="R126" i="52"/>
  <c r="S126" i="52"/>
  <c r="I127" i="52" l="1"/>
  <c r="J127" i="52"/>
  <c r="R127" i="52"/>
  <c r="S127" i="52"/>
  <c r="B129" i="52"/>
  <c r="K128" i="52"/>
  <c r="D128" i="52"/>
  <c r="I128" i="52" l="1"/>
  <c r="J128" i="52"/>
  <c r="B130" i="52"/>
  <c r="K129" i="52"/>
  <c r="D129" i="52"/>
  <c r="R128" i="52"/>
  <c r="S128" i="52"/>
  <c r="J129" i="52" l="1"/>
  <c r="I129" i="52"/>
  <c r="R129" i="52"/>
  <c r="S129" i="52"/>
  <c r="B131" i="52"/>
  <c r="K130" i="52"/>
  <c r="D130" i="52"/>
  <c r="J130" i="52" l="1"/>
  <c r="I130" i="52"/>
  <c r="B132" i="52"/>
  <c r="K131" i="52"/>
  <c r="D131" i="52"/>
  <c r="R130" i="52"/>
  <c r="S130" i="52"/>
  <c r="I131" i="52" l="1"/>
  <c r="J131" i="52"/>
  <c r="R131" i="52"/>
  <c r="S131" i="52"/>
  <c r="B133" i="52"/>
  <c r="D132" i="52"/>
  <c r="K132" i="52"/>
  <c r="I132" i="52" l="1"/>
  <c r="J132" i="52"/>
  <c r="S132" i="52"/>
  <c r="R132" i="52"/>
  <c r="B134" i="52"/>
  <c r="K133" i="52"/>
  <c r="D133" i="52"/>
  <c r="I133" i="52" l="1"/>
  <c r="J133" i="52"/>
  <c r="R133" i="52"/>
  <c r="S133" i="52"/>
  <c r="B135" i="52"/>
  <c r="D134" i="52"/>
  <c r="K134" i="52"/>
  <c r="J134" i="52" l="1"/>
  <c r="I134" i="52"/>
  <c r="S134" i="52"/>
  <c r="R134" i="52"/>
  <c r="B136" i="52"/>
  <c r="K135" i="52"/>
  <c r="D135" i="52"/>
  <c r="I135" i="52" l="1"/>
  <c r="J135" i="52"/>
  <c r="R135" i="52"/>
  <c r="S135" i="52"/>
  <c r="B137" i="52"/>
  <c r="D136" i="52"/>
  <c r="K136" i="52"/>
  <c r="J136" i="52" l="1"/>
  <c r="I136" i="52"/>
  <c r="S136" i="52"/>
  <c r="R136" i="52"/>
  <c r="B138" i="52"/>
  <c r="K137" i="52"/>
  <c r="D137" i="52"/>
  <c r="I137" i="52" l="1"/>
  <c r="J137" i="52"/>
  <c r="R137" i="52"/>
  <c r="S137" i="52"/>
  <c r="B139" i="52"/>
  <c r="D138" i="52"/>
  <c r="K138" i="52"/>
  <c r="J138" i="52" l="1"/>
  <c r="I138" i="52"/>
  <c r="S138" i="52"/>
  <c r="R138" i="52"/>
  <c r="B140" i="52"/>
  <c r="K139" i="52"/>
  <c r="D139" i="52"/>
  <c r="I139" i="52" l="1"/>
  <c r="J139" i="52"/>
  <c r="R139" i="52"/>
  <c r="S139" i="52"/>
  <c r="B141" i="52"/>
  <c r="D140" i="52"/>
  <c r="K140" i="52"/>
  <c r="I140" i="52" l="1"/>
  <c r="J140" i="52"/>
  <c r="S140" i="52"/>
  <c r="R140" i="52"/>
  <c r="B142" i="52"/>
  <c r="K141" i="52"/>
  <c r="D141" i="52"/>
  <c r="J141" i="52" l="1"/>
  <c r="I141" i="52"/>
  <c r="R141" i="52"/>
  <c r="S141" i="52"/>
  <c r="B143" i="52"/>
  <c r="D142" i="52"/>
  <c r="K142" i="52"/>
  <c r="J142" i="52" l="1"/>
  <c r="I142" i="52"/>
  <c r="S142" i="52"/>
  <c r="R142" i="52"/>
  <c r="B144" i="52"/>
  <c r="K143" i="52"/>
  <c r="D143" i="52"/>
  <c r="I143" i="52" l="1"/>
  <c r="J143" i="52"/>
  <c r="R143" i="52"/>
  <c r="S143" i="52"/>
  <c r="B145" i="52"/>
  <c r="D144" i="52"/>
  <c r="K144" i="52"/>
  <c r="I144" i="52" l="1"/>
  <c r="J144" i="52"/>
  <c r="S144" i="52"/>
  <c r="R144" i="52"/>
  <c r="B146" i="52"/>
  <c r="K145" i="52"/>
  <c r="D145" i="52"/>
  <c r="J145" i="52" l="1"/>
  <c r="I145" i="52"/>
  <c r="R145" i="52"/>
  <c r="S145" i="52"/>
  <c r="B147" i="52"/>
  <c r="D146" i="52"/>
  <c r="K146" i="52"/>
  <c r="J146" i="52" l="1"/>
  <c r="I146" i="52"/>
  <c r="S146" i="52"/>
  <c r="R146" i="52"/>
  <c r="B148" i="52"/>
  <c r="K147" i="52"/>
  <c r="D147" i="52"/>
  <c r="I147" i="52" l="1"/>
  <c r="J147" i="52"/>
  <c r="R147" i="52"/>
  <c r="S147" i="52"/>
  <c r="B149" i="52"/>
  <c r="D148" i="52"/>
  <c r="K148" i="52"/>
  <c r="I148" i="52" l="1"/>
  <c r="J148" i="52"/>
  <c r="S148" i="52"/>
  <c r="R148" i="52"/>
  <c r="B150" i="52"/>
  <c r="K149" i="52"/>
  <c r="D149" i="52"/>
  <c r="J149" i="52" l="1"/>
  <c r="I149" i="52"/>
  <c r="R149" i="52"/>
  <c r="S149" i="52"/>
  <c r="B151" i="52"/>
  <c r="D150" i="52"/>
  <c r="K150" i="52"/>
  <c r="J150" i="52" l="1"/>
  <c r="I150" i="52"/>
  <c r="S150" i="52"/>
  <c r="R150" i="52"/>
  <c r="B152" i="52"/>
  <c r="K151" i="52"/>
  <c r="D151" i="52"/>
  <c r="I151" i="52" l="1"/>
  <c r="J151" i="52"/>
  <c r="R151" i="52"/>
  <c r="S151" i="52"/>
  <c r="B153" i="52"/>
  <c r="D152" i="52"/>
  <c r="K152" i="52"/>
  <c r="I152" i="52" l="1"/>
  <c r="J152" i="52"/>
  <c r="S152" i="52"/>
  <c r="R152" i="52"/>
  <c r="B154" i="52"/>
  <c r="K153" i="52"/>
  <c r="D153" i="52"/>
  <c r="I153" i="52" l="1"/>
  <c r="J153" i="52"/>
  <c r="R153" i="52"/>
  <c r="S153" i="52"/>
  <c r="B155" i="52"/>
  <c r="D154" i="52"/>
  <c r="K154" i="52"/>
  <c r="J154" i="52" l="1"/>
  <c r="I154" i="52"/>
  <c r="S154" i="52"/>
  <c r="R154" i="52"/>
  <c r="B156" i="52"/>
  <c r="K155" i="52"/>
  <c r="D155" i="52"/>
  <c r="I155" i="52" l="1"/>
  <c r="J155" i="52"/>
  <c r="R155" i="52"/>
  <c r="S155" i="52"/>
  <c r="B157" i="52"/>
  <c r="D156" i="52"/>
  <c r="K156" i="52"/>
  <c r="J156" i="52" l="1"/>
  <c r="I156" i="52"/>
  <c r="S156" i="52"/>
  <c r="R156" i="52"/>
  <c r="B158" i="52"/>
  <c r="K157" i="52"/>
  <c r="D157" i="52"/>
  <c r="I157" i="52" l="1"/>
  <c r="J157" i="52"/>
  <c r="R157" i="52"/>
  <c r="S157" i="52"/>
  <c r="B159" i="52"/>
  <c r="D158" i="52"/>
  <c r="K158" i="52"/>
  <c r="J158" i="52" l="1"/>
  <c r="I158" i="52"/>
  <c r="S158" i="52"/>
  <c r="R158" i="52"/>
  <c r="B160" i="52"/>
  <c r="K159" i="52"/>
  <c r="D159" i="52"/>
  <c r="I159" i="52" l="1"/>
  <c r="J159" i="52"/>
  <c r="R159" i="52"/>
  <c r="S159" i="52"/>
  <c r="B161" i="52"/>
  <c r="D160" i="52"/>
  <c r="K160" i="52"/>
  <c r="I160" i="52" l="1"/>
  <c r="J160" i="52"/>
  <c r="S160" i="52"/>
  <c r="R160" i="52"/>
  <c r="B162" i="52"/>
  <c r="K161" i="52"/>
  <c r="D161" i="52"/>
  <c r="I161" i="52" l="1"/>
  <c r="J161" i="52"/>
  <c r="R161" i="52"/>
  <c r="S161" i="52"/>
  <c r="B163" i="52"/>
  <c r="D162" i="52"/>
  <c r="K162" i="52"/>
  <c r="J162" i="52" l="1"/>
  <c r="I162" i="52"/>
  <c r="S162" i="52"/>
  <c r="R162" i="52"/>
  <c r="B164" i="52"/>
  <c r="K163" i="52"/>
  <c r="D163" i="52"/>
  <c r="I163" i="52" l="1"/>
  <c r="J163" i="52"/>
  <c r="R163" i="52"/>
  <c r="S163" i="52"/>
  <c r="B165" i="52"/>
  <c r="D164" i="52"/>
  <c r="K164" i="52"/>
  <c r="I164" i="52" l="1"/>
  <c r="J164" i="52"/>
  <c r="R164" i="52"/>
  <c r="S164" i="52"/>
  <c r="B166" i="52"/>
  <c r="D165" i="52"/>
  <c r="K165" i="52"/>
  <c r="I165" i="52" l="1"/>
  <c r="J165" i="52"/>
  <c r="S165" i="52"/>
  <c r="R165" i="52"/>
  <c r="B167" i="52"/>
  <c r="K166" i="52"/>
  <c r="D166" i="52"/>
  <c r="J166" i="52" l="1"/>
  <c r="I166" i="52"/>
  <c r="R166" i="52"/>
  <c r="S166" i="52"/>
  <c r="B168" i="52"/>
  <c r="D167" i="52"/>
  <c r="K167" i="52"/>
  <c r="I167" i="52" l="1"/>
  <c r="J167" i="52"/>
  <c r="S167" i="52"/>
  <c r="R167" i="52"/>
  <c r="B169" i="52"/>
  <c r="K168" i="52"/>
  <c r="D168" i="52"/>
  <c r="I168" i="52" l="1"/>
  <c r="J168" i="52"/>
  <c r="R168" i="52"/>
  <c r="S168" i="52"/>
  <c r="B170" i="52"/>
  <c r="D169" i="52"/>
  <c r="K169" i="52"/>
  <c r="I169" i="52" l="1"/>
  <c r="J169" i="52"/>
  <c r="S169" i="52"/>
  <c r="R169" i="52"/>
  <c r="B171" i="52"/>
  <c r="K170" i="52"/>
  <c r="D170" i="52"/>
  <c r="J170" i="52" l="1"/>
  <c r="I170" i="52"/>
  <c r="R170" i="52"/>
  <c r="S170" i="52"/>
  <c r="B172" i="52"/>
  <c r="D171" i="52"/>
  <c r="K171" i="52"/>
  <c r="I171" i="52" l="1"/>
  <c r="J171" i="52"/>
  <c r="S171" i="52"/>
  <c r="R171" i="52"/>
  <c r="B173" i="52"/>
  <c r="D172" i="52"/>
  <c r="K172" i="52"/>
  <c r="I172" i="52" l="1"/>
  <c r="J172" i="52"/>
  <c r="R172" i="52"/>
  <c r="S172" i="52"/>
  <c r="B174" i="52"/>
  <c r="D173" i="52"/>
  <c r="K173" i="52"/>
  <c r="I173" i="52" l="1"/>
  <c r="J173" i="52"/>
  <c r="S173" i="52"/>
  <c r="R173" i="52"/>
  <c r="B175" i="52"/>
  <c r="K174" i="52"/>
  <c r="D174" i="52"/>
  <c r="J174" i="52" l="1"/>
  <c r="I174" i="52"/>
  <c r="R174" i="52"/>
  <c r="S174" i="52"/>
  <c r="B176" i="52"/>
  <c r="D175" i="52"/>
  <c r="K175" i="52"/>
  <c r="I175" i="52" l="1"/>
  <c r="J175" i="52"/>
  <c r="S175" i="52"/>
  <c r="R175" i="52"/>
  <c r="B177" i="52"/>
  <c r="K176" i="52"/>
  <c r="D176" i="52"/>
  <c r="I176" i="52" l="1"/>
  <c r="J176" i="52"/>
  <c r="R176" i="52"/>
  <c r="S176" i="52"/>
  <c r="B178" i="52"/>
  <c r="D177" i="52"/>
  <c r="K177" i="52"/>
  <c r="I177" i="52" l="1"/>
  <c r="J177" i="52"/>
  <c r="S177" i="52"/>
  <c r="R177" i="52"/>
  <c r="B179" i="52"/>
  <c r="K178" i="52"/>
  <c r="D178" i="52"/>
  <c r="J178" i="52" l="1"/>
  <c r="I178" i="52"/>
  <c r="R178" i="52"/>
  <c r="S178" i="52"/>
  <c r="B180" i="52"/>
  <c r="D179" i="52"/>
  <c r="K179" i="52"/>
  <c r="I179" i="52" l="1"/>
  <c r="J179" i="52"/>
  <c r="S179" i="52"/>
  <c r="R179" i="52"/>
  <c r="B181" i="52"/>
  <c r="D180" i="52"/>
  <c r="K180" i="52"/>
  <c r="I180" i="52" l="1"/>
  <c r="J180" i="52"/>
  <c r="R180" i="52"/>
  <c r="S180" i="52"/>
  <c r="B182" i="52"/>
  <c r="D181" i="52"/>
  <c r="K181" i="52"/>
  <c r="J181" i="52" l="1"/>
  <c r="I181" i="52"/>
  <c r="S181" i="52"/>
  <c r="R181" i="52"/>
  <c r="B183" i="52"/>
  <c r="K182" i="52"/>
  <c r="D182" i="52"/>
  <c r="J182" i="52" l="1"/>
  <c r="I182" i="52"/>
  <c r="R182" i="52"/>
  <c r="S182" i="52"/>
  <c r="B184" i="52"/>
  <c r="D183" i="52"/>
  <c r="K183" i="52"/>
  <c r="I183" i="52" l="1"/>
  <c r="J183" i="52"/>
  <c r="S183" i="52"/>
  <c r="R183" i="52"/>
  <c r="B185" i="52"/>
  <c r="K184" i="52"/>
  <c r="D184" i="52"/>
  <c r="I184" i="52" l="1"/>
  <c r="J184" i="52"/>
  <c r="R184" i="52"/>
  <c r="S184" i="52"/>
  <c r="B186" i="52"/>
  <c r="K185" i="52"/>
  <c r="D185" i="52"/>
  <c r="I185" i="52" l="1"/>
  <c r="J185" i="52"/>
  <c r="S185" i="52"/>
  <c r="R185" i="52"/>
  <c r="B187" i="52"/>
  <c r="K186" i="52"/>
  <c r="D186" i="52"/>
  <c r="J186" i="52" l="1"/>
  <c r="I186" i="52"/>
  <c r="R186" i="52"/>
  <c r="S186" i="52"/>
  <c r="B188" i="52"/>
  <c r="K187" i="52"/>
  <c r="D187" i="52"/>
  <c r="I187" i="52" l="1"/>
  <c r="J187" i="52"/>
  <c r="S187" i="52"/>
  <c r="R187" i="52"/>
  <c r="B189" i="52"/>
  <c r="K188" i="52"/>
  <c r="D188" i="52"/>
  <c r="J188" i="52" l="1"/>
  <c r="I188" i="52"/>
  <c r="R188" i="52"/>
  <c r="S188" i="52"/>
  <c r="B190" i="52"/>
  <c r="K189" i="52"/>
  <c r="D189" i="52"/>
  <c r="I189" i="52" l="1"/>
  <c r="J189" i="52"/>
  <c r="S189" i="52"/>
  <c r="R189" i="52"/>
  <c r="B191" i="52"/>
  <c r="K190" i="52"/>
  <c r="D190" i="52"/>
  <c r="J190" i="52" l="1"/>
  <c r="I190" i="52"/>
  <c r="R190" i="52"/>
  <c r="S190" i="52"/>
  <c r="B192" i="52"/>
  <c r="K191" i="52"/>
  <c r="D191" i="52"/>
  <c r="I191" i="52" l="1"/>
  <c r="J191" i="52"/>
  <c r="S191" i="52"/>
  <c r="R191" i="52"/>
  <c r="B193" i="52"/>
  <c r="K192" i="52"/>
  <c r="D192" i="52"/>
  <c r="I192" i="52" l="1"/>
  <c r="J192" i="52"/>
  <c r="R192" i="52"/>
  <c r="S192" i="52"/>
  <c r="B194" i="52"/>
  <c r="K193" i="52"/>
  <c r="D193" i="52"/>
  <c r="I193" i="52" l="1"/>
  <c r="J193" i="52"/>
  <c r="S193" i="52"/>
  <c r="R193" i="52"/>
  <c r="B195" i="52"/>
  <c r="K194" i="52"/>
  <c r="D194" i="52"/>
  <c r="J194" i="52" l="1"/>
  <c r="I194" i="52"/>
  <c r="R194" i="52"/>
  <c r="S194" i="52"/>
  <c r="B196" i="52"/>
  <c r="K195" i="52"/>
  <c r="D195" i="52"/>
  <c r="I195" i="52" l="1"/>
  <c r="J195" i="52"/>
  <c r="S195" i="52"/>
  <c r="R195" i="52"/>
  <c r="B197" i="52"/>
  <c r="K196" i="52"/>
  <c r="D196" i="52"/>
  <c r="I196" i="52" l="1"/>
  <c r="J196" i="52"/>
  <c r="R196" i="52"/>
  <c r="S196" i="52"/>
  <c r="B198" i="52"/>
  <c r="K197" i="52"/>
  <c r="D197" i="52"/>
  <c r="I197" i="52" l="1"/>
  <c r="J197" i="52"/>
  <c r="S197" i="52"/>
  <c r="R197" i="52"/>
  <c r="B199" i="52"/>
  <c r="K198" i="52"/>
  <c r="D198" i="52"/>
  <c r="J198" i="52" l="1"/>
  <c r="I198" i="52"/>
  <c r="R198" i="52"/>
  <c r="S198" i="52"/>
  <c r="B200" i="52"/>
  <c r="K199" i="52"/>
  <c r="D199" i="52"/>
  <c r="I199" i="52" l="1"/>
  <c r="J199" i="52"/>
  <c r="S199" i="52"/>
  <c r="R199" i="52"/>
  <c r="B201" i="52"/>
  <c r="K200" i="52"/>
  <c r="D200" i="52"/>
  <c r="I200" i="52" l="1"/>
  <c r="J200" i="52"/>
  <c r="R200" i="52"/>
  <c r="S200" i="52"/>
  <c r="B202" i="52"/>
  <c r="K201" i="52"/>
  <c r="D201" i="52"/>
  <c r="I201" i="52" l="1"/>
  <c r="J201" i="52"/>
  <c r="S201" i="52"/>
  <c r="R201" i="52"/>
  <c r="B203" i="52"/>
  <c r="K202" i="52"/>
  <c r="D202" i="52"/>
  <c r="J202" i="52" l="1"/>
  <c r="I202" i="52"/>
  <c r="R202" i="52"/>
  <c r="S202" i="52"/>
  <c r="B204" i="52"/>
  <c r="K203" i="52"/>
  <c r="D203" i="52"/>
  <c r="I203" i="52" l="1"/>
  <c r="J203" i="52"/>
  <c r="R203" i="52"/>
  <c r="S203" i="52"/>
  <c r="B205" i="52"/>
  <c r="D204" i="52"/>
  <c r="K204" i="52"/>
  <c r="I204" i="52" l="1"/>
  <c r="J204" i="52"/>
  <c r="S204" i="52"/>
  <c r="R204" i="52"/>
  <c r="B206" i="52"/>
  <c r="D205" i="52"/>
  <c r="K205" i="52"/>
  <c r="J205" i="52" l="1"/>
  <c r="I205" i="52"/>
  <c r="R205" i="52"/>
  <c r="S205" i="52"/>
  <c r="B207" i="52"/>
  <c r="D206" i="52"/>
  <c r="K206" i="52"/>
  <c r="J206" i="52" l="1"/>
  <c r="I206" i="52"/>
  <c r="S206" i="52"/>
  <c r="R206" i="52"/>
  <c r="B208" i="52"/>
  <c r="K207" i="52"/>
  <c r="D207" i="52"/>
  <c r="I207" i="52" l="1"/>
  <c r="J207" i="52"/>
  <c r="R207" i="52"/>
  <c r="S207" i="52"/>
  <c r="B209" i="52"/>
  <c r="D208" i="52"/>
  <c r="K208" i="52"/>
  <c r="I208" i="52" l="1"/>
  <c r="J208" i="52"/>
  <c r="S208" i="52"/>
  <c r="R208" i="52"/>
  <c r="B210" i="52"/>
  <c r="K209" i="52"/>
  <c r="D209" i="52"/>
  <c r="J209" i="52" l="1"/>
  <c r="I209" i="52"/>
  <c r="R209" i="52"/>
  <c r="S209" i="52"/>
  <c r="B211" i="52"/>
  <c r="D210" i="52"/>
  <c r="K210" i="52"/>
  <c r="J210" i="52" l="1"/>
  <c r="I210" i="52"/>
  <c r="S210" i="52"/>
  <c r="R210" i="52"/>
  <c r="B212" i="52"/>
  <c r="K211" i="52"/>
  <c r="D211" i="52"/>
  <c r="I211" i="52" l="1"/>
  <c r="J211" i="52"/>
  <c r="R211" i="52"/>
  <c r="S211" i="52"/>
  <c r="B213" i="52"/>
  <c r="D212" i="52"/>
  <c r="K212" i="52"/>
  <c r="I212" i="52" l="1"/>
  <c r="J212" i="52"/>
  <c r="S212" i="52"/>
  <c r="R212" i="52"/>
  <c r="B214" i="52"/>
  <c r="D213" i="52"/>
  <c r="K213" i="52"/>
  <c r="J213" i="52" l="1"/>
  <c r="I213" i="52"/>
  <c r="R213" i="52"/>
  <c r="S213" i="52"/>
  <c r="B215" i="52"/>
  <c r="D214" i="52"/>
  <c r="K214" i="52"/>
  <c r="J214" i="52" l="1"/>
  <c r="I214" i="52"/>
  <c r="S214" i="52"/>
  <c r="R214" i="52"/>
  <c r="B216" i="52"/>
  <c r="K215" i="52"/>
  <c r="D215" i="52"/>
  <c r="I215" i="52" l="1"/>
  <c r="J215" i="52"/>
  <c r="R215" i="52"/>
  <c r="S215" i="52"/>
  <c r="B217" i="52"/>
  <c r="D216" i="52"/>
  <c r="K216" i="52"/>
  <c r="I216" i="52" l="1"/>
  <c r="J216" i="52"/>
  <c r="S216" i="52"/>
  <c r="R216" i="52"/>
  <c r="B218" i="52"/>
  <c r="K217" i="52"/>
  <c r="D217" i="52"/>
  <c r="I217" i="52" l="1"/>
  <c r="J217" i="52"/>
  <c r="R217" i="52"/>
  <c r="S217" i="52"/>
  <c r="B219" i="52"/>
  <c r="D218" i="52"/>
  <c r="K218" i="52"/>
  <c r="J218" i="52" l="1"/>
  <c r="I218" i="52"/>
  <c r="S218" i="52"/>
  <c r="R218" i="52"/>
  <c r="B220" i="52"/>
  <c r="K219" i="52"/>
  <c r="D219" i="52"/>
  <c r="I219" i="52" l="1"/>
  <c r="J219" i="52"/>
  <c r="R219" i="52"/>
  <c r="S219" i="52"/>
  <c r="B221" i="52"/>
  <c r="D220" i="52"/>
  <c r="K220" i="52"/>
  <c r="J220" i="52" l="1"/>
  <c r="I220" i="52"/>
  <c r="S220" i="52"/>
  <c r="R220" i="52"/>
  <c r="B222" i="52"/>
  <c r="D221" i="52"/>
  <c r="K221" i="52"/>
  <c r="I221" i="52" l="1"/>
  <c r="J221" i="52"/>
  <c r="R221" i="52"/>
  <c r="S221" i="52"/>
  <c r="B223" i="52"/>
  <c r="K222" i="52"/>
  <c r="D222" i="52"/>
  <c r="J222" i="52" l="1"/>
  <c r="I222" i="52"/>
  <c r="S222" i="52"/>
  <c r="R222" i="52"/>
  <c r="B224" i="52"/>
  <c r="D223" i="52"/>
  <c r="K223" i="52"/>
  <c r="I223" i="52" l="1"/>
  <c r="J223" i="52"/>
  <c r="S223" i="52"/>
  <c r="R223" i="52"/>
  <c r="B225" i="52"/>
  <c r="K224" i="52"/>
  <c r="D224" i="52"/>
  <c r="I224" i="52" l="1"/>
  <c r="J224" i="52"/>
  <c r="S224" i="52"/>
  <c r="R224" i="52"/>
  <c r="B226" i="52"/>
  <c r="K225" i="52"/>
  <c r="D225" i="52"/>
  <c r="J225" i="52" l="1"/>
  <c r="I225" i="52"/>
  <c r="S225" i="52"/>
  <c r="R225" i="52"/>
  <c r="B227" i="52"/>
  <c r="K226" i="52"/>
  <c r="D226" i="52"/>
  <c r="J226" i="52" l="1"/>
  <c r="I226" i="52"/>
  <c r="S226" i="52"/>
  <c r="R226" i="52"/>
  <c r="B228" i="52"/>
  <c r="K227" i="52"/>
  <c r="D227" i="52"/>
  <c r="I227" i="52" l="1"/>
  <c r="J227" i="52"/>
  <c r="R227" i="52"/>
  <c r="S227" i="52"/>
  <c r="B229" i="52"/>
  <c r="K228" i="52"/>
  <c r="D228" i="52"/>
  <c r="J228" i="52" l="1"/>
  <c r="I228" i="52"/>
  <c r="R228" i="52"/>
  <c r="S228" i="52"/>
  <c r="B230" i="52"/>
  <c r="K229" i="52"/>
  <c r="D229" i="52"/>
  <c r="J229" i="52" l="1"/>
  <c r="I229" i="52"/>
  <c r="S229" i="52"/>
  <c r="R229" i="52"/>
  <c r="B231" i="52"/>
  <c r="K230" i="52"/>
  <c r="D230" i="52"/>
  <c r="J230" i="52" l="1"/>
  <c r="I230" i="52"/>
  <c r="R230" i="52"/>
  <c r="S230" i="52"/>
  <c r="B232" i="52"/>
  <c r="D231" i="52"/>
  <c r="K231" i="52"/>
  <c r="I231" i="52" l="1"/>
  <c r="J231" i="52"/>
  <c r="R231" i="52"/>
  <c r="S231" i="52"/>
  <c r="B233" i="52"/>
  <c r="K232" i="52"/>
  <c r="D232" i="52"/>
  <c r="I232" i="52" l="1"/>
  <c r="J232" i="52"/>
  <c r="R232" i="52"/>
  <c r="S232" i="52"/>
  <c r="B234" i="52"/>
  <c r="K233" i="52"/>
  <c r="D233" i="52"/>
  <c r="I233" i="52" l="1"/>
  <c r="J233" i="52"/>
  <c r="S233" i="52"/>
  <c r="R233" i="52"/>
  <c r="B235" i="52"/>
  <c r="K234" i="52"/>
  <c r="D234" i="52"/>
  <c r="J234" i="52" l="1"/>
  <c r="I234" i="52"/>
  <c r="S234" i="52"/>
  <c r="R234" i="52"/>
  <c r="B236" i="52"/>
  <c r="D235" i="52"/>
  <c r="K235" i="52"/>
  <c r="I235" i="52" l="1"/>
  <c r="J235" i="52"/>
  <c r="R235" i="52"/>
  <c r="S235" i="52"/>
  <c r="B237" i="52"/>
  <c r="K236" i="52"/>
  <c r="D236" i="52"/>
  <c r="J236" i="52" l="1"/>
  <c r="I236" i="52"/>
  <c r="S236" i="52"/>
  <c r="R236" i="52"/>
  <c r="B238" i="52"/>
  <c r="K237" i="52"/>
  <c r="D237" i="52"/>
  <c r="J237" i="52" l="1"/>
  <c r="I237" i="52"/>
  <c r="S237" i="52"/>
  <c r="R237" i="52"/>
  <c r="B239" i="52"/>
  <c r="K238" i="52"/>
  <c r="D238" i="52"/>
  <c r="J238" i="52" l="1"/>
  <c r="I238" i="52"/>
  <c r="S238" i="52"/>
  <c r="R238" i="52"/>
  <c r="B240" i="52"/>
  <c r="D239" i="52"/>
  <c r="K239" i="52"/>
  <c r="I239" i="52" l="1"/>
  <c r="J239" i="52"/>
  <c r="R239" i="52"/>
  <c r="S239" i="52"/>
  <c r="B241" i="52"/>
  <c r="K240" i="52"/>
  <c r="D240" i="52"/>
  <c r="I240" i="52" l="1"/>
  <c r="J240" i="52"/>
  <c r="R240" i="52"/>
  <c r="S240" i="52"/>
  <c r="B242" i="52"/>
  <c r="K241" i="52"/>
  <c r="D241" i="52"/>
  <c r="I241" i="52" l="1"/>
  <c r="J241" i="52"/>
  <c r="S241" i="52"/>
  <c r="R241" i="52"/>
  <c r="B243" i="52"/>
  <c r="K242" i="52"/>
  <c r="D242" i="52"/>
  <c r="J242" i="52" l="1"/>
  <c r="I242" i="52"/>
  <c r="S242" i="52"/>
  <c r="R242" i="52"/>
  <c r="B244" i="52"/>
  <c r="D243" i="52"/>
  <c r="K243" i="52"/>
  <c r="I243" i="52" l="1"/>
  <c r="J243" i="52"/>
  <c r="R243" i="52"/>
  <c r="S243" i="52"/>
  <c r="B245" i="52"/>
  <c r="K244" i="52"/>
  <c r="D244" i="52"/>
  <c r="I244" i="52" l="1"/>
  <c r="J244" i="52"/>
  <c r="S244" i="52"/>
  <c r="R244" i="52"/>
  <c r="B246" i="52"/>
  <c r="K245" i="52"/>
  <c r="D245" i="52"/>
  <c r="J245" i="52" l="1"/>
  <c r="I245" i="52"/>
  <c r="S245" i="52"/>
  <c r="R245" i="52"/>
  <c r="B247" i="52"/>
  <c r="K246" i="52"/>
  <c r="D246" i="52"/>
  <c r="J246" i="52" l="1"/>
  <c r="I246" i="52"/>
  <c r="R246" i="52"/>
  <c r="S246" i="52"/>
  <c r="B248" i="52"/>
  <c r="D247" i="52"/>
  <c r="K247" i="52"/>
  <c r="I247" i="52" l="1"/>
  <c r="J247" i="52"/>
  <c r="R247" i="52"/>
  <c r="S247" i="52"/>
  <c r="B249" i="52"/>
  <c r="K248" i="52"/>
  <c r="D248" i="52"/>
  <c r="I248" i="52" l="1"/>
  <c r="J248" i="52"/>
  <c r="R248" i="52"/>
  <c r="S248" i="52"/>
  <c r="B250" i="52"/>
  <c r="K249" i="52"/>
  <c r="D249" i="52"/>
  <c r="I249" i="52" l="1"/>
  <c r="J249" i="52"/>
  <c r="S249" i="52"/>
  <c r="R249" i="52"/>
  <c r="B251" i="52"/>
  <c r="K250" i="52"/>
  <c r="D250" i="52"/>
  <c r="J250" i="52" l="1"/>
  <c r="I250" i="52"/>
  <c r="S250" i="52"/>
  <c r="R250" i="52"/>
  <c r="B252" i="52"/>
  <c r="D251" i="52"/>
  <c r="K251" i="52"/>
  <c r="I251" i="52" l="1"/>
  <c r="J251" i="52"/>
  <c r="R251" i="52"/>
  <c r="S251" i="52"/>
  <c r="B253" i="52"/>
  <c r="K252" i="52"/>
  <c r="D252" i="52"/>
  <c r="J252" i="52" l="1"/>
  <c r="I252" i="52"/>
  <c r="S252" i="52"/>
  <c r="R252" i="52"/>
  <c r="B254" i="52"/>
  <c r="K253" i="52"/>
  <c r="D253" i="52"/>
  <c r="J253" i="52" l="1"/>
  <c r="I253" i="52"/>
  <c r="S253" i="52"/>
  <c r="R253" i="52"/>
  <c r="B255" i="52"/>
  <c r="K254" i="52"/>
  <c r="D254" i="52"/>
  <c r="J254" i="52" l="1"/>
  <c r="I254" i="52"/>
  <c r="S254" i="52"/>
  <c r="R254" i="52"/>
  <c r="B256" i="52"/>
  <c r="D255" i="52"/>
  <c r="K255" i="52"/>
  <c r="I255" i="52" l="1"/>
  <c r="J255" i="52"/>
  <c r="R255" i="52"/>
  <c r="S255" i="52"/>
  <c r="B257" i="52"/>
  <c r="K256" i="52"/>
  <c r="D256" i="52"/>
  <c r="I256" i="52" l="1"/>
  <c r="J256" i="52"/>
  <c r="R256" i="52"/>
  <c r="S256" i="52"/>
  <c r="B258" i="52"/>
  <c r="K257" i="52"/>
  <c r="D257" i="52"/>
  <c r="I257" i="52" l="1"/>
  <c r="J257" i="52"/>
  <c r="S257" i="52"/>
  <c r="R257" i="52"/>
  <c r="B259" i="52"/>
  <c r="K258" i="52"/>
  <c r="D258" i="52"/>
  <c r="J258" i="52" l="1"/>
  <c r="I258" i="52"/>
  <c r="S258" i="52"/>
  <c r="R258" i="52"/>
  <c r="B260" i="52"/>
  <c r="D259" i="52"/>
  <c r="K259" i="52"/>
  <c r="I259" i="52" l="1"/>
  <c r="J259" i="52"/>
  <c r="R259" i="52"/>
  <c r="S259" i="52"/>
  <c r="B261" i="52"/>
  <c r="K260" i="52"/>
  <c r="D260" i="52"/>
  <c r="I260" i="52" l="1"/>
  <c r="J260" i="52"/>
  <c r="R260" i="52"/>
  <c r="S260" i="52"/>
  <c r="B262" i="52"/>
  <c r="K261" i="52"/>
  <c r="D261" i="52"/>
  <c r="J261" i="52" l="1"/>
  <c r="I261" i="52"/>
  <c r="B263" i="52"/>
  <c r="K262" i="52"/>
  <c r="D262" i="52"/>
  <c r="R261" i="52"/>
  <c r="S261" i="52"/>
  <c r="J262" i="52" l="1"/>
  <c r="I262" i="52"/>
  <c r="R262" i="52"/>
  <c r="S262" i="52"/>
  <c r="B264" i="52"/>
  <c r="K263" i="52"/>
  <c r="D263" i="52"/>
  <c r="I263" i="52" l="1"/>
  <c r="J263" i="52"/>
  <c r="B265" i="52"/>
  <c r="K264" i="52"/>
  <c r="D264" i="52"/>
  <c r="R263" i="52"/>
  <c r="S263" i="52"/>
  <c r="J264" i="52" l="1"/>
  <c r="I264" i="52"/>
  <c r="R264" i="52"/>
  <c r="S264" i="52"/>
  <c r="B266" i="52"/>
  <c r="K265" i="52"/>
  <c r="D265" i="52"/>
  <c r="I265" i="52" l="1"/>
  <c r="J265" i="52"/>
  <c r="B267" i="52"/>
  <c r="K266" i="52"/>
  <c r="D266" i="52"/>
  <c r="R265" i="52"/>
  <c r="S265" i="52"/>
  <c r="J266" i="52" l="1"/>
  <c r="I266" i="52"/>
  <c r="R266" i="52"/>
  <c r="S266" i="52"/>
  <c r="B268" i="52"/>
  <c r="K267" i="52"/>
  <c r="D267" i="52"/>
  <c r="I267" i="52" l="1"/>
  <c r="J267" i="52"/>
  <c r="S267" i="52"/>
  <c r="R267" i="52"/>
  <c r="B269" i="52"/>
  <c r="K268" i="52"/>
  <c r="D268" i="52"/>
  <c r="J268" i="52" l="1"/>
  <c r="I268" i="52"/>
  <c r="R268" i="52"/>
  <c r="S268" i="52"/>
  <c r="B270" i="52"/>
  <c r="K269" i="52"/>
  <c r="D269" i="52"/>
  <c r="I269" i="52" l="1"/>
  <c r="J269" i="52"/>
  <c r="R269" i="52"/>
  <c r="S269" i="52"/>
  <c r="B271" i="52"/>
  <c r="K270" i="52"/>
  <c r="D270" i="52"/>
  <c r="J270" i="52" l="1"/>
  <c r="I270" i="52"/>
  <c r="B272" i="52"/>
  <c r="K271" i="52"/>
  <c r="D271" i="52"/>
  <c r="R270" i="52"/>
  <c r="S270" i="52"/>
  <c r="I271" i="52" l="1"/>
  <c r="J271" i="52"/>
  <c r="R271" i="52"/>
  <c r="S271" i="52"/>
  <c r="B273" i="52"/>
  <c r="K272" i="52"/>
  <c r="D272" i="52"/>
  <c r="I272" i="52" l="1"/>
  <c r="J272" i="52"/>
  <c r="B274" i="52"/>
  <c r="K273" i="52"/>
  <c r="D273" i="52"/>
  <c r="R272" i="52"/>
  <c r="S272" i="52"/>
  <c r="I273" i="52" l="1"/>
  <c r="J273" i="52"/>
  <c r="R273" i="52"/>
  <c r="S273" i="52"/>
  <c r="B275" i="52"/>
  <c r="K274" i="52"/>
  <c r="D274" i="52"/>
  <c r="J274" i="52" l="1"/>
  <c r="I274" i="52"/>
  <c r="B276" i="52"/>
  <c r="K275" i="52"/>
  <c r="D275" i="52"/>
  <c r="R274" i="52"/>
  <c r="S274" i="52"/>
  <c r="I275" i="52" l="1"/>
  <c r="J275" i="52"/>
  <c r="R275" i="52"/>
  <c r="S275" i="52"/>
  <c r="B277" i="52"/>
  <c r="K276" i="52"/>
  <c r="D276" i="52"/>
  <c r="I276" i="52" l="1"/>
  <c r="J276" i="52"/>
  <c r="B278" i="52"/>
  <c r="K277" i="52"/>
  <c r="D277" i="52"/>
  <c r="R276" i="52"/>
  <c r="S276" i="52"/>
  <c r="J277" i="52" l="1"/>
  <c r="I277" i="52"/>
  <c r="R277" i="52"/>
  <c r="S277" i="52"/>
  <c r="B279" i="52"/>
  <c r="K278" i="52"/>
  <c r="D278" i="52"/>
  <c r="J278" i="52" l="1"/>
  <c r="I278" i="52"/>
  <c r="B280" i="52"/>
  <c r="K279" i="52"/>
  <c r="D279" i="52"/>
  <c r="R278" i="52"/>
  <c r="S278" i="52"/>
  <c r="I279" i="52" l="1"/>
  <c r="J279" i="52"/>
  <c r="R279" i="52"/>
  <c r="S279" i="52"/>
  <c r="B281" i="52"/>
  <c r="K280" i="52"/>
  <c r="D280" i="52"/>
  <c r="I280" i="52" l="1"/>
  <c r="J280" i="52"/>
  <c r="B282" i="52"/>
  <c r="K281" i="52"/>
  <c r="D281" i="52"/>
  <c r="R280" i="52"/>
  <c r="S280" i="52"/>
  <c r="I281" i="52" l="1"/>
  <c r="J281" i="52"/>
  <c r="R281" i="52"/>
  <c r="S281" i="52"/>
  <c r="B283" i="52"/>
  <c r="K282" i="52"/>
  <c r="D282" i="52"/>
  <c r="J282" i="52" l="1"/>
  <c r="I282" i="52"/>
  <c r="B284" i="52"/>
  <c r="K283" i="52"/>
  <c r="D283" i="52"/>
  <c r="R282" i="52"/>
  <c r="S282" i="52"/>
  <c r="I283" i="52" l="1"/>
  <c r="J283" i="52"/>
  <c r="R283" i="52"/>
  <c r="S283" i="52"/>
  <c r="B285" i="52"/>
  <c r="K284" i="52"/>
  <c r="D284" i="52"/>
  <c r="J284" i="52" l="1"/>
  <c r="I284" i="52"/>
  <c r="B286" i="52"/>
  <c r="K285" i="52"/>
  <c r="D285" i="52"/>
  <c r="R284" i="52"/>
  <c r="S284" i="52"/>
  <c r="I285" i="52" l="1"/>
  <c r="J285" i="52"/>
  <c r="R285" i="52"/>
  <c r="S285" i="52"/>
  <c r="B287" i="52"/>
  <c r="K286" i="52"/>
  <c r="D286" i="52"/>
  <c r="J286" i="52" l="1"/>
  <c r="I286" i="52"/>
  <c r="B288" i="52"/>
  <c r="K287" i="52"/>
  <c r="D287" i="52"/>
  <c r="R286" i="52"/>
  <c r="S286" i="52"/>
  <c r="I287" i="52" l="1"/>
  <c r="J287" i="52"/>
  <c r="R287" i="52"/>
  <c r="S287" i="52"/>
  <c r="B289" i="52"/>
  <c r="K288" i="52"/>
  <c r="D288" i="52"/>
  <c r="I288" i="52" l="1"/>
  <c r="J288" i="52"/>
  <c r="B290" i="52"/>
  <c r="K289" i="52"/>
  <c r="D289" i="52"/>
  <c r="R288" i="52"/>
  <c r="S288" i="52"/>
  <c r="J289" i="52" l="1"/>
  <c r="I289" i="52"/>
  <c r="R289" i="52"/>
  <c r="S289" i="52"/>
  <c r="B291" i="52"/>
  <c r="K290" i="52"/>
  <c r="D290" i="52"/>
  <c r="J290" i="52" l="1"/>
  <c r="I290" i="52"/>
  <c r="B292" i="52"/>
  <c r="K291" i="52"/>
  <c r="D291" i="52"/>
  <c r="R290" i="52"/>
  <c r="S290" i="52"/>
  <c r="I291" i="52" l="1"/>
  <c r="J291" i="52"/>
  <c r="R291" i="52"/>
  <c r="S291" i="52"/>
  <c r="B293" i="52"/>
  <c r="K292" i="52"/>
  <c r="D292" i="52"/>
  <c r="I292" i="52" l="1"/>
  <c r="J292" i="52"/>
  <c r="B294" i="52"/>
  <c r="K293" i="52"/>
  <c r="D293" i="52"/>
  <c r="R292" i="52"/>
  <c r="S292" i="52"/>
  <c r="J293" i="52" l="1"/>
  <c r="I293" i="52"/>
  <c r="R293" i="52"/>
  <c r="S293" i="52"/>
  <c r="B295" i="52"/>
  <c r="K294" i="52"/>
  <c r="D294" i="52"/>
  <c r="J294" i="52" l="1"/>
  <c r="I294" i="52"/>
  <c r="B296" i="52"/>
  <c r="K295" i="52"/>
  <c r="D295" i="52"/>
  <c r="R294" i="52"/>
  <c r="S294" i="52"/>
  <c r="I295" i="52" l="1"/>
  <c r="J295" i="52"/>
  <c r="R295" i="52"/>
  <c r="S295" i="52"/>
  <c r="B297" i="52"/>
  <c r="K296" i="52"/>
  <c r="D296" i="52"/>
  <c r="I296" i="52" l="1"/>
  <c r="J296" i="52"/>
  <c r="B298" i="52"/>
  <c r="K297" i="52"/>
  <c r="D297" i="52"/>
  <c r="R296" i="52"/>
  <c r="S296" i="52"/>
  <c r="I297" i="52" l="1"/>
  <c r="J297" i="52"/>
  <c r="R297" i="52"/>
  <c r="S297" i="52"/>
  <c r="B299" i="52"/>
  <c r="K298" i="52"/>
  <c r="D298" i="52"/>
  <c r="J298" i="52" l="1"/>
  <c r="I298" i="52"/>
  <c r="B300" i="52"/>
  <c r="K299" i="52"/>
  <c r="D299" i="52"/>
  <c r="R298" i="52"/>
  <c r="S298" i="52"/>
  <c r="I299" i="52" l="1"/>
  <c r="J299" i="52"/>
  <c r="R299" i="52"/>
  <c r="S299" i="52"/>
  <c r="B301" i="52"/>
  <c r="K300" i="52"/>
  <c r="D300" i="52"/>
  <c r="J300" i="52" l="1"/>
  <c r="I300" i="52"/>
  <c r="B302" i="52"/>
  <c r="K301" i="52"/>
  <c r="D301" i="52"/>
  <c r="R300" i="52"/>
  <c r="S300" i="52"/>
  <c r="I301" i="52" l="1"/>
  <c r="J301" i="52"/>
  <c r="R301" i="52"/>
  <c r="S301" i="52"/>
  <c r="B303" i="52"/>
  <c r="K302" i="52"/>
  <c r="D302" i="52"/>
  <c r="J302" i="52" l="1"/>
  <c r="I302" i="52"/>
  <c r="B304" i="52"/>
  <c r="K303" i="52"/>
  <c r="D303" i="52"/>
  <c r="R302" i="52"/>
  <c r="S302" i="52"/>
  <c r="I303" i="52" l="1"/>
  <c r="J303" i="52"/>
  <c r="R303" i="52"/>
  <c r="S303" i="52"/>
  <c r="B305" i="52"/>
  <c r="K304" i="52"/>
  <c r="D304" i="52"/>
  <c r="I304" i="52" l="1"/>
  <c r="J304" i="52"/>
  <c r="B306" i="52"/>
  <c r="K305" i="52"/>
  <c r="D305" i="52"/>
  <c r="R304" i="52"/>
  <c r="S304" i="52"/>
  <c r="I305" i="52" l="1"/>
  <c r="J305" i="52"/>
  <c r="R305" i="52"/>
  <c r="S305" i="52"/>
  <c r="B307" i="52"/>
  <c r="K306" i="52"/>
  <c r="D306" i="52"/>
  <c r="J306" i="52" l="1"/>
  <c r="I306" i="52"/>
  <c r="K307" i="52"/>
  <c r="D307" i="52"/>
  <c r="R306" i="52"/>
  <c r="S306" i="52"/>
  <c r="I307" i="52" l="1"/>
  <c r="J307" i="52"/>
  <c r="Y8" i="52"/>
  <c r="G8" i="52"/>
  <c r="G9" i="52"/>
  <c r="G10" i="52"/>
  <c r="Y9" i="52"/>
  <c r="G11" i="52"/>
  <c r="W9" i="52"/>
  <c r="W10" i="52"/>
  <c r="X9" i="52"/>
  <c r="V9" i="52"/>
  <c r="G12" i="52"/>
  <c r="X10" i="52"/>
  <c r="Y10" i="52"/>
  <c r="V10" i="52"/>
  <c r="V12" i="52"/>
  <c r="W11" i="52"/>
  <c r="X11" i="52"/>
  <c r="Y11" i="52"/>
  <c r="G13" i="52"/>
  <c r="V11" i="52"/>
  <c r="V13" i="52"/>
  <c r="Y12" i="52"/>
  <c r="X12" i="52"/>
  <c r="G14" i="52"/>
  <c r="X13" i="52"/>
  <c r="W12" i="52"/>
  <c r="W13" i="52"/>
  <c r="Y13" i="52"/>
  <c r="W14" i="52"/>
  <c r="W15" i="52"/>
  <c r="Y15" i="52"/>
  <c r="V15" i="52"/>
  <c r="G15" i="52"/>
  <c r="V14" i="52"/>
  <c r="Y14" i="52"/>
  <c r="X14" i="52"/>
  <c r="W17" i="52"/>
  <c r="G20" i="52"/>
  <c r="X16" i="52"/>
  <c r="G16" i="52"/>
  <c r="X15" i="52"/>
  <c r="Y17" i="52"/>
  <c r="V17" i="52"/>
  <c r="W16" i="52"/>
  <c r="Y18" i="52"/>
  <c r="G19" i="52"/>
  <c r="W19" i="52"/>
  <c r="X18" i="52"/>
  <c r="V18" i="52"/>
  <c r="G17" i="52"/>
  <c r="Y16" i="52"/>
  <c r="V16" i="52"/>
  <c r="X17" i="52"/>
  <c r="G18" i="52"/>
  <c r="W18" i="52"/>
  <c r="G21" i="52"/>
  <c r="Y19" i="52"/>
  <c r="Y23" i="52"/>
  <c r="X19" i="52"/>
  <c r="Y22" i="52"/>
  <c r="V19" i="52"/>
  <c r="V20" i="52"/>
  <c r="X22" i="52"/>
  <c r="X20" i="52"/>
  <c r="V21" i="52"/>
  <c r="G22" i="52"/>
  <c r="Y21" i="52"/>
  <c r="W22" i="52"/>
  <c r="Y20" i="52"/>
  <c r="W21" i="52"/>
  <c r="G23" i="52"/>
  <c r="X21" i="52"/>
  <c r="V22" i="52"/>
  <c r="W20" i="52"/>
  <c r="V23" i="52"/>
  <c r="W23" i="52"/>
  <c r="X23" i="52"/>
  <c r="G24" i="52"/>
  <c r="X24" i="52"/>
  <c r="V24" i="52"/>
  <c r="Y24" i="52"/>
  <c r="G25" i="52"/>
  <c r="X25" i="52"/>
  <c r="V25" i="52"/>
  <c r="W24" i="52"/>
  <c r="Y25" i="52"/>
  <c r="G29" i="52"/>
  <c r="G27" i="52"/>
  <c r="G26" i="52"/>
  <c r="V26" i="52"/>
  <c r="X28" i="52"/>
  <c r="W29" i="52"/>
  <c r="Y27" i="52"/>
  <c r="W25" i="52"/>
  <c r="X26" i="52"/>
  <c r="W26" i="52"/>
  <c r="X27" i="52"/>
  <c r="V27" i="52"/>
  <c r="W28" i="52"/>
  <c r="G28" i="52"/>
  <c r="Y26" i="52"/>
  <c r="V28" i="52"/>
  <c r="W27" i="52"/>
  <c r="Y29" i="52"/>
  <c r="G30" i="52"/>
  <c r="X29" i="52"/>
  <c r="Y28" i="52"/>
  <c r="Y31" i="52"/>
  <c r="X31" i="52"/>
  <c r="G31" i="52"/>
  <c r="G32" i="52"/>
  <c r="Y30" i="52"/>
  <c r="V30" i="52"/>
  <c r="W30" i="52"/>
  <c r="V29" i="52"/>
  <c r="V31" i="52"/>
  <c r="X30" i="52"/>
  <c r="W31" i="52"/>
  <c r="R307" i="52"/>
  <c r="AB26" i="52" l="1"/>
  <c r="AC8" i="52"/>
  <c r="AB8" i="52"/>
  <c r="AE26" i="52"/>
  <c r="AD8" i="52"/>
  <c r="AF26" i="52"/>
  <c r="AC26" i="52"/>
  <c r="AD26" i="52"/>
  <c r="AG26" i="52"/>
  <c r="AF8" i="52"/>
  <c r="AG8" i="52"/>
  <c r="AE8" i="52"/>
  <c r="AH26" i="52"/>
  <c r="AI26" i="52"/>
  <c r="AL26" i="52"/>
  <c r="AK26" i="52"/>
  <c r="AI8" i="52"/>
  <c r="AK8" i="52"/>
  <c r="AJ8" i="52"/>
  <c r="AH8" i="52"/>
  <c r="AJ26" i="52"/>
  <c r="AB9" i="52"/>
  <c r="AL8" i="52"/>
  <c r="AM8" i="52"/>
  <c r="AM26" i="52"/>
  <c r="AD9" i="52"/>
  <c r="AD27" i="52"/>
  <c r="AB27" i="52"/>
  <c r="AC9" i="52"/>
  <c r="AC27" i="52"/>
  <c r="AE9" i="52"/>
  <c r="AI9" i="52"/>
  <c r="AG9" i="52"/>
  <c r="AF27" i="52"/>
  <c r="AF9" i="52"/>
  <c r="AJ27" i="52"/>
  <c r="AG27" i="52"/>
  <c r="AH27" i="52"/>
  <c r="AH9" i="52"/>
  <c r="AI27" i="52"/>
  <c r="AL27" i="52"/>
  <c r="AJ9" i="52"/>
  <c r="AK9" i="52"/>
  <c r="AL9" i="52"/>
  <c r="AK27" i="52"/>
  <c r="AM9" i="52"/>
  <c r="AM27" i="52"/>
  <c r="AC10" i="52"/>
  <c r="AB10" i="52"/>
  <c r="AB28" i="52"/>
  <c r="AD28" i="52"/>
  <c r="AC28" i="52"/>
  <c r="AE28" i="52"/>
  <c r="AD10" i="52"/>
  <c r="AI28" i="52"/>
  <c r="AH10" i="52"/>
  <c r="AE10" i="52"/>
  <c r="AF28" i="52"/>
  <c r="AG10" i="52"/>
  <c r="AF10" i="52"/>
  <c r="AG28" i="52"/>
  <c r="AJ10" i="52"/>
  <c r="AI10" i="52"/>
  <c r="AH28" i="52"/>
  <c r="AB11" i="52"/>
  <c r="AL10" i="52"/>
  <c r="AK28" i="52"/>
  <c r="AJ28" i="52"/>
  <c r="AK10" i="52"/>
  <c r="AM28" i="52"/>
  <c r="AL28" i="52"/>
  <c r="AC11" i="52"/>
  <c r="AM10" i="52"/>
  <c r="AG29" i="52"/>
  <c r="AB29" i="52"/>
  <c r="AF29" i="52"/>
  <c r="AF11" i="52"/>
  <c r="AD11" i="52"/>
  <c r="AD29" i="52"/>
  <c r="AC29" i="52"/>
  <c r="AE11" i="52"/>
  <c r="AG11" i="52"/>
  <c r="AE29" i="52"/>
  <c r="AH29" i="52"/>
  <c r="AI29" i="52"/>
  <c r="AH11" i="52"/>
  <c r="AK29" i="52"/>
  <c r="AI11" i="52"/>
  <c r="AK11" i="52"/>
  <c r="AJ29" i="52"/>
  <c r="AJ11" i="52"/>
  <c r="AL29" i="52"/>
  <c r="AM29" i="52"/>
  <c r="AB12" i="52"/>
  <c r="AM11" i="52"/>
  <c r="AL11" i="52"/>
  <c r="AC30" i="52"/>
  <c r="AB30" i="52"/>
  <c r="AD12" i="52"/>
  <c r="AD30" i="52"/>
  <c r="AC12" i="52"/>
  <c r="AE12" i="52"/>
  <c r="AE30" i="52"/>
  <c r="AF12" i="52"/>
  <c r="AF30" i="52"/>
  <c r="AG12" i="52"/>
  <c r="AG30" i="52"/>
  <c r="AH12" i="52"/>
  <c r="AH30" i="52"/>
  <c r="AI12" i="52"/>
  <c r="AI30" i="52"/>
  <c r="AJ12" i="52"/>
  <c r="AK30" i="52"/>
  <c r="AJ30" i="52"/>
  <c r="AK12" i="52"/>
  <c r="AL12" i="52"/>
  <c r="AL30" i="52"/>
  <c r="AM12" i="52"/>
  <c r="AM30" i="52"/>
  <c r="AB13" i="52"/>
  <c r="AB31" i="52"/>
  <c r="AC31" i="52"/>
  <c r="AF31" i="52"/>
  <c r="AF13" i="52"/>
  <c r="AD31" i="52"/>
  <c r="AG13" i="52"/>
  <c r="AD13" i="52"/>
  <c r="AE31" i="52"/>
  <c r="AE13" i="52"/>
  <c r="AI13" i="52"/>
  <c r="AG31" i="52"/>
  <c r="AH13" i="52"/>
  <c r="AI31" i="52"/>
  <c r="AH31" i="52"/>
  <c r="AJ13" i="52"/>
  <c r="AJ31" i="52"/>
  <c r="AL31" i="52"/>
  <c r="AB14" i="52"/>
  <c r="AL13" i="52"/>
  <c r="AK13" i="52"/>
  <c r="AB32" i="52"/>
  <c r="AM13" i="52"/>
  <c r="AK31" i="52"/>
  <c r="AF14" i="52"/>
  <c r="AD32" i="52"/>
  <c r="AC14" i="52"/>
  <c r="AE32" i="52"/>
  <c r="AM31" i="52"/>
  <c r="AE14" i="52"/>
  <c r="AD14" i="52"/>
  <c r="AC32" i="52"/>
  <c r="AH32" i="52"/>
  <c r="AF32" i="52"/>
  <c r="AG14" i="52"/>
  <c r="AG32" i="52"/>
  <c r="AH14" i="52"/>
  <c r="AI32" i="52"/>
  <c r="AK32" i="52"/>
  <c r="AI14" i="52"/>
  <c r="AM32" i="52"/>
  <c r="AJ32" i="52"/>
  <c r="AK14" i="52"/>
  <c r="AJ14" i="52"/>
  <c r="AL32" i="52"/>
  <c r="AL14" i="52"/>
  <c r="AM14" i="52"/>
  <c r="AH15" i="52"/>
  <c r="AB15" i="52"/>
  <c r="AD33" i="52"/>
  <c r="AC15" i="52"/>
  <c r="AB33" i="52"/>
  <c r="AD15" i="52"/>
  <c r="AC33" i="52"/>
  <c r="AG15" i="52"/>
  <c r="AF33" i="52"/>
  <c r="AE33" i="52"/>
  <c r="AE15" i="52"/>
  <c r="AI15" i="52"/>
  <c r="AF15" i="52"/>
  <c r="AG33" i="52"/>
  <c r="AH33" i="52"/>
  <c r="AI33" i="52"/>
  <c r="AJ15" i="52"/>
  <c r="AK15" i="52"/>
  <c r="AJ33" i="52"/>
  <c r="AL15" i="52"/>
  <c r="AK33" i="52"/>
  <c r="AM33" i="52"/>
  <c r="AL33" i="52"/>
  <c r="AE34" i="52"/>
  <c r="AM15" i="52"/>
  <c r="AC16" i="52"/>
  <c r="AC34" i="52"/>
  <c r="AB34" i="52"/>
  <c r="AH16" i="52"/>
  <c r="AB16" i="52"/>
  <c r="AD16" i="52"/>
  <c r="AE16" i="52"/>
  <c r="AH34" i="52"/>
  <c r="AF16" i="52"/>
  <c r="AF34" i="52"/>
  <c r="AD34" i="52"/>
  <c r="AI34" i="52"/>
  <c r="AG34" i="52"/>
  <c r="AG16" i="52"/>
  <c r="AK16" i="52"/>
  <c r="AJ16" i="52"/>
  <c r="AI16" i="52"/>
  <c r="AJ34" i="52"/>
  <c r="AK34" i="52"/>
  <c r="AL16" i="52"/>
  <c r="AB35" i="52"/>
  <c r="AL34" i="52"/>
  <c r="AM16" i="52"/>
  <c r="AE17" i="52"/>
  <c r="AB17" i="52"/>
  <c r="AM34" i="52"/>
  <c r="AC35" i="52"/>
  <c r="AC17" i="52"/>
  <c r="AI35" i="52"/>
  <c r="AD35" i="52"/>
  <c r="AH35" i="52"/>
  <c r="AD17" i="52"/>
  <c r="AE35" i="52"/>
  <c r="AJ35" i="52"/>
  <c r="AF35" i="52"/>
  <c r="AF17" i="52"/>
  <c r="AG35" i="52"/>
  <c r="AG17" i="52"/>
  <c r="AJ17" i="52"/>
  <c r="AL35" i="52"/>
  <c r="AH17" i="52"/>
  <c r="AI17" i="52"/>
  <c r="AK35" i="52"/>
  <c r="AK17" i="52"/>
  <c r="AL17" i="52"/>
  <c r="AC36" i="52"/>
  <c r="AM35" i="52"/>
  <c r="AD18" i="52"/>
  <c r="AM17" i="52"/>
  <c r="AB36" i="52"/>
  <c r="AB18" i="52"/>
  <c r="AH18" i="52"/>
  <c r="AG36" i="52"/>
  <c r="AF36" i="52"/>
  <c r="AF18" i="52"/>
  <c r="AJ18" i="52"/>
  <c r="AI36" i="52"/>
  <c r="AH36" i="52"/>
  <c r="AG18" i="52"/>
  <c r="AI18" i="52"/>
  <c r="AK36" i="52"/>
  <c r="AK18" i="52"/>
  <c r="AL18" i="52"/>
  <c r="AJ36" i="52"/>
  <c r="AL36" i="52"/>
  <c r="AM18" i="52"/>
  <c r="AM36" i="52"/>
  <c r="AB37" i="52"/>
  <c r="AC37" i="52"/>
  <c r="AB19" i="52"/>
  <c r="AC19" i="52"/>
  <c r="AE37" i="52"/>
  <c r="AD37" i="52"/>
  <c r="AE19" i="52"/>
  <c r="AD19" i="52"/>
  <c r="AF37" i="52"/>
  <c r="AF19" i="52"/>
  <c r="AG37" i="52"/>
  <c r="AH37" i="52"/>
  <c r="AG19" i="52"/>
  <c r="AH19" i="52"/>
  <c r="AI37" i="52"/>
  <c r="AJ37" i="52"/>
  <c r="AI19" i="52"/>
  <c r="AJ19" i="52"/>
  <c r="AK19" i="52"/>
  <c r="AB38" i="52"/>
  <c r="AK37" i="52"/>
  <c r="AL19" i="52"/>
  <c r="AL37" i="52"/>
  <c r="AC20" i="52"/>
  <c r="AM19" i="52"/>
  <c r="AC38" i="52"/>
  <c r="AE38" i="52"/>
  <c r="AM37" i="52"/>
  <c r="AB20" i="52"/>
  <c r="AD38" i="52"/>
  <c r="AE20" i="52"/>
  <c r="AF38" i="52"/>
  <c r="AF20" i="52"/>
  <c r="AD20" i="52"/>
  <c r="AH38" i="52"/>
  <c r="AH20" i="52"/>
  <c r="AG20" i="52"/>
  <c r="AJ38" i="52"/>
  <c r="AJ20" i="52"/>
  <c r="AG38" i="52"/>
  <c r="AI20" i="52"/>
  <c r="AI38" i="52"/>
  <c r="AK38" i="52"/>
  <c r="AK20" i="52"/>
  <c r="AL20" i="52"/>
  <c r="AL38" i="52"/>
  <c r="AM38" i="52"/>
  <c r="AM20" i="52"/>
  <c r="AE27" i="52"/>
  <c r="AC13" i="52"/>
  <c r="AE18" i="52"/>
  <c r="AD36" i="52"/>
  <c r="AC18" i="52"/>
  <c r="AE36" i="52"/>
  <c r="S307" i="52"/>
  <c r="V8" i="52"/>
  <c r="W8" i="52"/>
  <c r="X8" i="52"/>
  <c r="X32" i="52"/>
  <c r="G37" i="52"/>
  <c r="V32" i="52"/>
  <c r="W32" i="52"/>
  <c r="Y32" i="52"/>
  <c r="Y37" i="52" s="1"/>
  <c r="X37" i="52" l="1"/>
  <c r="V37" i="52"/>
  <c r="W37" i="52"/>
  <c r="X9" i="45" l="1"/>
  <c r="Z9" i="45" s="1"/>
  <c r="Z8" i="45"/>
  <c r="X9" i="44"/>
  <c r="X10" i="44" s="1"/>
  <c r="Z8" i="44"/>
  <c r="X10" i="45" l="1"/>
  <c r="Z10" i="45" s="1"/>
  <c r="Z9" i="44"/>
  <c r="Z10" i="44"/>
  <c r="X11" i="44"/>
  <c r="X11" i="45" l="1"/>
  <c r="X12" i="45" s="1"/>
  <c r="X13" i="45"/>
  <c r="Z12" i="45"/>
  <c r="Z11" i="44"/>
  <c r="X12" i="44"/>
  <c r="Z11" i="45" l="1"/>
  <c r="Z13" i="45"/>
  <c r="X14" i="45"/>
  <c r="Z12" i="44"/>
  <c r="X13" i="44"/>
  <c r="Z14" i="45" l="1"/>
  <c r="X15" i="45"/>
  <c r="Z13" i="44"/>
  <c r="X14" i="44"/>
  <c r="Z15" i="45" l="1"/>
  <c r="X16" i="45"/>
  <c r="Z14" i="44"/>
  <c r="X15" i="44"/>
  <c r="Z16" i="45" l="1"/>
  <c r="X17" i="45"/>
  <c r="Z15" i="44"/>
  <c r="X16" i="44"/>
  <c r="Z17" i="45" l="1"/>
  <c r="X18" i="45"/>
  <c r="Z16" i="44"/>
  <c r="X17" i="44"/>
  <c r="Z18" i="45" l="1"/>
  <c r="X19" i="45"/>
  <c r="Z17" i="44"/>
  <c r="X18" i="44"/>
  <c r="Z19" i="45" l="1"/>
  <c r="X20" i="45"/>
  <c r="Z18" i="44"/>
  <c r="X19" i="44"/>
  <c r="X21" i="45" l="1"/>
  <c r="Z20" i="45"/>
  <c r="Z19" i="44"/>
  <c r="X20" i="44"/>
  <c r="Z21" i="45" l="1"/>
  <c r="X22" i="45"/>
  <c r="Z20" i="44"/>
  <c r="X21" i="44"/>
  <c r="Z22" i="45" l="1"/>
  <c r="X23" i="45"/>
  <c r="Z21" i="44"/>
  <c r="X22" i="44"/>
  <c r="Z23" i="45" l="1"/>
  <c r="X24" i="45"/>
  <c r="Z22" i="44"/>
  <c r="X23" i="44"/>
  <c r="Z24" i="45" l="1"/>
  <c r="X25" i="45"/>
  <c r="Z23" i="44"/>
  <c r="X24" i="44"/>
  <c r="Z25" i="45" l="1"/>
  <c r="X26" i="45"/>
  <c r="Z24" i="44"/>
  <c r="X25" i="44"/>
  <c r="Z26" i="45" l="1"/>
  <c r="X27" i="45"/>
  <c r="X26" i="44"/>
  <c r="Z25" i="44"/>
  <c r="Z27" i="45" l="1"/>
  <c r="X28" i="45"/>
  <c r="Z26" i="44"/>
  <c r="X27" i="44"/>
  <c r="X29" i="45" l="1"/>
  <c r="Z28" i="45"/>
  <c r="Z27" i="44"/>
  <c r="X28" i="44"/>
  <c r="Z29" i="45" l="1"/>
  <c r="X30" i="45"/>
  <c r="Z28" i="44"/>
  <c r="X29" i="44"/>
  <c r="X31" i="45" l="1"/>
  <c r="Z30" i="45"/>
  <c r="X30" i="44"/>
  <c r="Z29" i="44"/>
  <c r="Z31" i="45" l="1"/>
  <c r="X32" i="45"/>
  <c r="Z32" i="45" s="1"/>
  <c r="X31" i="44"/>
  <c r="Z30" i="44"/>
  <c r="Z31" i="44" l="1"/>
  <c r="X32" i="44"/>
  <c r="Z32" i="44" s="1"/>
  <c r="AK42" i="5" l="1"/>
  <c r="AL42" i="5"/>
  <c r="A9" i="41"/>
  <c r="A9" i="40"/>
  <c r="AL45" i="5" l="1"/>
  <c r="AT45" i="5"/>
  <c r="AH10" i="5" l="1"/>
  <c r="AT10" i="5"/>
  <c r="AL10" i="5"/>
  <c r="AS45" i="5" l="1"/>
  <c r="AK45" i="5"/>
  <c r="V42" i="5"/>
  <c r="AS13" i="5"/>
  <c r="AK13" i="5"/>
  <c r="AC43" i="5"/>
  <c r="AC42" i="5"/>
  <c r="AC13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3" i="5"/>
  <c r="AI34" i="44" l="1"/>
  <c r="AF34" i="44"/>
  <c r="AC34" i="44"/>
  <c r="Z36" i="44"/>
  <c r="Z34" i="44"/>
  <c r="AF34" i="45"/>
  <c r="AC34" i="45"/>
  <c r="AI34" i="45"/>
  <c r="Z36" i="45"/>
  <c r="Z34" i="45"/>
  <c r="AY6" i="5"/>
  <c r="AX6" i="5"/>
  <c r="AQ6" i="5"/>
  <c r="AP6" i="5"/>
  <c r="AI6" i="5"/>
  <c r="AH6" i="5"/>
  <c r="AA6" i="5"/>
  <c r="Z6" i="5"/>
  <c r="B9" i="43" l="1"/>
  <c r="A46" i="42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28" i="42"/>
  <c r="A10" i="42"/>
  <c r="A46" i="4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28" i="41"/>
  <c r="A10" i="41"/>
  <c r="A66" i="42" l="1"/>
  <c r="A66" i="41"/>
  <c r="B10" i="43"/>
  <c r="A29" i="41"/>
  <c r="A11" i="42"/>
  <c r="A29" i="42"/>
  <c r="A11" i="41"/>
  <c r="A46" i="40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28" i="40"/>
  <c r="A10" i="40"/>
  <c r="A30" i="41" l="1"/>
  <c r="A31" i="41" s="1"/>
  <c r="A29" i="40"/>
  <c r="A30" i="40" s="1"/>
  <c r="A12" i="42"/>
  <c r="A13" i="42" s="1"/>
  <c r="B11" i="43"/>
  <c r="A67" i="42"/>
  <c r="E9" i="43"/>
  <c r="A30" i="42"/>
  <c r="A67" i="41"/>
  <c r="A12" i="41"/>
  <c r="A11" i="40"/>
  <c r="A66" i="40"/>
  <c r="A14" i="42" l="1"/>
  <c r="A70" i="42" s="1"/>
  <c r="A68" i="42"/>
  <c r="E10" i="43"/>
  <c r="B12" i="43"/>
  <c r="B13" i="43" s="1"/>
  <c r="A69" i="42"/>
  <c r="A31" i="42"/>
  <c r="A15" i="42"/>
  <c r="A32" i="41"/>
  <c r="A68" i="41"/>
  <c r="A13" i="41"/>
  <c r="A31" i="40"/>
  <c r="A12" i="40"/>
  <c r="A67" i="40"/>
  <c r="E11" i="43" l="1"/>
  <c r="B14" i="43"/>
  <c r="A71" i="42"/>
  <c r="A16" i="42"/>
  <c r="A32" i="42"/>
  <c r="A69" i="41"/>
  <c r="A14" i="41"/>
  <c r="A33" i="41"/>
  <c r="A32" i="40"/>
  <c r="A68" i="40"/>
  <c r="A13" i="40"/>
  <c r="E12" i="43" l="1"/>
  <c r="E13" i="43"/>
  <c r="B15" i="43"/>
  <c r="A33" i="42"/>
  <c r="A72" i="42"/>
  <c r="A17" i="42"/>
  <c r="A34" i="41"/>
  <c r="A15" i="41"/>
  <c r="A70" i="41"/>
  <c r="A33" i="40"/>
  <c r="A69" i="40"/>
  <c r="A14" i="40"/>
  <c r="E14" i="43" l="1"/>
  <c r="B16" i="43"/>
  <c r="A73" i="42"/>
  <c r="A18" i="42"/>
  <c r="A34" i="42"/>
  <c r="A35" i="41"/>
  <c r="A71" i="41"/>
  <c r="A16" i="41"/>
  <c r="A34" i="40"/>
  <c r="A70" i="40"/>
  <c r="A15" i="40"/>
  <c r="E15" i="43" l="1"/>
  <c r="B17" i="43"/>
  <c r="A35" i="42"/>
  <c r="A74" i="42"/>
  <c r="A19" i="42"/>
  <c r="A72" i="41"/>
  <c r="A17" i="41"/>
  <c r="A36" i="41"/>
  <c r="A35" i="40"/>
  <c r="A71" i="40"/>
  <c r="A16" i="40"/>
  <c r="E16" i="43" l="1"/>
  <c r="B18" i="43"/>
  <c r="A20" i="42"/>
  <c r="A75" i="42"/>
  <c r="A36" i="42"/>
  <c r="A73" i="41"/>
  <c r="A18" i="41"/>
  <c r="A37" i="41"/>
  <c r="A36" i="40"/>
  <c r="A17" i="40"/>
  <c r="A72" i="40"/>
  <c r="E17" i="43" l="1"/>
  <c r="B19" i="43"/>
  <c r="A76" i="42"/>
  <c r="A21" i="42"/>
  <c r="A37" i="42"/>
  <c r="A38" i="41"/>
  <c r="A19" i="41"/>
  <c r="A74" i="41"/>
  <c r="A73" i="40"/>
  <c r="A18" i="40"/>
  <c r="A37" i="40"/>
  <c r="E18" i="43" l="1"/>
  <c r="B20" i="43"/>
  <c r="A38" i="42"/>
  <c r="A22" i="42"/>
  <c r="A77" i="42"/>
  <c r="A75" i="41"/>
  <c r="A20" i="41"/>
  <c r="A39" i="41"/>
  <c r="A38" i="40"/>
  <c r="A19" i="40"/>
  <c r="A74" i="40"/>
  <c r="E19" i="43" l="1"/>
  <c r="B21" i="43"/>
  <c r="A39" i="42"/>
  <c r="A78" i="42"/>
  <c r="A3" i="42"/>
  <c r="A40" i="41"/>
  <c r="A76" i="41"/>
  <c r="A21" i="41"/>
  <c r="A39" i="40"/>
  <c r="A75" i="40"/>
  <c r="A20" i="40"/>
  <c r="B22" i="43" l="1"/>
  <c r="B23" i="43" s="1"/>
  <c r="E20" i="43"/>
  <c r="A40" i="42"/>
  <c r="A77" i="41"/>
  <c r="A22" i="41"/>
  <c r="A76" i="40"/>
  <c r="A21" i="40"/>
  <c r="A40" i="40"/>
  <c r="E21" i="43" l="1"/>
  <c r="B24" i="43"/>
  <c r="A78" i="41"/>
  <c r="A3" i="41"/>
  <c r="A77" i="40"/>
  <c r="A22" i="40"/>
  <c r="E22" i="43" l="1"/>
  <c r="E23" i="43"/>
  <c r="B25" i="43"/>
  <c r="A78" i="40"/>
  <c r="A3" i="40"/>
  <c r="E24" i="43" l="1"/>
  <c r="B26" i="43"/>
  <c r="E25" i="43" l="1"/>
  <c r="B27" i="43"/>
  <c r="E26" i="43" l="1"/>
  <c r="B28" i="43"/>
  <c r="E27" i="43" l="1"/>
  <c r="B29" i="43"/>
  <c r="E28" i="43" l="1"/>
  <c r="B30" i="43"/>
  <c r="E29" i="43" l="1"/>
  <c r="B31" i="43"/>
  <c r="E30" i="43" l="1"/>
  <c r="B32" i="43"/>
  <c r="E31" i="43" l="1"/>
  <c r="B33" i="43"/>
  <c r="E32" i="43" l="1"/>
  <c r="E33" i="43" l="1"/>
  <c r="C49" i="28" l="1"/>
  <c r="C124" i="28"/>
  <c r="C121" i="28"/>
  <c r="S10" i="5" l="1"/>
  <c r="R10" i="5"/>
  <c r="Q10" i="5"/>
  <c r="Z10" i="5" l="1"/>
  <c r="AA10" i="5"/>
  <c r="C45" i="28" l="1"/>
  <c r="C46" i="28"/>
  <c r="C48" i="28"/>
  <c r="D49" i="28"/>
  <c r="D48" i="28"/>
  <c r="D47" i="28"/>
  <c r="D46" i="28"/>
  <c r="D123" i="28"/>
  <c r="C123" i="28"/>
  <c r="F108" i="28"/>
  <c r="F109" i="28"/>
  <c r="H108" i="28"/>
  <c r="H109" i="28"/>
  <c r="B10" i="29" l="1"/>
  <c r="B10" i="32"/>
  <c r="B7" i="34"/>
  <c r="K7" i="34" l="1"/>
  <c r="O7" i="34"/>
  <c r="N7" i="34"/>
  <c r="M7" i="34"/>
  <c r="C7" i="34"/>
  <c r="L7" i="34"/>
  <c r="P7" i="34"/>
  <c r="B24" i="34"/>
  <c r="B8" i="34"/>
  <c r="F8" i="34" l="1"/>
  <c r="E8" i="34"/>
  <c r="G8" i="34"/>
  <c r="H8" i="34"/>
  <c r="I8" i="34"/>
  <c r="J8" i="34"/>
  <c r="K8" i="34"/>
  <c r="L8" i="34"/>
  <c r="C8" i="34"/>
  <c r="M8" i="34"/>
  <c r="N8" i="34"/>
  <c r="O8" i="34"/>
  <c r="P8" i="34"/>
  <c r="B25" i="34"/>
  <c r="B9" i="34"/>
  <c r="E9" i="34" l="1"/>
  <c r="F9" i="34"/>
  <c r="G9" i="34"/>
  <c r="H9" i="34"/>
  <c r="I9" i="34"/>
  <c r="J9" i="34"/>
  <c r="K9" i="34"/>
  <c r="L9" i="34"/>
  <c r="C9" i="34"/>
  <c r="M9" i="34"/>
  <c r="N9" i="34"/>
  <c r="O9" i="34"/>
  <c r="P9" i="34"/>
  <c r="B26" i="34"/>
  <c r="B10" i="34"/>
  <c r="E10" i="34" l="1"/>
  <c r="F10" i="34"/>
  <c r="G10" i="34"/>
  <c r="H10" i="34"/>
  <c r="I10" i="34"/>
  <c r="J10" i="34"/>
  <c r="K10" i="34"/>
  <c r="L10" i="34"/>
  <c r="M10" i="34"/>
  <c r="C10" i="34"/>
  <c r="N10" i="34"/>
  <c r="O10" i="34"/>
  <c r="P10" i="34"/>
  <c r="B27" i="34"/>
  <c r="B11" i="34"/>
  <c r="E11" i="34" l="1"/>
  <c r="F11" i="34"/>
  <c r="G11" i="34"/>
  <c r="I11" i="34"/>
  <c r="H11" i="34"/>
  <c r="J11" i="34"/>
  <c r="K11" i="34"/>
  <c r="L11" i="34"/>
  <c r="M11" i="34"/>
  <c r="C11" i="34"/>
  <c r="O11" i="34"/>
  <c r="N11" i="34"/>
  <c r="P11" i="34"/>
  <c r="B28" i="34"/>
  <c r="B12" i="34"/>
  <c r="E12" i="34" l="1"/>
  <c r="F12" i="34"/>
  <c r="G12" i="34"/>
  <c r="H12" i="34"/>
  <c r="I12" i="34"/>
  <c r="J12" i="34"/>
  <c r="L12" i="34"/>
  <c r="K12" i="34"/>
  <c r="C12" i="34"/>
  <c r="M12" i="34"/>
  <c r="N12" i="34"/>
  <c r="O12" i="34"/>
  <c r="P12" i="34"/>
  <c r="B29" i="34"/>
  <c r="B13" i="34"/>
  <c r="E13" i="34" l="1"/>
  <c r="F13" i="34"/>
  <c r="G13" i="34"/>
  <c r="H13" i="34"/>
  <c r="I13" i="34"/>
  <c r="J13" i="34"/>
  <c r="K13" i="34"/>
  <c r="L13" i="34"/>
  <c r="C13" i="34"/>
  <c r="M13" i="34"/>
  <c r="N13" i="34"/>
  <c r="O13" i="34"/>
  <c r="P13" i="34"/>
  <c r="B30" i="34"/>
  <c r="B14" i="34"/>
  <c r="E14" i="34" l="1"/>
  <c r="F14" i="34"/>
  <c r="G14" i="34"/>
  <c r="H14" i="34"/>
  <c r="I14" i="34"/>
  <c r="J14" i="34"/>
  <c r="K14" i="34"/>
  <c r="L14" i="34"/>
  <c r="C14" i="34"/>
  <c r="M14" i="34"/>
  <c r="N14" i="34"/>
  <c r="O14" i="34"/>
  <c r="P14" i="34"/>
  <c r="B31" i="34"/>
  <c r="B15" i="34"/>
  <c r="E15" i="34" l="1"/>
  <c r="F15" i="34"/>
  <c r="G15" i="34"/>
  <c r="I15" i="34"/>
  <c r="H15" i="34"/>
  <c r="J15" i="34"/>
  <c r="K15" i="34"/>
  <c r="L15" i="34"/>
  <c r="C15" i="34"/>
  <c r="M15" i="34"/>
  <c r="N15" i="34"/>
  <c r="O15" i="34"/>
  <c r="P15" i="34"/>
  <c r="B32" i="34"/>
  <c r="B16" i="34"/>
  <c r="C16" i="34" l="1"/>
  <c r="E16" i="34"/>
  <c r="F16" i="34"/>
  <c r="G16" i="34"/>
  <c r="H16" i="34"/>
  <c r="I16" i="34"/>
  <c r="J16" i="34"/>
  <c r="L16" i="34"/>
  <c r="K16" i="34"/>
  <c r="M16" i="34"/>
  <c r="N16" i="34"/>
  <c r="O16" i="34"/>
  <c r="P16" i="34"/>
  <c r="B33" i="34"/>
  <c r="B17" i="34"/>
  <c r="N17" i="34" l="1"/>
  <c r="H17" i="34"/>
  <c r="C17" i="34"/>
  <c r="P17" i="34"/>
  <c r="L17" i="34"/>
  <c r="J17" i="34"/>
  <c r="O17" i="34"/>
  <c r="I17" i="34"/>
  <c r="M17" i="34"/>
  <c r="G17" i="34"/>
  <c r="F17" i="34"/>
  <c r="K17" i="34"/>
  <c r="E17" i="34"/>
  <c r="B18" i="34"/>
  <c r="B34" i="34"/>
  <c r="P18" i="34" l="1"/>
  <c r="L18" i="34"/>
  <c r="I18" i="34"/>
  <c r="E18" i="34"/>
  <c r="J18" i="34"/>
  <c r="O18" i="34"/>
  <c r="K18" i="34"/>
  <c r="H18" i="34"/>
  <c r="C18" i="34"/>
  <c r="N18" i="34"/>
  <c r="G18" i="34"/>
  <c r="M18" i="34"/>
  <c r="F18" i="34"/>
  <c r="B19" i="34"/>
  <c r="B35" i="34"/>
  <c r="N19" i="34" l="1"/>
  <c r="J19" i="34"/>
  <c r="F19" i="34"/>
  <c r="L19" i="34"/>
  <c r="C19" i="34"/>
  <c r="K19" i="34"/>
  <c r="M19" i="34"/>
  <c r="I19" i="34"/>
  <c r="E19" i="34"/>
  <c r="P19" i="34"/>
  <c r="H19" i="34"/>
  <c r="O19" i="34"/>
  <c r="G19" i="34"/>
  <c r="B20" i="34"/>
  <c r="B36" i="34"/>
  <c r="D126" i="28" l="1"/>
  <c r="A46" i="17" l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28" i="17"/>
  <c r="A10" i="17"/>
  <c r="L10" i="17" l="1"/>
  <c r="H10" i="17"/>
  <c r="I10" i="17"/>
  <c r="M10" i="17"/>
  <c r="K10" i="17"/>
  <c r="J10" i="17"/>
  <c r="H28" i="17"/>
  <c r="I28" i="17"/>
  <c r="J28" i="17"/>
  <c r="K28" i="17"/>
  <c r="L28" i="17"/>
  <c r="M28" i="17"/>
  <c r="A11" i="17"/>
  <c r="A29" i="17"/>
  <c r="M28" i="42" l="1"/>
  <c r="M28" i="41"/>
  <c r="M28" i="40"/>
  <c r="I28" i="42"/>
  <c r="I28" i="41"/>
  <c r="I28" i="40"/>
  <c r="M10" i="42"/>
  <c r="M10" i="40"/>
  <c r="M10" i="41"/>
  <c r="L28" i="42"/>
  <c r="L28" i="41"/>
  <c r="L28" i="40"/>
  <c r="H28" i="41"/>
  <c r="H28" i="40"/>
  <c r="H28" i="42"/>
  <c r="I10" i="40"/>
  <c r="I10" i="41"/>
  <c r="I10" i="42"/>
  <c r="K28" i="41"/>
  <c r="K28" i="40"/>
  <c r="K28" i="42"/>
  <c r="J10" i="41"/>
  <c r="J10" i="42"/>
  <c r="J10" i="40"/>
  <c r="H10" i="42"/>
  <c r="H10" i="40"/>
  <c r="H10" i="41"/>
  <c r="L11" i="17"/>
  <c r="H11" i="17"/>
  <c r="D11" i="17"/>
  <c r="C11" i="17"/>
  <c r="M11" i="17"/>
  <c r="G11" i="17"/>
  <c r="B11" i="17"/>
  <c r="K11" i="17"/>
  <c r="F11" i="17"/>
  <c r="J11" i="17"/>
  <c r="E11" i="17"/>
  <c r="I11" i="17"/>
  <c r="J28" i="42"/>
  <c r="J28" i="41"/>
  <c r="J28" i="40"/>
  <c r="K10" i="42"/>
  <c r="K10" i="41"/>
  <c r="K10" i="40"/>
  <c r="L10" i="42"/>
  <c r="L10" i="41"/>
  <c r="L10" i="40"/>
  <c r="A12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L66" i="17"/>
  <c r="A13" i="17"/>
  <c r="A68" i="17"/>
  <c r="A30" i="17"/>
  <c r="H29" i="41" l="1"/>
  <c r="H29" i="40"/>
  <c r="H29" i="42"/>
  <c r="M11" i="42"/>
  <c r="M11" i="40"/>
  <c r="M11" i="41"/>
  <c r="K13" i="17"/>
  <c r="G13" i="17"/>
  <c r="C13" i="17"/>
  <c r="J13" i="17"/>
  <c r="E13" i="17"/>
  <c r="M13" i="17"/>
  <c r="F13" i="17"/>
  <c r="L13" i="17"/>
  <c r="D13" i="17"/>
  <c r="I13" i="17"/>
  <c r="B13" i="17"/>
  <c r="H13" i="17"/>
  <c r="G29" i="42"/>
  <c r="G29" i="41"/>
  <c r="G29" i="40"/>
  <c r="I11" i="42"/>
  <c r="I11" i="41"/>
  <c r="I11" i="40"/>
  <c r="C11" i="42"/>
  <c r="C11" i="40"/>
  <c r="C11" i="41"/>
  <c r="J29" i="41"/>
  <c r="J29" i="42"/>
  <c r="J29" i="40"/>
  <c r="F29" i="42"/>
  <c r="F29" i="41"/>
  <c r="F29" i="40"/>
  <c r="B29" i="42"/>
  <c r="B29" i="40"/>
  <c r="B29" i="41"/>
  <c r="E11" i="42"/>
  <c r="E11" i="40"/>
  <c r="E11" i="41"/>
  <c r="B11" i="41"/>
  <c r="B11" i="40"/>
  <c r="B11" i="42"/>
  <c r="D11" i="42"/>
  <c r="D11" i="41"/>
  <c r="D11" i="40"/>
  <c r="K66" i="40"/>
  <c r="L29" i="41"/>
  <c r="L29" i="40"/>
  <c r="L29" i="42"/>
  <c r="D29" i="41"/>
  <c r="D29" i="40"/>
  <c r="D29" i="42"/>
  <c r="F11" i="42"/>
  <c r="F11" i="41"/>
  <c r="F11" i="40"/>
  <c r="L11" i="42"/>
  <c r="L11" i="40"/>
  <c r="L11" i="41"/>
  <c r="K29" i="42"/>
  <c r="K29" i="41"/>
  <c r="K29" i="40"/>
  <c r="C29" i="41"/>
  <c r="C29" i="42"/>
  <c r="C29" i="40"/>
  <c r="K11" i="42"/>
  <c r="K11" i="40"/>
  <c r="K11" i="41"/>
  <c r="M29" i="42"/>
  <c r="M29" i="41"/>
  <c r="M29" i="40"/>
  <c r="I29" i="42"/>
  <c r="I29" i="40"/>
  <c r="I29" i="41"/>
  <c r="E29" i="42"/>
  <c r="E29" i="41"/>
  <c r="E29" i="40"/>
  <c r="L12" i="17"/>
  <c r="H12" i="17"/>
  <c r="D12" i="17"/>
  <c r="G12" i="17"/>
  <c r="K12" i="17"/>
  <c r="F12" i="17"/>
  <c r="J12" i="17"/>
  <c r="E12" i="17"/>
  <c r="I12" i="17"/>
  <c r="C12" i="17"/>
  <c r="M12" i="17"/>
  <c r="B12" i="17"/>
  <c r="J11" i="41"/>
  <c r="J11" i="42"/>
  <c r="J11" i="40"/>
  <c r="G11" i="42"/>
  <c r="G11" i="41"/>
  <c r="G11" i="40"/>
  <c r="H11" i="41"/>
  <c r="H11" i="40"/>
  <c r="H11" i="42"/>
  <c r="B30" i="17"/>
  <c r="C30" i="17"/>
  <c r="D30" i="17"/>
  <c r="E30" i="17"/>
  <c r="F30" i="17"/>
  <c r="G30" i="17"/>
  <c r="H30" i="17"/>
  <c r="I30" i="17"/>
  <c r="J30" i="17"/>
  <c r="K30" i="17"/>
  <c r="L30" i="17"/>
  <c r="M30" i="17"/>
  <c r="L13" i="5"/>
  <c r="Y13" i="5" s="1"/>
  <c r="A31" i="17"/>
  <c r="A14" i="17"/>
  <c r="A69" i="17"/>
  <c r="L30" i="41" l="1"/>
  <c r="L30" i="40"/>
  <c r="L30" i="42"/>
  <c r="D30" i="42"/>
  <c r="D30" i="41"/>
  <c r="D30" i="40"/>
  <c r="E12" i="42"/>
  <c r="E12" i="40"/>
  <c r="E12" i="41"/>
  <c r="I13" i="42"/>
  <c r="I13" i="41"/>
  <c r="I13" i="40"/>
  <c r="G13" i="42"/>
  <c r="G13" i="41"/>
  <c r="G13" i="40"/>
  <c r="K30" i="40"/>
  <c r="K30" i="42"/>
  <c r="K30" i="41"/>
  <c r="C30" i="41"/>
  <c r="C30" i="42"/>
  <c r="C30" i="40"/>
  <c r="J12" i="42"/>
  <c r="J12" i="41"/>
  <c r="J12" i="40"/>
  <c r="E13" i="42"/>
  <c r="E13" i="40"/>
  <c r="E13" i="41"/>
  <c r="J30" i="42"/>
  <c r="J30" i="41"/>
  <c r="J30" i="40"/>
  <c r="F30" i="41"/>
  <c r="F30" i="40"/>
  <c r="F30" i="42"/>
  <c r="B30" i="41"/>
  <c r="B30" i="42"/>
  <c r="B30" i="40"/>
  <c r="C12" i="42"/>
  <c r="C12" i="41"/>
  <c r="C12" i="40"/>
  <c r="F12" i="41"/>
  <c r="F12" i="42"/>
  <c r="F12" i="40"/>
  <c r="H12" i="42"/>
  <c r="H12" i="41"/>
  <c r="H12" i="40"/>
  <c r="H13" i="42"/>
  <c r="H13" i="41"/>
  <c r="H13" i="40"/>
  <c r="L13" i="41"/>
  <c r="L13" i="42"/>
  <c r="L13" i="40"/>
  <c r="J13" i="41"/>
  <c r="J13" i="42"/>
  <c r="J13" i="40"/>
  <c r="H30" i="41"/>
  <c r="H30" i="40"/>
  <c r="H30" i="42"/>
  <c r="B12" i="41"/>
  <c r="B12" i="42"/>
  <c r="B12" i="40"/>
  <c r="G12" i="42"/>
  <c r="G12" i="40"/>
  <c r="G12" i="41"/>
  <c r="M13" i="42"/>
  <c r="M13" i="40"/>
  <c r="M13" i="41"/>
  <c r="G30" i="42"/>
  <c r="G30" i="41"/>
  <c r="G30" i="40"/>
  <c r="M12" i="41"/>
  <c r="M12" i="40"/>
  <c r="M12" i="42"/>
  <c r="D12" i="41"/>
  <c r="D12" i="40"/>
  <c r="D12" i="42"/>
  <c r="D13" i="42"/>
  <c r="D13" i="41"/>
  <c r="D13" i="40"/>
  <c r="K13" i="42"/>
  <c r="K13" i="41"/>
  <c r="K13" i="40"/>
  <c r="K14" i="17"/>
  <c r="G14" i="17"/>
  <c r="C14" i="17"/>
  <c r="I14" i="17"/>
  <c r="D14" i="17"/>
  <c r="B14" i="17"/>
  <c r="H14" i="17"/>
  <c r="M14" i="17"/>
  <c r="F14" i="17"/>
  <c r="L14" i="17"/>
  <c r="E14" i="17"/>
  <c r="J14" i="17"/>
  <c r="M30" i="42"/>
  <c r="M30" i="41"/>
  <c r="M30" i="40"/>
  <c r="I30" i="42"/>
  <c r="I30" i="41"/>
  <c r="I30" i="40"/>
  <c r="E30" i="42"/>
  <c r="E30" i="40"/>
  <c r="E30" i="41"/>
  <c r="I12" i="40"/>
  <c r="I12" i="41"/>
  <c r="I12" i="42"/>
  <c r="K12" i="42"/>
  <c r="K12" i="41"/>
  <c r="K12" i="40"/>
  <c r="L12" i="42"/>
  <c r="L12" i="41"/>
  <c r="L12" i="40"/>
  <c r="B13" i="41"/>
  <c r="B13" i="42"/>
  <c r="B13" i="40"/>
  <c r="F13" i="41"/>
  <c r="F13" i="42"/>
  <c r="F13" i="40"/>
  <c r="C13" i="42"/>
  <c r="C13" i="40"/>
  <c r="C13" i="41"/>
  <c r="B31" i="17"/>
  <c r="C31" i="17"/>
  <c r="D31" i="17"/>
  <c r="E31" i="17"/>
  <c r="F31" i="17"/>
  <c r="G31" i="17"/>
  <c r="H31" i="17"/>
  <c r="I31" i="17"/>
  <c r="J31" i="17"/>
  <c r="K31" i="17"/>
  <c r="L31" i="17"/>
  <c r="M31" i="17"/>
  <c r="A15" i="17"/>
  <c r="A70" i="17"/>
  <c r="A32" i="17"/>
  <c r="H31" i="42" l="1"/>
  <c r="H31" i="41"/>
  <c r="H31" i="40"/>
  <c r="D31" i="41"/>
  <c r="D31" i="40"/>
  <c r="D31" i="42"/>
  <c r="L14" i="42"/>
  <c r="L14" i="41"/>
  <c r="L14" i="40"/>
  <c r="B14" i="42"/>
  <c r="B14" i="41"/>
  <c r="B14" i="40"/>
  <c r="G14" i="42"/>
  <c r="G14" i="41"/>
  <c r="G14" i="40"/>
  <c r="K31" i="42"/>
  <c r="K31" i="41"/>
  <c r="K31" i="40"/>
  <c r="G31" i="41"/>
  <c r="G31" i="40"/>
  <c r="G31" i="42"/>
  <c r="C31" i="42"/>
  <c r="C31" i="41"/>
  <c r="C31" i="40"/>
  <c r="F14" i="41"/>
  <c r="F14" i="42"/>
  <c r="F14" i="40"/>
  <c r="D14" i="40"/>
  <c r="D14" i="42"/>
  <c r="D14" i="41"/>
  <c r="K14" i="42"/>
  <c r="K14" i="41"/>
  <c r="K14" i="40"/>
  <c r="L31" i="41"/>
  <c r="L31" i="40"/>
  <c r="L31" i="42"/>
  <c r="K15" i="17"/>
  <c r="G15" i="17"/>
  <c r="C15" i="17"/>
  <c r="M15" i="17"/>
  <c r="H15" i="17"/>
  <c r="B15" i="17"/>
  <c r="J15" i="17"/>
  <c r="D15" i="17"/>
  <c r="I15" i="17"/>
  <c r="F15" i="17"/>
  <c r="L15" i="17"/>
  <c r="E15" i="17"/>
  <c r="J31" i="42"/>
  <c r="J31" i="41"/>
  <c r="J31" i="40"/>
  <c r="F31" i="42"/>
  <c r="F31" i="40"/>
  <c r="F31" i="41"/>
  <c r="B31" i="42"/>
  <c r="B31" i="41"/>
  <c r="B31" i="40"/>
  <c r="J14" i="41"/>
  <c r="J14" i="42"/>
  <c r="J14" i="40"/>
  <c r="M14" i="42"/>
  <c r="M14" i="41"/>
  <c r="M14" i="40"/>
  <c r="I14" i="40"/>
  <c r="I14" i="41"/>
  <c r="I14" i="42"/>
  <c r="M31" i="42"/>
  <c r="M31" i="41"/>
  <c r="M31" i="40"/>
  <c r="I31" i="42"/>
  <c r="I31" i="41"/>
  <c r="I31" i="40"/>
  <c r="E31" i="42"/>
  <c r="E31" i="41"/>
  <c r="E31" i="40"/>
  <c r="E14" i="42"/>
  <c r="E14" i="41"/>
  <c r="E14" i="40"/>
  <c r="H14" i="42"/>
  <c r="H14" i="41"/>
  <c r="H14" i="40"/>
  <c r="C14" i="42"/>
  <c r="C14" i="41"/>
  <c r="C14" i="40"/>
  <c r="B32" i="17"/>
  <c r="C32" i="17"/>
  <c r="D32" i="17"/>
  <c r="E32" i="17"/>
  <c r="F32" i="17"/>
  <c r="G32" i="17"/>
  <c r="H32" i="17"/>
  <c r="I32" i="17"/>
  <c r="J32" i="17"/>
  <c r="K32" i="17"/>
  <c r="L32" i="17"/>
  <c r="M32" i="17"/>
  <c r="A33" i="17"/>
  <c r="A16" i="17"/>
  <c r="A71" i="17"/>
  <c r="M32" i="42" l="1"/>
  <c r="M32" i="41"/>
  <c r="M32" i="40"/>
  <c r="I32" i="42"/>
  <c r="I32" i="40"/>
  <c r="I32" i="41"/>
  <c r="E32" i="42"/>
  <c r="E32" i="41"/>
  <c r="E32" i="40"/>
  <c r="E15" i="40"/>
  <c r="E15" i="41"/>
  <c r="E15" i="42"/>
  <c r="D15" i="42"/>
  <c r="D15" i="41"/>
  <c r="D15" i="40"/>
  <c r="M15" i="41"/>
  <c r="M15" i="42"/>
  <c r="M15" i="40"/>
  <c r="L32" i="42"/>
  <c r="L32" i="41"/>
  <c r="L32" i="40"/>
  <c r="H32" i="41"/>
  <c r="H32" i="40"/>
  <c r="H32" i="42"/>
  <c r="D32" i="41"/>
  <c r="D32" i="40"/>
  <c r="D32" i="42"/>
  <c r="L15" i="42"/>
  <c r="L15" i="40"/>
  <c r="L15" i="41"/>
  <c r="J15" i="41"/>
  <c r="J15" i="42"/>
  <c r="J15" i="40"/>
  <c r="C15" i="42"/>
  <c r="C15" i="40"/>
  <c r="C15" i="41"/>
  <c r="K16" i="17"/>
  <c r="G16" i="17"/>
  <c r="C16" i="17"/>
  <c r="L16" i="17"/>
  <c r="F16" i="17"/>
  <c r="H16" i="17"/>
  <c r="M16" i="17"/>
  <c r="E16" i="17"/>
  <c r="J16" i="17"/>
  <c r="D16" i="17"/>
  <c r="I16" i="17"/>
  <c r="B16" i="17"/>
  <c r="K32" i="42"/>
  <c r="K32" i="41"/>
  <c r="K32" i="40"/>
  <c r="G32" i="42"/>
  <c r="G32" i="41"/>
  <c r="G32" i="40"/>
  <c r="C32" i="42"/>
  <c r="C32" i="41"/>
  <c r="C32" i="40"/>
  <c r="F15" i="42"/>
  <c r="F15" i="41"/>
  <c r="F15" i="40"/>
  <c r="B15" i="41"/>
  <c r="B15" i="42"/>
  <c r="B15" i="40"/>
  <c r="G15" i="42"/>
  <c r="G15" i="41"/>
  <c r="G15" i="40"/>
  <c r="J32" i="41"/>
  <c r="J32" i="42"/>
  <c r="J32" i="40"/>
  <c r="F32" i="41"/>
  <c r="F32" i="40"/>
  <c r="F32" i="42"/>
  <c r="B32" i="42"/>
  <c r="B32" i="40"/>
  <c r="B32" i="41"/>
  <c r="I15" i="42"/>
  <c r="I15" i="41"/>
  <c r="I15" i="40"/>
  <c r="H15" i="42"/>
  <c r="H15" i="41"/>
  <c r="H15" i="40"/>
  <c r="K15" i="42"/>
  <c r="K15" i="41"/>
  <c r="K15" i="40"/>
  <c r="B33" i="17"/>
  <c r="C33" i="17"/>
  <c r="D33" i="17"/>
  <c r="E33" i="17"/>
  <c r="F33" i="17"/>
  <c r="G33" i="17"/>
  <c r="H33" i="17"/>
  <c r="I33" i="17"/>
  <c r="J33" i="17"/>
  <c r="K33" i="17"/>
  <c r="L33" i="17"/>
  <c r="M33" i="17"/>
  <c r="A17" i="17"/>
  <c r="A72" i="17"/>
  <c r="A34" i="17"/>
  <c r="M33" i="42" l="1"/>
  <c r="M33" i="41"/>
  <c r="M33" i="40"/>
  <c r="E33" i="42"/>
  <c r="E33" i="41"/>
  <c r="E33" i="40"/>
  <c r="E16" i="42"/>
  <c r="E16" i="41"/>
  <c r="E16" i="40"/>
  <c r="L33" i="41"/>
  <c r="L33" i="40"/>
  <c r="L33" i="42"/>
  <c r="D33" i="41"/>
  <c r="D33" i="40"/>
  <c r="D33" i="42"/>
  <c r="I16" i="42"/>
  <c r="I16" i="41"/>
  <c r="I16" i="40"/>
  <c r="M16" i="40"/>
  <c r="M16" i="42"/>
  <c r="M16" i="41"/>
  <c r="C16" i="42"/>
  <c r="C16" i="41"/>
  <c r="C16" i="40"/>
  <c r="K33" i="42"/>
  <c r="K33" i="40"/>
  <c r="K33" i="41"/>
  <c r="G33" i="42"/>
  <c r="G33" i="41"/>
  <c r="G33" i="40"/>
  <c r="C33" i="42"/>
  <c r="C33" i="40"/>
  <c r="C33" i="41"/>
  <c r="D16" i="41"/>
  <c r="D16" i="42"/>
  <c r="D16" i="40"/>
  <c r="H16" i="41"/>
  <c r="H16" i="42"/>
  <c r="H16" i="40"/>
  <c r="G16" i="42"/>
  <c r="G16" i="40"/>
  <c r="G16" i="41"/>
  <c r="I33" i="42"/>
  <c r="I33" i="41"/>
  <c r="I33" i="40"/>
  <c r="B16" i="41"/>
  <c r="B16" i="42"/>
  <c r="B16" i="40"/>
  <c r="L16" i="42"/>
  <c r="L16" i="41"/>
  <c r="L16" i="40"/>
  <c r="H33" i="41"/>
  <c r="H33" i="40"/>
  <c r="H33" i="42"/>
  <c r="K17" i="17"/>
  <c r="G17" i="17"/>
  <c r="C17" i="17"/>
  <c r="J17" i="17"/>
  <c r="E17" i="17"/>
  <c r="H17" i="17"/>
  <c r="M17" i="17"/>
  <c r="F17" i="17"/>
  <c r="L17" i="17"/>
  <c r="D17" i="17"/>
  <c r="I17" i="17"/>
  <c r="B17" i="17"/>
  <c r="J33" i="41"/>
  <c r="J33" i="42"/>
  <c r="J33" i="40"/>
  <c r="F33" i="42"/>
  <c r="F33" i="41"/>
  <c r="F33" i="40"/>
  <c r="B33" i="42"/>
  <c r="B33" i="41"/>
  <c r="B33" i="40"/>
  <c r="J16" i="42"/>
  <c r="J16" i="41"/>
  <c r="J16" i="40"/>
  <c r="F16" i="41"/>
  <c r="F16" i="42"/>
  <c r="F16" i="40"/>
  <c r="K16" i="42"/>
  <c r="K16" i="41"/>
  <c r="K16" i="40"/>
  <c r="B34" i="17"/>
  <c r="C34" i="17"/>
  <c r="D34" i="17"/>
  <c r="E34" i="17"/>
  <c r="F34" i="17"/>
  <c r="G34" i="17"/>
  <c r="H34" i="17"/>
  <c r="I34" i="17"/>
  <c r="J34" i="17"/>
  <c r="K34" i="17"/>
  <c r="L34" i="17"/>
  <c r="M34" i="17"/>
  <c r="A35" i="17"/>
  <c r="A18" i="17"/>
  <c r="A73" i="17"/>
  <c r="M34" i="42" l="1"/>
  <c r="M34" i="40"/>
  <c r="M34" i="41"/>
  <c r="I34" i="42"/>
  <c r="I34" i="41"/>
  <c r="I34" i="40"/>
  <c r="E34" i="42"/>
  <c r="E34" i="41"/>
  <c r="E34" i="40"/>
  <c r="D17" i="42"/>
  <c r="D17" i="41"/>
  <c r="D17" i="40"/>
  <c r="H17" i="41"/>
  <c r="H17" i="42"/>
  <c r="H17" i="40"/>
  <c r="G17" i="42"/>
  <c r="G17" i="41"/>
  <c r="G17" i="40"/>
  <c r="L34" i="41"/>
  <c r="L34" i="40"/>
  <c r="L34" i="42"/>
  <c r="H34" i="41"/>
  <c r="H34" i="40"/>
  <c r="H34" i="42"/>
  <c r="D34" i="42"/>
  <c r="D34" i="41"/>
  <c r="D34" i="40"/>
  <c r="L17" i="42"/>
  <c r="L17" i="41"/>
  <c r="L17" i="40"/>
  <c r="E17" i="42"/>
  <c r="E17" i="40"/>
  <c r="E17" i="41"/>
  <c r="K17" i="42"/>
  <c r="K17" i="41"/>
  <c r="K17" i="40"/>
  <c r="K18" i="17"/>
  <c r="G18" i="17"/>
  <c r="C18" i="17"/>
  <c r="I18" i="17"/>
  <c r="D18" i="17"/>
  <c r="E18" i="17"/>
  <c r="J18" i="17"/>
  <c r="B18" i="17"/>
  <c r="H18" i="17"/>
  <c r="M18" i="17"/>
  <c r="F18" i="17"/>
  <c r="L18" i="17"/>
  <c r="K34" i="41"/>
  <c r="K34" i="42"/>
  <c r="K34" i="40"/>
  <c r="G34" i="42"/>
  <c r="G34" i="41"/>
  <c r="G34" i="40"/>
  <c r="C34" i="41"/>
  <c r="C34" i="42"/>
  <c r="C34" i="40"/>
  <c r="B17" i="41"/>
  <c r="B17" i="42"/>
  <c r="B17" i="40"/>
  <c r="F17" i="41"/>
  <c r="F17" i="40"/>
  <c r="F17" i="42"/>
  <c r="J17" i="41"/>
  <c r="J17" i="42"/>
  <c r="J17" i="40"/>
  <c r="J34" i="42"/>
  <c r="J34" i="41"/>
  <c r="J34" i="40"/>
  <c r="F34" i="40"/>
  <c r="F34" i="42"/>
  <c r="F34" i="41"/>
  <c r="B34" i="42"/>
  <c r="B34" i="41"/>
  <c r="B34" i="40"/>
  <c r="I17" i="42"/>
  <c r="I17" i="40"/>
  <c r="I17" i="41"/>
  <c r="M17" i="41"/>
  <c r="M17" i="42"/>
  <c r="M17" i="40"/>
  <c r="C17" i="42"/>
  <c r="C17" i="41"/>
  <c r="C17" i="40"/>
  <c r="B35" i="17"/>
  <c r="C35" i="17"/>
  <c r="D35" i="17"/>
  <c r="E35" i="17"/>
  <c r="F35" i="17"/>
  <c r="G35" i="17"/>
  <c r="H35" i="17"/>
  <c r="I35" i="17"/>
  <c r="J35" i="17"/>
  <c r="K35" i="17"/>
  <c r="L35" i="17"/>
  <c r="M35" i="17"/>
  <c r="A19" i="17"/>
  <c r="A74" i="17"/>
  <c r="A36" i="17"/>
  <c r="M35" i="42" l="1"/>
  <c r="M35" i="41"/>
  <c r="M35" i="40"/>
  <c r="E35" i="42"/>
  <c r="E35" i="41"/>
  <c r="E35" i="40"/>
  <c r="I18" i="41"/>
  <c r="I18" i="40"/>
  <c r="I18" i="42"/>
  <c r="H35" i="42"/>
  <c r="H35" i="41"/>
  <c r="H35" i="40"/>
  <c r="J18" i="41"/>
  <c r="J18" i="42"/>
  <c r="J18" i="40"/>
  <c r="K35" i="42"/>
  <c r="K35" i="41"/>
  <c r="K35" i="40"/>
  <c r="G35" i="41"/>
  <c r="G35" i="40"/>
  <c r="G35" i="42"/>
  <c r="C35" i="42"/>
  <c r="C35" i="41"/>
  <c r="C35" i="40"/>
  <c r="M18" i="42"/>
  <c r="M18" i="41"/>
  <c r="M18" i="40"/>
  <c r="E18" i="41"/>
  <c r="E18" i="42"/>
  <c r="E18" i="40"/>
  <c r="G18" i="42"/>
  <c r="G18" i="41"/>
  <c r="G18" i="40"/>
  <c r="I35" i="42"/>
  <c r="I35" i="40"/>
  <c r="I35" i="41"/>
  <c r="L18" i="41"/>
  <c r="L18" i="42"/>
  <c r="L18" i="40"/>
  <c r="B18" i="42"/>
  <c r="B18" i="41"/>
  <c r="B18" i="40"/>
  <c r="L35" i="41"/>
  <c r="L35" i="40"/>
  <c r="L35" i="42"/>
  <c r="D35" i="41"/>
  <c r="D35" i="40"/>
  <c r="D35" i="42"/>
  <c r="F18" i="41"/>
  <c r="F18" i="42"/>
  <c r="F18" i="40"/>
  <c r="C18" i="42"/>
  <c r="C18" i="41"/>
  <c r="C18" i="40"/>
  <c r="K19" i="17"/>
  <c r="G19" i="17"/>
  <c r="C19" i="17"/>
  <c r="M19" i="17"/>
  <c r="H19" i="17"/>
  <c r="B19" i="17"/>
  <c r="L19" i="17"/>
  <c r="E19" i="17"/>
  <c r="J19" i="17"/>
  <c r="D19" i="17"/>
  <c r="I19" i="17"/>
  <c r="F19" i="17"/>
  <c r="J35" i="41"/>
  <c r="J35" i="42"/>
  <c r="J35" i="40"/>
  <c r="F35" i="42"/>
  <c r="F35" i="41"/>
  <c r="F35" i="40"/>
  <c r="B35" i="41"/>
  <c r="B35" i="40"/>
  <c r="B35" i="42"/>
  <c r="H18" i="42"/>
  <c r="H18" i="40"/>
  <c r="H18" i="41"/>
  <c r="D18" i="42"/>
  <c r="D18" i="40"/>
  <c r="D18" i="41"/>
  <c r="K18" i="42"/>
  <c r="K18" i="41"/>
  <c r="K18" i="40"/>
  <c r="B36" i="17"/>
  <c r="C36" i="17"/>
  <c r="D36" i="17"/>
  <c r="E36" i="17"/>
  <c r="F36" i="17"/>
  <c r="G36" i="17"/>
  <c r="H36" i="17"/>
  <c r="I36" i="17"/>
  <c r="J36" i="17"/>
  <c r="K36" i="17"/>
  <c r="L36" i="17"/>
  <c r="M36" i="17"/>
  <c r="A37" i="17"/>
  <c r="A20" i="17"/>
  <c r="A75" i="17"/>
  <c r="K20" i="17" l="1"/>
  <c r="G20" i="17"/>
  <c r="C20" i="17"/>
  <c r="L20" i="17"/>
  <c r="F20" i="17"/>
  <c r="I20" i="17"/>
  <c r="H20" i="17"/>
  <c r="M20" i="17"/>
  <c r="E20" i="17"/>
  <c r="J20" i="17"/>
  <c r="D20" i="17"/>
  <c r="B20" i="17"/>
  <c r="M36" i="42"/>
  <c r="M36" i="41"/>
  <c r="M36" i="40"/>
  <c r="I36" i="42"/>
  <c r="I36" i="41"/>
  <c r="I36" i="40"/>
  <c r="E36" i="42"/>
  <c r="E36" i="41"/>
  <c r="E36" i="40"/>
  <c r="D19" i="42"/>
  <c r="D19" i="41"/>
  <c r="D19" i="40"/>
  <c r="B19" i="41"/>
  <c r="B19" i="42"/>
  <c r="B19" i="40"/>
  <c r="G19" i="42"/>
  <c r="G19" i="40"/>
  <c r="G19" i="41"/>
  <c r="L36" i="42"/>
  <c r="L36" i="41"/>
  <c r="L36" i="40"/>
  <c r="H36" i="41"/>
  <c r="H36" i="40"/>
  <c r="H36" i="42"/>
  <c r="D36" i="41"/>
  <c r="D36" i="40"/>
  <c r="D36" i="42"/>
  <c r="J19" i="41"/>
  <c r="J19" i="42"/>
  <c r="J19" i="40"/>
  <c r="H19" i="42"/>
  <c r="H19" i="41"/>
  <c r="H19" i="40"/>
  <c r="K19" i="42"/>
  <c r="K19" i="41"/>
  <c r="K19" i="40"/>
  <c r="K36" i="41"/>
  <c r="K36" i="42"/>
  <c r="K36" i="40"/>
  <c r="G36" i="42"/>
  <c r="G36" i="41"/>
  <c r="G36" i="40"/>
  <c r="C36" i="42"/>
  <c r="C36" i="40"/>
  <c r="C36" i="41"/>
  <c r="F19" i="42"/>
  <c r="F19" i="41"/>
  <c r="F19" i="40"/>
  <c r="E19" i="41"/>
  <c r="E19" i="40"/>
  <c r="E19" i="42"/>
  <c r="M19" i="42"/>
  <c r="M19" i="40"/>
  <c r="M19" i="41"/>
  <c r="J36" i="40"/>
  <c r="J36" i="42"/>
  <c r="J36" i="41"/>
  <c r="F36" i="42"/>
  <c r="F36" i="41"/>
  <c r="F36" i="40"/>
  <c r="B36" i="42"/>
  <c r="B36" i="41"/>
  <c r="B36" i="40"/>
  <c r="I19" i="42"/>
  <c r="I19" i="40"/>
  <c r="I19" i="41"/>
  <c r="L19" i="42"/>
  <c r="L19" i="41"/>
  <c r="L19" i="40"/>
  <c r="C19" i="42"/>
  <c r="C19" i="41"/>
  <c r="C19" i="40"/>
  <c r="B37" i="17"/>
  <c r="C37" i="17"/>
  <c r="D37" i="17"/>
  <c r="E37" i="17"/>
  <c r="F37" i="17"/>
  <c r="G37" i="17"/>
  <c r="H37" i="17"/>
  <c r="I37" i="17"/>
  <c r="J37" i="17"/>
  <c r="K37" i="17"/>
  <c r="L37" i="17"/>
  <c r="M37" i="17"/>
  <c r="A76" i="17"/>
  <c r="A21" i="17"/>
  <c r="A38" i="17"/>
  <c r="I37" i="42" l="1"/>
  <c r="I37" i="41"/>
  <c r="I37" i="40"/>
  <c r="M20" i="41"/>
  <c r="M20" i="40"/>
  <c r="M20" i="42"/>
  <c r="L37" i="41"/>
  <c r="L37" i="40"/>
  <c r="L37" i="42"/>
  <c r="D37" i="41"/>
  <c r="D37" i="40"/>
  <c r="D37" i="42"/>
  <c r="H20" i="42"/>
  <c r="H20" i="41"/>
  <c r="H20" i="40"/>
  <c r="C20" i="42"/>
  <c r="C20" i="41"/>
  <c r="C20" i="40"/>
  <c r="K21" i="17"/>
  <c r="G21" i="17"/>
  <c r="C21" i="17"/>
  <c r="J21" i="17"/>
  <c r="E21" i="17"/>
  <c r="I21" i="17"/>
  <c r="B21" i="17"/>
  <c r="H21" i="17"/>
  <c r="M21" i="17"/>
  <c r="F21" i="17"/>
  <c r="L21" i="17"/>
  <c r="D21" i="17"/>
  <c r="K37" i="42"/>
  <c r="K37" i="41"/>
  <c r="K37" i="40"/>
  <c r="G37" i="41"/>
  <c r="G37" i="42"/>
  <c r="G37" i="40"/>
  <c r="C37" i="41"/>
  <c r="C37" i="40"/>
  <c r="C37" i="42"/>
  <c r="J20" i="42"/>
  <c r="J20" i="41"/>
  <c r="J20" i="40"/>
  <c r="I20" i="41"/>
  <c r="I20" i="42"/>
  <c r="I20" i="40"/>
  <c r="G20" i="42"/>
  <c r="G20" i="41"/>
  <c r="G20" i="40"/>
  <c r="M37" i="42"/>
  <c r="M37" i="41"/>
  <c r="M37" i="40"/>
  <c r="E37" i="42"/>
  <c r="E37" i="41"/>
  <c r="E37" i="40"/>
  <c r="B20" i="41"/>
  <c r="B20" i="40"/>
  <c r="B20" i="42"/>
  <c r="L20" i="42"/>
  <c r="L20" i="40"/>
  <c r="L20" i="41"/>
  <c r="H37" i="41"/>
  <c r="H37" i="40"/>
  <c r="H37" i="42"/>
  <c r="D20" i="42"/>
  <c r="D20" i="41"/>
  <c r="D20" i="40"/>
  <c r="J37" i="41"/>
  <c r="J37" i="42"/>
  <c r="J37" i="40"/>
  <c r="F37" i="42"/>
  <c r="F37" i="40"/>
  <c r="F37" i="41"/>
  <c r="B37" i="42"/>
  <c r="B37" i="41"/>
  <c r="B37" i="40"/>
  <c r="E20" i="42"/>
  <c r="E20" i="40"/>
  <c r="E20" i="41"/>
  <c r="F20" i="41"/>
  <c r="F20" i="42"/>
  <c r="F20" i="40"/>
  <c r="K20" i="42"/>
  <c r="K20" i="41"/>
  <c r="K20" i="40"/>
  <c r="B38" i="17"/>
  <c r="C38" i="17"/>
  <c r="D38" i="17"/>
  <c r="E38" i="17"/>
  <c r="F38" i="17"/>
  <c r="G38" i="17"/>
  <c r="H38" i="17"/>
  <c r="I38" i="17"/>
  <c r="J38" i="17"/>
  <c r="K38" i="17"/>
  <c r="L38" i="17"/>
  <c r="M38" i="17"/>
  <c r="A39" i="17"/>
  <c r="A22" i="17"/>
  <c r="A77" i="17"/>
  <c r="K22" i="17" l="1"/>
  <c r="G22" i="17"/>
  <c r="C22" i="17"/>
  <c r="I22" i="17"/>
  <c r="D22" i="17"/>
  <c r="F22" i="17"/>
  <c r="L22" i="17"/>
  <c r="E22" i="17"/>
  <c r="J22" i="17"/>
  <c r="B22" i="17"/>
  <c r="H22" i="17"/>
  <c r="M22" i="17"/>
  <c r="M38" i="42"/>
  <c r="M38" i="41"/>
  <c r="M38" i="40"/>
  <c r="I38" i="42"/>
  <c r="I38" i="41"/>
  <c r="I38" i="40"/>
  <c r="E38" i="42"/>
  <c r="E38" i="41"/>
  <c r="E38" i="40"/>
  <c r="F21" i="41"/>
  <c r="F21" i="42"/>
  <c r="F21" i="40"/>
  <c r="I21" i="42"/>
  <c r="I21" i="41"/>
  <c r="I21" i="40"/>
  <c r="G21" i="42"/>
  <c r="G21" i="41"/>
  <c r="G21" i="40"/>
  <c r="L38" i="40"/>
  <c r="L38" i="41"/>
  <c r="L38" i="42"/>
  <c r="H38" i="40"/>
  <c r="H38" i="41"/>
  <c r="H38" i="42"/>
  <c r="D38" i="42"/>
  <c r="D38" i="40"/>
  <c r="D38" i="41"/>
  <c r="M21" i="42"/>
  <c r="M21" i="41"/>
  <c r="M21" i="40"/>
  <c r="E21" i="41"/>
  <c r="E21" i="40"/>
  <c r="E21" i="42"/>
  <c r="K21" i="42"/>
  <c r="K21" i="40"/>
  <c r="K21" i="41"/>
  <c r="K38" i="41"/>
  <c r="K38" i="42"/>
  <c r="K38" i="40"/>
  <c r="G38" i="42"/>
  <c r="G38" i="40"/>
  <c r="G38" i="41"/>
  <c r="C38" i="42"/>
  <c r="C38" i="41"/>
  <c r="C38" i="40"/>
  <c r="D21" i="42"/>
  <c r="D21" i="41"/>
  <c r="D21" i="40"/>
  <c r="H21" i="41"/>
  <c r="H21" i="42"/>
  <c r="H21" i="40"/>
  <c r="J21" i="41"/>
  <c r="J21" i="40"/>
  <c r="J21" i="42"/>
  <c r="J38" i="42"/>
  <c r="J38" i="41"/>
  <c r="J38" i="40"/>
  <c r="F38" i="41"/>
  <c r="F38" i="40"/>
  <c r="F38" i="42"/>
  <c r="B38" i="42"/>
  <c r="B38" i="40"/>
  <c r="B38" i="41"/>
  <c r="L21" i="42"/>
  <c r="L21" i="41"/>
  <c r="L21" i="40"/>
  <c r="B21" i="41"/>
  <c r="B21" i="42"/>
  <c r="B21" i="40"/>
  <c r="C21" i="42"/>
  <c r="C21" i="41"/>
  <c r="C21" i="40"/>
  <c r="A40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A78" i="17"/>
  <c r="L39" i="40" l="1"/>
  <c r="L39" i="42"/>
  <c r="L39" i="41"/>
  <c r="D39" i="41"/>
  <c r="D39" i="40"/>
  <c r="D39" i="42"/>
  <c r="M22" i="42"/>
  <c r="M22" i="40"/>
  <c r="M22" i="41"/>
  <c r="I22" i="42"/>
  <c r="I22" i="41"/>
  <c r="I22" i="40"/>
  <c r="G39" i="41"/>
  <c r="G39" i="40"/>
  <c r="G39" i="42"/>
  <c r="H22" i="42"/>
  <c r="H22" i="41"/>
  <c r="H22" i="40"/>
  <c r="L22" i="41"/>
  <c r="L22" i="40"/>
  <c r="L22" i="42"/>
  <c r="C22" i="42"/>
  <c r="C22" i="41"/>
  <c r="C22" i="40"/>
  <c r="J39" i="41"/>
  <c r="J39" i="42"/>
  <c r="J39" i="40"/>
  <c r="F39" i="42"/>
  <c r="F39" i="41"/>
  <c r="F39" i="40"/>
  <c r="B39" i="41"/>
  <c r="B39" i="40"/>
  <c r="B39" i="42"/>
  <c r="B22" i="42"/>
  <c r="B22" i="41"/>
  <c r="B22" i="40"/>
  <c r="F22" i="41"/>
  <c r="F22" i="40"/>
  <c r="F22" i="42"/>
  <c r="G22" i="42"/>
  <c r="G22" i="41"/>
  <c r="G22" i="40"/>
  <c r="H39" i="42"/>
  <c r="H39" i="40"/>
  <c r="H39" i="41"/>
  <c r="E22" i="42"/>
  <c r="E22" i="40"/>
  <c r="E22" i="41"/>
  <c r="K39" i="41"/>
  <c r="K39" i="42"/>
  <c r="K39" i="40"/>
  <c r="C39" i="42"/>
  <c r="C39" i="41"/>
  <c r="C39" i="40"/>
  <c r="M39" i="42"/>
  <c r="M39" i="41"/>
  <c r="M39" i="40"/>
  <c r="I39" i="42"/>
  <c r="I39" i="41"/>
  <c r="I39" i="40"/>
  <c r="E39" i="42"/>
  <c r="E39" i="41"/>
  <c r="E39" i="40"/>
  <c r="J22" i="41"/>
  <c r="J22" i="40"/>
  <c r="J22" i="42"/>
  <c r="D22" i="41"/>
  <c r="D22" i="40"/>
  <c r="D22" i="42"/>
  <c r="K22" i="42"/>
  <c r="K22" i="41"/>
  <c r="K22" i="40"/>
  <c r="B40" i="17"/>
  <c r="C40" i="17"/>
  <c r="D40" i="17"/>
  <c r="E40" i="17"/>
  <c r="F40" i="17"/>
  <c r="G40" i="17"/>
  <c r="H40" i="17"/>
  <c r="I40" i="17"/>
  <c r="J40" i="17"/>
  <c r="K40" i="17"/>
  <c r="L40" i="17"/>
  <c r="M40" i="17"/>
  <c r="H76" i="40"/>
  <c r="F18" i="39" s="1"/>
  <c r="A3" i="17"/>
  <c r="M40" i="42" l="1"/>
  <c r="M40" i="41"/>
  <c r="M40" i="40"/>
  <c r="E40" i="42"/>
  <c r="E40" i="41"/>
  <c r="E40" i="40"/>
  <c r="H40" i="42"/>
  <c r="H40" i="41"/>
  <c r="H40" i="40"/>
  <c r="K40" i="40"/>
  <c r="K40" i="41"/>
  <c r="K40" i="42"/>
  <c r="G40" i="42"/>
  <c r="G40" i="41"/>
  <c r="G40" i="40"/>
  <c r="C40" i="41"/>
  <c r="C40" i="42"/>
  <c r="C40" i="40"/>
  <c r="I40" i="42"/>
  <c r="I40" i="41"/>
  <c r="I40" i="40"/>
  <c r="L40" i="42"/>
  <c r="L40" i="40"/>
  <c r="L40" i="41"/>
  <c r="D40" i="40"/>
  <c r="D40" i="41"/>
  <c r="D40" i="42"/>
  <c r="J40" i="42"/>
  <c r="J40" i="41"/>
  <c r="J40" i="40"/>
  <c r="F40" i="42"/>
  <c r="F40" i="40"/>
  <c r="F40" i="41"/>
  <c r="B40" i="42"/>
  <c r="B40" i="41"/>
  <c r="B40" i="40"/>
  <c r="D77" i="40"/>
  <c r="E19" i="39" s="1"/>
  <c r="L77" i="40"/>
  <c r="H77" i="40"/>
  <c r="F19" i="39" s="1"/>
  <c r="D78" i="40" l="1"/>
  <c r="E20" i="39" s="1"/>
  <c r="H78" i="40"/>
  <c r="F20" i="39" s="1"/>
  <c r="L78" i="40"/>
  <c r="B11" i="32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C132" i="28"/>
  <c r="B34" i="32" l="1"/>
  <c r="D38" i="28" l="1"/>
  <c r="B38" i="28"/>
  <c r="D39" i="28"/>
  <c r="B11" i="29" l="1"/>
  <c r="B12" i="29" l="1"/>
  <c r="B13" i="29" l="1"/>
  <c r="B14" i="29" l="1"/>
  <c r="B15" i="29" l="1"/>
  <c r="B16" i="29" l="1"/>
  <c r="B17" i="29" l="1"/>
  <c r="B18" i="29" l="1"/>
  <c r="B19" i="29" l="1"/>
  <c r="B20" i="29" l="1"/>
  <c r="B21" i="29" l="1"/>
  <c r="B22" i="29" l="1"/>
  <c r="B23" i="29" l="1"/>
  <c r="B24" i="29" l="1"/>
  <c r="B25" i="29" l="1"/>
  <c r="L76" i="41" l="1"/>
  <c r="H76" i="42"/>
  <c r="F18" i="45" s="1"/>
  <c r="AJ18" i="45" s="1"/>
  <c r="D76" i="41"/>
  <c r="E18" i="44" s="1"/>
  <c r="AG18" i="44" s="1"/>
  <c r="D76" i="42"/>
  <c r="E18" i="45" s="1"/>
  <c r="AG18" i="45" s="1"/>
  <c r="L76" i="42"/>
  <c r="B26" i="29"/>
  <c r="H76" i="41" l="1"/>
  <c r="F18" i="44" s="1"/>
  <c r="AJ18" i="44" s="1"/>
  <c r="L77" i="41"/>
  <c r="D77" i="41"/>
  <c r="E19" i="44" s="1"/>
  <c r="AG19" i="44" s="1"/>
  <c r="H77" i="41"/>
  <c r="F19" i="44" s="1"/>
  <c r="AJ19" i="44" s="1"/>
  <c r="D77" i="42"/>
  <c r="E19" i="45" s="1"/>
  <c r="AG19" i="45" s="1"/>
  <c r="L77" i="42"/>
  <c r="H77" i="42"/>
  <c r="F19" i="45" s="1"/>
  <c r="AJ19" i="45" s="1"/>
  <c r="B27" i="29"/>
  <c r="B28" i="29" l="1"/>
  <c r="B29" i="29" l="1"/>
  <c r="B30" i="29" l="1"/>
  <c r="H78" i="42" l="1"/>
  <c r="F20" i="45" s="1"/>
  <c r="AJ20" i="45" s="1"/>
  <c r="B31" i="29"/>
  <c r="H78" i="41" l="1"/>
  <c r="F20" i="44" s="1"/>
  <c r="AJ20" i="44" s="1"/>
  <c r="D78" i="42"/>
  <c r="E20" i="45" s="1"/>
  <c r="AG20" i="45" s="1"/>
  <c r="L78" i="42"/>
  <c r="D78" i="41"/>
  <c r="E20" i="44" s="1"/>
  <c r="AG20" i="44" s="1"/>
  <c r="L78" i="41"/>
  <c r="B32" i="29"/>
  <c r="B33" i="29" s="1"/>
  <c r="B34" i="29" s="1"/>
  <c r="J114" i="28" l="1"/>
  <c r="J113" i="28"/>
  <c r="E118" i="28"/>
  <c r="D97" i="28" l="1"/>
  <c r="D100" i="28" l="1"/>
  <c r="U46" i="5" l="1"/>
  <c r="B45" i="5"/>
  <c r="B14" i="5"/>
  <c r="I108" i="28"/>
  <c r="C10" i="28"/>
  <c r="D10" i="28" s="1"/>
  <c r="E10" i="28"/>
  <c r="F113" i="28"/>
  <c r="F114" i="28"/>
  <c r="I109" i="28"/>
  <c r="C42" i="5"/>
  <c r="C43" i="5" s="1"/>
  <c r="K113" i="28"/>
  <c r="K114" i="28"/>
  <c r="H13" i="5"/>
  <c r="I42" i="5"/>
  <c r="B9" i="28"/>
  <c r="B11" i="28"/>
  <c r="C39" i="28"/>
  <c r="C40" i="28"/>
  <c r="D40" i="28"/>
  <c r="C41" i="28"/>
  <c r="D41" i="28"/>
  <c r="B53" i="28"/>
  <c r="B90" i="28" s="1"/>
  <c r="B54" i="28"/>
  <c r="B61" i="28"/>
  <c r="B63" i="28"/>
  <c r="B91" i="28"/>
  <c r="C97" i="28"/>
  <c r="C98" i="28"/>
  <c r="C99" i="28"/>
  <c r="D99" i="28"/>
  <c r="C100" i="28"/>
  <c r="C101" i="28"/>
  <c r="C102" i="28"/>
  <c r="D102" i="28"/>
  <c r="C113" i="28"/>
  <c r="G113" i="28"/>
  <c r="C114" i="28"/>
  <c r="G114" i="28"/>
  <c r="N134" i="28"/>
  <c r="N135" i="28" s="1"/>
  <c r="N136" i="28" s="1"/>
  <c r="N137" i="28" s="1"/>
  <c r="N138" i="28" s="1"/>
  <c r="N139" i="28" s="1"/>
  <c r="H43" i="5"/>
  <c r="U13" i="5"/>
  <c r="N13" i="5"/>
  <c r="B44" i="5"/>
  <c r="E10" i="5"/>
  <c r="O42" i="5"/>
  <c r="O43" i="5"/>
  <c r="I44" i="5"/>
  <c r="V46" i="5"/>
  <c r="H45" i="5"/>
  <c r="U43" i="5"/>
  <c r="U42" i="5"/>
  <c r="B43" i="5"/>
  <c r="B42" i="5"/>
  <c r="L10" i="5"/>
  <c r="H44" i="5"/>
  <c r="H42" i="5"/>
  <c r="N43" i="5"/>
  <c r="N42" i="5"/>
  <c r="AK14" i="5" l="1"/>
  <c r="AC14" i="5"/>
  <c r="AS14" i="5"/>
  <c r="AG13" i="5"/>
  <c r="B15" i="5"/>
  <c r="N14" i="5"/>
  <c r="B12" i="28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U14" i="5"/>
  <c r="B64" i="28"/>
  <c r="B65" i="28" s="1"/>
  <c r="B66" i="28" s="1"/>
  <c r="B67" i="28" s="1"/>
  <c r="B68" i="28" s="1"/>
  <c r="B69" i="28" s="1"/>
  <c r="B70" i="28" s="1"/>
  <c r="H114" i="28"/>
  <c r="F10" i="28"/>
  <c r="H14" i="5"/>
  <c r="H113" i="28"/>
  <c r="F110" i="28"/>
  <c r="G108" i="28" s="1"/>
  <c r="G109" i="28" s="1"/>
  <c r="G110" i="28" s="1"/>
  <c r="F115" i="28"/>
  <c r="N140" i="28"/>
  <c r="AS15" i="5" l="1"/>
  <c r="AK15" i="5"/>
  <c r="AC15" i="5"/>
  <c r="AG14" i="5"/>
  <c r="H110" i="28"/>
  <c r="C62" i="28" s="1"/>
  <c r="D62" i="28" s="1"/>
  <c r="H115" i="28"/>
  <c r="D128" i="28" s="1"/>
  <c r="C45" i="5" s="1"/>
  <c r="E129" i="28"/>
  <c r="B16" i="5"/>
  <c r="H15" i="5"/>
  <c r="N15" i="5"/>
  <c r="U15" i="5"/>
  <c r="G10" i="28"/>
  <c r="H10" i="28" s="1"/>
  <c r="I110" i="28"/>
  <c r="E62" i="28" s="1"/>
  <c r="B71" i="28"/>
  <c r="I113" i="28"/>
  <c r="I114" i="28" s="1"/>
  <c r="J115" i="28" s="1"/>
  <c r="F62" i="28" s="1"/>
  <c r="N141" i="28"/>
  <c r="AS16" i="5" l="1"/>
  <c r="AC16" i="5"/>
  <c r="AK16" i="5"/>
  <c r="AG15" i="5"/>
  <c r="D129" i="28"/>
  <c r="V43" i="5" s="1"/>
  <c r="G115" i="28"/>
  <c r="D98" i="28" s="1"/>
  <c r="B17" i="5"/>
  <c r="U16" i="5"/>
  <c r="N16" i="5"/>
  <c r="H16" i="5"/>
  <c r="K115" i="28"/>
  <c r="B72" i="28"/>
  <c r="B73" i="28" s="1"/>
  <c r="B74" i="28" s="1"/>
  <c r="I115" i="28"/>
  <c r="F7" i="5"/>
  <c r="K7" i="5" s="1"/>
  <c r="F10" i="5"/>
  <c r="AS17" i="5" l="1"/>
  <c r="AC17" i="5"/>
  <c r="AK17" i="5"/>
  <c r="W10" i="5"/>
  <c r="AG16" i="5"/>
  <c r="G62" i="28"/>
  <c r="H62" i="28" s="1"/>
  <c r="H17" i="5"/>
  <c r="B18" i="5"/>
  <c r="U17" i="5"/>
  <c r="N17" i="5"/>
  <c r="B75" i="28"/>
  <c r="D101" i="28"/>
  <c r="J27" i="5"/>
  <c r="I43" i="5"/>
  <c r="AK18" i="5" l="1"/>
  <c r="AS18" i="5"/>
  <c r="AC18" i="5"/>
  <c r="AG17" i="5"/>
  <c r="H18" i="5"/>
  <c r="B19" i="5"/>
  <c r="U18" i="5"/>
  <c r="N18" i="5"/>
  <c r="B76" i="28"/>
  <c r="N142" i="28"/>
  <c r="AC19" i="5" l="1"/>
  <c r="AS19" i="5"/>
  <c r="AK19" i="5"/>
  <c r="AG18" i="5"/>
  <c r="H19" i="5"/>
  <c r="B20" i="5"/>
  <c r="U19" i="5"/>
  <c r="N19" i="5"/>
  <c r="B77" i="28"/>
  <c r="N143" i="28"/>
  <c r="AS20" i="5" l="1"/>
  <c r="AC20" i="5"/>
  <c r="AK20" i="5"/>
  <c r="AG19" i="5"/>
  <c r="H20" i="5"/>
  <c r="B21" i="5"/>
  <c r="U20" i="5"/>
  <c r="N20" i="5"/>
  <c r="B78" i="28"/>
  <c r="N144" i="28"/>
  <c r="AS21" i="5" l="1"/>
  <c r="AC21" i="5"/>
  <c r="AK21" i="5"/>
  <c r="AG20" i="5"/>
  <c r="H21" i="5"/>
  <c r="B22" i="5"/>
  <c r="U21" i="5"/>
  <c r="N21" i="5"/>
  <c r="B79" i="28"/>
  <c r="N145" i="28"/>
  <c r="B23" i="5" l="1"/>
  <c r="AK22" i="5"/>
  <c r="AC22" i="5"/>
  <c r="AS22" i="5"/>
  <c r="AG21" i="5"/>
  <c r="B24" i="5"/>
  <c r="H23" i="5"/>
  <c r="U23" i="5"/>
  <c r="N23" i="5"/>
  <c r="H22" i="5"/>
  <c r="U22" i="5"/>
  <c r="N22" i="5"/>
  <c r="B80" i="28"/>
  <c r="N146" i="28"/>
  <c r="AK24" i="5" l="1"/>
  <c r="AS24" i="5"/>
  <c r="AC24" i="5"/>
  <c r="AS23" i="5"/>
  <c r="AK23" i="5"/>
  <c r="AC23" i="5"/>
  <c r="AG22" i="5"/>
  <c r="AG23" i="5"/>
  <c r="B25" i="5"/>
  <c r="N24" i="5"/>
  <c r="U24" i="5"/>
  <c r="H24" i="5"/>
  <c r="B81" i="28"/>
  <c r="N147" i="28"/>
  <c r="B28" i="5" l="1"/>
  <c r="AS25" i="5"/>
  <c r="AC25" i="5"/>
  <c r="AK25" i="5"/>
  <c r="AG24" i="5"/>
  <c r="U25" i="5"/>
  <c r="V45" i="5" s="1"/>
  <c r="N25" i="5"/>
  <c r="H25" i="5"/>
  <c r="I45" i="5" s="1"/>
  <c r="B29" i="5"/>
  <c r="N28" i="5"/>
  <c r="U28" i="5"/>
  <c r="B82" i="28"/>
  <c r="AC29" i="5" l="1"/>
  <c r="AS29" i="5"/>
  <c r="AK29" i="5"/>
  <c r="H28" i="5"/>
  <c r="AK28" i="5"/>
  <c r="AS28" i="5"/>
  <c r="AC28" i="5"/>
  <c r="AG25" i="5"/>
  <c r="AG28" i="5"/>
  <c r="N29" i="5"/>
  <c r="U29" i="5"/>
  <c r="B30" i="5"/>
  <c r="H29" i="5"/>
  <c r="B83" i="28"/>
  <c r="AS30" i="5" l="1"/>
  <c r="AC30" i="5"/>
  <c r="AK30" i="5"/>
  <c r="AG29" i="5"/>
  <c r="N30" i="5"/>
  <c r="U30" i="5"/>
  <c r="B31" i="5"/>
  <c r="H30" i="5"/>
  <c r="B84" i="28"/>
  <c r="AS31" i="5" l="1"/>
  <c r="AC31" i="5"/>
  <c r="AK31" i="5"/>
  <c r="AG30" i="5"/>
  <c r="B32" i="5"/>
  <c r="H31" i="5"/>
  <c r="U31" i="5"/>
  <c r="N31" i="5"/>
  <c r="B85" i="28"/>
  <c r="AK32" i="5" l="1"/>
  <c r="AC32" i="5"/>
  <c r="AS32" i="5"/>
  <c r="AG31" i="5"/>
  <c r="U32" i="5"/>
  <c r="H32" i="5"/>
  <c r="N32" i="5"/>
  <c r="B33" i="5"/>
  <c r="B86" i="28"/>
  <c r="AS33" i="5" l="1"/>
  <c r="AC33" i="5"/>
  <c r="AK33" i="5"/>
  <c r="AG32" i="5"/>
  <c r="N33" i="5"/>
  <c r="H33" i="5"/>
  <c r="U33" i="5"/>
  <c r="B34" i="5"/>
  <c r="B87" i="28"/>
  <c r="B88" i="28" s="1"/>
  <c r="AK34" i="5" l="1"/>
  <c r="AS34" i="5"/>
  <c r="AC34" i="5"/>
  <c r="AG33" i="5"/>
  <c r="B35" i="5"/>
  <c r="N34" i="5"/>
  <c r="U34" i="5"/>
  <c r="H34" i="5"/>
  <c r="AS35" i="5" l="1"/>
  <c r="AC35" i="5"/>
  <c r="AK35" i="5"/>
  <c r="AG34" i="5"/>
  <c r="B36" i="5"/>
  <c r="U35" i="5"/>
  <c r="H35" i="5"/>
  <c r="N35" i="5"/>
  <c r="B37" i="5" l="1"/>
  <c r="AK36" i="5"/>
  <c r="AC36" i="5"/>
  <c r="AS36" i="5"/>
  <c r="AG35" i="5"/>
  <c r="B38" i="5" l="1"/>
  <c r="AS37" i="5"/>
  <c r="AC37" i="5"/>
  <c r="AK37" i="5"/>
  <c r="AS38" i="5" l="1"/>
  <c r="AC38" i="5"/>
  <c r="AK38" i="5"/>
  <c r="B39" i="5"/>
  <c r="AS39" i="5" l="1"/>
  <c r="AC39" i="5"/>
  <c r="AK39" i="5"/>
  <c r="N36" i="5"/>
  <c r="U36" i="5"/>
  <c r="H36" i="5"/>
  <c r="AG36" i="5" l="1"/>
  <c r="H38" i="5"/>
  <c r="U38" i="5"/>
  <c r="N38" i="5"/>
  <c r="N37" i="5"/>
  <c r="U37" i="5"/>
  <c r="H37" i="5"/>
  <c r="AG37" i="5" l="1"/>
  <c r="AG38" i="5"/>
  <c r="U39" i="5"/>
  <c r="H39" i="5"/>
  <c r="N39" i="5"/>
  <c r="AG39" i="5" l="1"/>
  <c r="A66" i="17" l="1"/>
  <c r="A67" i="17" l="1"/>
  <c r="H76" i="17" l="1"/>
  <c r="H77" i="17"/>
  <c r="H78" i="17"/>
  <c r="F20" i="36" l="1"/>
  <c r="F19" i="36"/>
  <c r="F18" i="36"/>
  <c r="L76" i="17"/>
  <c r="D76" i="17"/>
  <c r="L23" i="5" l="1"/>
  <c r="E18" i="36"/>
  <c r="L77" i="17"/>
  <c r="D77" i="17"/>
  <c r="L24" i="5" l="1"/>
  <c r="E19" i="36"/>
  <c r="L78" i="17"/>
  <c r="D78" i="17"/>
  <c r="L25" i="5" l="1"/>
  <c r="E20" i="36"/>
  <c r="C35" i="34" l="1"/>
  <c r="C34" i="34" l="1"/>
  <c r="C36" i="34" l="1"/>
  <c r="D11" i="28" l="1"/>
  <c r="D12" i="28" s="1"/>
  <c r="D13" i="28" s="1"/>
  <c r="D14" i="28" s="1"/>
  <c r="D15" i="28" s="1"/>
  <c r="D16" i="28" s="1"/>
  <c r="D17" i="28" s="1"/>
  <c r="D18" i="28" s="1"/>
  <c r="D19" i="28" s="1"/>
  <c r="D20" i="28" s="1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D31" i="28" s="1"/>
  <c r="D32" i="28" s="1"/>
  <c r="D33" i="28" s="1"/>
  <c r="E11" i="28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E34" i="28" s="1"/>
  <c r="E35" i="28" s="1"/>
  <c r="E36" i="28" s="1"/>
  <c r="F11" i="28"/>
  <c r="E63" i="28"/>
  <c r="E64" i="28" s="1"/>
  <c r="E65" i="28" s="1"/>
  <c r="E66" i="28" s="1"/>
  <c r="E67" i="28" s="1"/>
  <c r="E68" i="28" s="1"/>
  <c r="E69" i="28" s="1"/>
  <c r="E70" i="28" s="1"/>
  <c r="E71" i="28" s="1"/>
  <c r="E72" i="28" s="1"/>
  <c r="E73" i="28" s="1"/>
  <c r="E74" i="28" s="1"/>
  <c r="E75" i="28" s="1"/>
  <c r="E76" i="28" s="1"/>
  <c r="E77" i="28" s="1"/>
  <c r="E78" i="28" s="1"/>
  <c r="E79" i="28" s="1"/>
  <c r="E80" i="28" s="1"/>
  <c r="E81" i="28" s="1"/>
  <c r="E82" i="28" s="1"/>
  <c r="E83" i="28" s="1"/>
  <c r="E84" i="28" s="1"/>
  <c r="E85" i="28" s="1"/>
  <c r="E86" i="28" s="1"/>
  <c r="E87" i="28" s="1"/>
  <c r="E88" i="28" s="1"/>
  <c r="F63" i="28"/>
  <c r="D63" i="28"/>
  <c r="D64" i="28" s="1"/>
  <c r="D65" i="28" l="1"/>
  <c r="F12" i="28"/>
  <c r="G11" i="28"/>
  <c r="H11" i="28" s="1"/>
  <c r="F64" i="28"/>
  <c r="G63" i="28"/>
  <c r="H63" i="28" s="1"/>
  <c r="D34" i="28"/>
  <c r="D35" i="28" l="1"/>
  <c r="D36" i="28" s="1"/>
  <c r="F13" i="28"/>
  <c r="G12" i="28"/>
  <c r="H12" i="28" s="1"/>
  <c r="F65" i="28"/>
  <c r="G64" i="28"/>
  <c r="H64" i="28" s="1"/>
  <c r="D66" i="28"/>
  <c r="F14" i="28" l="1"/>
  <c r="G13" i="28"/>
  <c r="H13" i="28" s="1"/>
  <c r="D67" i="28"/>
  <c r="D68" i="28" s="1"/>
  <c r="D69" i="28" s="1"/>
  <c r="D70" i="28" s="1"/>
  <c r="D71" i="28" s="1"/>
  <c r="D72" i="28" s="1"/>
  <c r="D73" i="28" s="1"/>
  <c r="D74" i="28" s="1"/>
  <c r="D75" i="28" s="1"/>
  <c r="D76" i="28" s="1"/>
  <c r="D77" i="28" s="1"/>
  <c r="D78" i="28" s="1"/>
  <c r="D79" i="28" s="1"/>
  <c r="D80" i="28" s="1"/>
  <c r="D81" i="28" s="1"/>
  <c r="D82" i="28" s="1"/>
  <c r="D83" i="28" s="1"/>
  <c r="D84" i="28" s="1"/>
  <c r="D85" i="28" s="1"/>
  <c r="D86" i="28" s="1"/>
  <c r="D87" i="28" s="1"/>
  <c r="D88" i="28" s="1"/>
  <c r="F66" i="28"/>
  <c r="G65" i="28"/>
  <c r="H65" i="28" s="1"/>
  <c r="F67" i="28" l="1"/>
  <c r="G66" i="28"/>
  <c r="H66" i="28" s="1"/>
  <c r="F15" i="28"/>
  <c r="G14" i="28"/>
  <c r="H14" i="28" s="1"/>
  <c r="F16" i="28" l="1"/>
  <c r="G15" i="28"/>
  <c r="H15" i="28" s="1"/>
  <c r="F68" i="28"/>
  <c r="G67" i="28"/>
  <c r="H67" i="28" s="1"/>
  <c r="F17" i="28" l="1"/>
  <c r="G16" i="28"/>
  <c r="H16" i="28" s="1"/>
  <c r="F69" i="28"/>
  <c r="G68" i="28"/>
  <c r="H68" i="28" s="1"/>
  <c r="F70" i="28" l="1"/>
  <c r="G69" i="28"/>
  <c r="H69" i="28" s="1"/>
  <c r="F18" i="28"/>
  <c r="G17" i="28"/>
  <c r="H17" i="28" s="1"/>
  <c r="F19" i="28" l="1"/>
  <c r="G18" i="28"/>
  <c r="H18" i="28" s="1"/>
  <c r="F71" i="28"/>
  <c r="G70" i="28"/>
  <c r="H70" i="28" s="1"/>
  <c r="F20" i="28" l="1"/>
  <c r="G19" i="28"/>
  <c r="H19" i="28" s="1"/>
  <c r="F72" i="28"/>
  <c r="G71" i="28"/>
  <c r="H71" i="28" s="1"/>
  <c r="F73" i="28" l="1"/>
  <c r="G72" i="28"/>
  <c r="H72" i="28" s="1"/>
  <c r="F21" i="28"/>
  <c r="G20" i="28"/>
  <c r="H20" i="28" s="1"/>
  <c r="F74" i="28" l="1"/>
  <c r="G73" i="28"/>
  <c r="H73" i="28" s="1"/>
  <c r="F22" i="28"/>
  <c r="G21" i="28"/>
  <c r="H21" i="28" s="1"/>
  <c r="F23" i="28" l="1"/>
  <c r="G22" i="28"/>
  <c r="H22" i="28" s="1"/>
  <c r="F75" i="28"/>
  <c r="G74" i="28"/>
  <c r="H74" i="28" s="1"/>
  <c r="V23" i="5" l="1"/>
  <c r="O23" i="5"/>
  <c r="F24" i="28"/>
  <c r="G23" i="28"/>
  <c r="H23" i="28" s="1"/>
  <c r="F76" i="28"/>
  <c r="G75" i="28"/>
  <c r="H75" i="28" s="1"/>
  <c r="W23" i="5" l="1"/>
  <c r="D56" i="42"/>
  <c r="K56" i="42"/>
  <c r="J56" i="42"/>
  <c r="M56" i="42"/>
  <c r="C56" i="42"/>
  <c r="L56" i="42"/>
  <c r="H56" i="42"/>
  <c r="I56" i="42"/>
  <c r="E56" i="42"/>
  <c r="L56" i="41"/>
  <c r="J56" i="41"/>
  <c r="C56" i="41"/>
  <c r="H56" i="41"/>
  <c r="M56" i="41"/>
  <c r="I56" i="41"/>
  <c r="E56" i="41"/>
  <c r="D56" i="41"/>
  <c r="K56" i="41"/>
  <c r="F77" i="28"/>
  <c r="G76" i="28"/>
  <c r="H76" i="28" s="1"/>
  <c r="F25" i="28"/>
  <c r="G24" i="28"/>
  <c r="H24" i="28" s="1"/>
  <c r="V24" i="5"/>
  <c r="O24" i="5"/>
  <c r="F56" i="41"/>
  <c r="F56" i="42"/>
  <c r="AT23" i="5"/>
  <c r="AL23" i="5" l="1"/>
  <c r="K56" i="17"/>
  <c r="L56" i="17"/>
  <c r="H56" i="17"/>
  <c r="J56" i="17"/>
  <c r="G56" i="17"/>
  <c r="I56" i="17"/>
  <c r="D56" i="17"/>
  <c r="C56" i="17"/>
  <c r="E56" i="17"/>
  <c r="F56" i="17"/>
  <c r="M56" i="17"/>
  <c r="W24" i="5"/>
  <c r="M57" i="42"/>
  <c r="L57" i="42"/>
  <c r="D57" i="42"/>
  <c r="H57" i="42"/>
  <c r="F57" i="42"/>
  <c r="C57" i="42"/>
  <c r="E57" i="42"/>
  <c r="J57" i="42"/>
  <c r="E57" i="41"/>
  <c r="I57" i="41"/>
  <c r="M57" i="41"/>
  <c r="L57" i="41"/>
  <c r="C57" i="41"/>
  <c r="F57" i="41"/>
  <c r="D57" i="41"/>
  <c r="K57" i="41"/>
  <c r="H57" i="41"/>
  <c r="J57" i="41"/>
  <c r="B56" i="17"/>
  <c r="G76" i="41"/>
  <c r="D18" i="44" s="1"/>
  <c r="G56" i="41"/>
  <c r="I76" i="41" s="1"/>
  <c r="F78" i="28"/>
  <c r="G77" i="28"/>
  <c r="H77" i="28" s="1"/>
  <c r="B56" i="42"/>
  <c r="K76" i="42"/>
  <c r="C76" i="42"/>
  <c r="C18" i="45" s="1"/>
  <c r="AA18" i="45" s="1"/>
  <c r="F26" i="28"/>
  <c r="G25" i="28"/>
  <c r="H25" i="28" s="1"/>
  <c r="D28" i="5" s="1"/>
  <c r="B56" i="41"/>
  <c r="K76" i="41"/>
  <c r="C76" i="41"/>
  <c r="C18" i="44" s="1"/>
  <c r="AA18" i="44" s="1"/>
  <c r="I57" i="42"/>
  <c r="G56" i="42"/>
  <c r="I76" i="42" s="1"/>
  <c r="G76" i="42"/>
  <c r="D18" i="45" s="1"/>
  <c r="L22" i="55" s="1"/>
  <c r="N22" i="55" s="1"/>
  <c r="V25" i="5"/>
  <c r="O25" i="5"/>
  <c r="I22" i="55" l="1"/>
  <c r="K22" i="55" s="1"/>
  <c r="AT24" i="5"/>
  <c r="I57" i="17"/>
  <c r="F57" i="17"/>
  <c r="D57" i="17"/>
  <c r="M57" i="17"/>
  <c r="J57" i="17"/>
  <c r="AL24" i="5"/>
  <c r="C76" i="17"/>
  <c r="C18" i="36" s="1"/>
  <c r="K76" i="17"/>
  <c r="I76" i="17"/>
  <c r="G76" i="17"/>
  <c r="D18" i="36" s="1"/>
  <c r="C22" i="55" s="1"/>
  <c r="E22" i="55" s="1"/>
  <c r="K57" i="42"/>
  <c r="B57" i="17"/>
  <c r="C57" i="17"/>
  <c r="E57" i="17"/>
  <c r="G57" i="17"/>
  <c r="H57" i="17"/>
  <c r="K57" i="17"/>
  <c r="L57" i="17"/>
  <c r="W25" i="5"/>
  <c r="D58" i="42"/>
  <c r="J58" i="42"/>
  <c r="F58" i="42"/>
  <c r="L58" i="42"/>
  <c r="I58" i="42"/>
  <c r="E58" i="42"/>
  <c r="C58" i="42"/>
  <c r="K58" i="42"/>
  <c r="H58" i="41"/>
  <c r="C58" i="41"/>
  <c r="D58" i="41"/>
  <c r="J58" i="41"/>
  <c r="K58" i="41"/>
  <c r="M58" i="41"/>
  <c r="L58" i="41"/>
  <c r="F58" i="41"/>
  <c r="E58" i="41"/>
  <c r="I58" i="41"/>
  <c r="AD18" i="44"/>
  <c r="AD18" i="45"/>
  <c r="C77" i="41"/>
  <c r="C19" i="44" s="1"/>
  <c r="AA19" i="44" s="1"/>
  <c r="K77" i="41"/>
  <c r="B57" i="41"/>
  <c r="M76" i="42"/>
  <c r="E76" i="42"/>
  <c r="E76" i="41"/>
  <c r="M76" i="41"/>
  <c r="F27" i="28"/>
  <c r="G26" i="28"/>
  <c r="H26" i="28" s="1"/>
  <c r="D29" i="5" s="1"/>
  <c r="E76" i="17"/>
  <c r="M76" i="17"/>
  <c r="F79" i="28"/>
  <c r="G78" i="28"/>
  <c r="H78" i="28" s="1"/>
  <c r="K77" i="42"/>
  <c r="B57" i="42"/>
  <c r="C77" i="42"/>
  <c r="C19" i="45" s="1"/>
  <c r="AA19" i="45" s="1"/>
  <c r="G57" i="42"/>
  <c r="I77" i="42" s="1"/>
  <c r="G77" i="42"/>
  <c r="D19" i="45" s="1"/>
  <c r="L23" i="55" s="1"/>
  <c r="N23" i="55" s="1"/>
  <c r="H58" i="42"/>
  <c r="AT25" i="5"/>
  <c r="G77" i="41"/>
  <c r="D19" i="44" s="1"/>
  <c r="I23" i="55" s="1"/>
  <c r="K23" i="55" s="1"/>
  <c r="G57" i="41"/>
  <c r="I77" i="41" s="1"/>
  <c r="C28" i="5"/>
  <c r="E28" i="5" s="1"/>
  <c r="F28" i="5" s="1"/>
  <c r="K28" i="5" s="1"/>
  <c r="X23" i="5" l="1"/>
  <c r="J58" i="17"/>
  <c r="K58" i="17"/>
  <c r="L58" i="17"/>
  <c r="F58" i="17"/>
  <c r="H58" i="17"/>
  <c r="AL25" i="5"/>
  <c r="I77" i="17"/>
  <c r="K77" i="17"/>
  <c r="G77" i="17"/>
  <c r="D19" i="36" s="1"/>
  <c r="C77" i="17"/>
  <c r="C19" i="36" s="1"/>
  <c r="M58" i="42"/>
  <c r="B58" i="17"/>
  <c r="C58" i="17"/>
  <c r="D58" i="17"/>
  <c r="E58" i="17"/>
  <c r="G58" i="17"/>
  <c r="I58" i="17"/>
  <c r="M58" i="17"/>
  <c r="Y23" i="5"/>
  <c r="P23" i="5"/>
  <c r="AD19" i="44"/>
  <c r="AD19" i="45"/>
  <c r="O28" i="5"/>
  <c r="B58" i="42"/>
  <c r="C78" i="42"/>
  <c r="C20" i="45" s="1"/>
  <c r="AA20" i="45" s="1"/>
  <c r="K78" i="42"/>
  <c r="G58" i="42"/>
  <c r="I78" i="42" s="1"/>
  <c r="G78" i="42"/>
  <c r="D20" i="45" s="1"/>
  <c r="L24" i="55" s="1"/>
  <c r="N24" i="55" s="1"/>
  <c r="V28" i="5"/>
  <c r="W28" i="5" s="1"/>
  <c r="M77" i="41"/>
  <c r="E77" i="41"/>
  <c r="B58" i="41"/>
  <c r="C78" i="41"/>
  <c r="C20" i="44" s="1"/>
  <c r="AA20" i="44" s="1"/>
  <c r="K78" i="41"/>
  <c r="C29" i="5"/>
  <c r="E29" i="5" s="1"/>
  <c r="F29" i="5" s="1"/>
  <c r="K29" i="5" s="1"/>
  <c r="M77" i="17"/>
  <c r="E77" i="17"/>
  <c r="G58" i="41"/>
  <c r="I78" i="41" s="1"/>
  <c r="G78" i="41"/>
  <c r="D20" i="44" s="1"/>
  <c r="F80" i="28"/>
  <c r="G79" i="28"/>
  <c r="H79" i="28" s="1"/>
  <c r="E77" i="42"/>
  <c r="M77" i="42"/>
  <c r="F28" i="28"/>
  <c r="G27" i="28"/>
  <c r="H27" i="28" s="1"/>
  <c r="D30" i="5" s="1"/>
  <c r="I24" i="55" l="1"/>
  <c r="K24" i="55" s="1"/>
  <c r="C23" i="55"/>
  <c r="E23" i="55" s="1"/>
  <c r="AN23" i="5"/>
  <c r="AQ23" i="5" s="1"/>
  <c r="AV23" i="5"/>
  <c r="AY23" i="5" s="1"/>
  <c r="AM23" i="5"/>
  <c r="AP23" i="5" s="1"/>
  <c r="AU23" i="5"/>
  <c r="AX23" i="5" s="1"/>
  <c r="AA23" i="5"/>
  <c r="AF23" i="5"/>
  <c r="AI23" i="5" s="1"/>
  <c r="Z23" i="5"/>
  <c r="AE23" i="5"/>
  <c r="X24" i="5"/>
  <c r="G78" i="17"/>
  <c r="D20" i="36" s="1"/>
  <c r="C24" i="55" s="1"/>
  <c r="E24" i="55" s="1"/>
  <c r="C78" i="17"/>
  <c r="C20" i="36" s="1"/>
  <c r="I78" i="17"/>
  <c r="K78" i="17"/>
  <c r="Q23" i="5"/>
  <c r="S23" i="5"/>
  <c r="R23" i="5"/>
  <c r="P24" i="5"/>
  <c r="Y24" i="5"/>
  <c r="AD20" i="45"/>
  <c r="AD20" i="44"/>
  <c r="O29" i="5"/>
  <c r="V29" i="5"/>
  <c r="W29" i="5" s="1"/>
  <c r="F81" i="28"/>
  <c r="G80" i="28"/>
  <c r="H80" i="28" s="1"/>
  <c r="E78" i="17"/>
  <c r="M78" i="17"/>
  <c r="F29" i="28"/>
  <c r="G28" i="28"/>
  <c r="H28" i="28" s="1"/>
  <c r="D31" i="5" s="1"/>
  <c r="C30" i="5"/>
  <c r="E30" i="5" s="1"/>
  <c r="F30" i="5" s="1"/>
  <c r="K30" i="5" s="1"/>
  <c r="AT28" i="5"/>
  <c r="AL28" i="5"/>
  <c r="M78" i="42"/>
  <c r="E78" i="42"/>
  <c r="M78" i="41"/>
  <c r="E78" i="41"/>
  <c r="AN24" i="5" l="1"/>
  <c r="AQ24" i="5" s="1"/>
  <c r="AV24" i="5"/>
  <c r="AY24" i="5" s="1"/>
  <c r="AM24" i="5"/>
  <c r="AP24" i="5" s="1"/>
  <c r="AU24" i="5"/>
  <c r="AX24" i="5" s="1"/>
  <c r="AA24" i="5"/>
  <c r="AF24" i="5"/>
  <c r="AI24" i="5" s="1"/>
  <c r="Z24" i="5"/>
  <c r="AE24" i="5"/>
  <c r="AL29" i="5"/>
  <c r="X25" i="5"/>
  <c r="P25" i="5"/>
  <c r="Y25" i="5"/>
  <c r="Q24" i="5"/>
  <c r="S24" i="5"/>
  <c r="R24" i="5"/>
  <c r="AT29" i="5"/>
  <c r="C31" i="5"/>
  <c r="E31" i="5" s="1"/>
  <c r="F31" i="5" s="1"/>
  <c r="K31" i="5" s="1"/>
  <c r="O30" i="5"/>
  <c r="F30" i="28"/>
  <c r="G29" i="28"/>
  <c r="H29" i="28" s="1"/>
  <c r="D32" i="5" s="1"/>
  <c r="F82" i="28"/>
  <c r="G81" i="28"/>
  <c r="H81" i="28" s="1"/>
  <c r="V30" i="5"/>
  <c r="W30" i="5" s="1"/>
  <c r="AM25" i="5" l="1"/>
  <c r="AP25" i="5" s="1"/>
  <c r="AU25" i="5"/>
  <c r="AX25" i="5" s="1"/>
  <c r="AN25" i="5"/>
  <c r="AQ25" i="5" s="1"/>
  <c r="AV25" i="5"/>
  <c r="AY25" i="5" s="1"/>
  <c r="Z25" i="5"/>
  <c r="AE25" i="5"/>
  <c r="AA25" i="5"/>
  <c r="AF25" i="5"/>
  <c r="AI25" i="5" s="1"/>
  <c r="S25" i="5"/>
  <c r="Q25" i="5"/>
  <c r="R25" i="5"/>
  <c r="V31" i="5"/>
  <c r="W31" i="5" s="1"/>
  <c r="F31" i="28"/>
  <c r="G30" i="28"/>
  <c r="H30" i="28" s="1"/>
  <c r="D33" i="5" s="1"/>
  <c r="F83" i="28"/>
  <c r="G82" i="28"/>
  <c r="H82" i="28" s="1"/>
  <c r="AL30" i="5"/>
  <c r="AT30" i="5"/>
  <c r="C32" i="5"/>
  <c r="E32" i="5" s="1"/>
  <c r="F32" i="5" s="1"/>
  <c r="K32" i="5" s="1"/>
  <c r="O31" i="5"/>
  <c r="AL31" i="5" l="1"/>
  <c r="AT31" i="5"/>
  <c r="V32" i="5"/>
  <c r="W32" i="5" s="1"/>
  <c r="F32" i="28"/>
  <c r="G31" i="28"/>
  <c r="H31" i="28" s="1"/>
  <c r="D34" i="5" s="1"/>
  <c r="C33" i="5"/>
  <c r="E33" i="5" s="1"/>
  <c r="F33" i="5" s="1"/>
  <c r="K33" i="5" s="1"/>
  <c r="O32" i="5"/>
  <c r="F84" i="28"/>
  <c r="G83" i="28"/>
  <c r="H83" i="28" s="1"/>
  <c r="F33" i="28" l="1"/>
  <c r="G32" i="28"/>
  <c r="H32" i="28" s="1"/>
  <c r="D35" i="5" s="1"/>
  <c r="AT32" i="5"/>
  <c r="AL32" i="5"/>
  <c r="V33" i="5"/>
  <c r="W33" i="5" s="1"/>
  <c r="C34" i="5"/>
  <c r="E34" i="5" s="1"/>
  <c r="F34" i="5" s="1"/>
  <c r="K34" i="5" s="1"/>
  <c r="F85" i="28"/>
  <c r="G84" i="28"/>
  <c r="H84" i="28" s="1"/>
  <c r="O33" i="5"/>
  <c r="V34" i="5" l="1"/>
  <c r="W34" i="5" s="1"/>
  <c r="O34" i="5"/>
  <c r="AL33" i="5"/>
  <c r="AT33" i="5"/>
  <c r="F86" i="28"/>
  <c r="G85" i="28"/>
  <c r="H85" i="28" s="1"/>
  <c r="F34" i="28"/>
  <c r="G33" i="28"/>
  <c r="H33" i="28" s="1"/>
  <c r="D36" i="5" s="1"/>
  <c r="C35" i="5"/>
  <c r="E35" i="5" s="1"/>
  <c r="F35" i="5" s="1"/>
  <c r="K35" i="5" s="1"/>
  <c r="AL34" i="5" l="1"/>
  <c r="AT34" i="5"/>
  <c r="C36" i="5"/>
  <c r="E36" i="5" s="1"/>
  <c r="F36" i="5" s="1"/>
  <c r="K36" i="5" s="1"/>
  <c r="F35" i="28"/>
  <c r="G34" i="28"/>
  <c r="H34" i="28" s="1"/>
  <c r="D37" i="5" s="1"/>
  <c r="O35" i="5"/>
  <c r="F87" i="28"/>
  <c r="G86" i="28"/>
  <c r="H86" i="28" s="1"/>
  <c r="V35" i="5"/>
  <c r="W35" i="5" s="1"/>
  <c r="V36" i="5" l="1"/>
  <c r="W36" i="5" s="1"/>
  <c r="AL35" i="5"/>
  <c r="AT35" i="5"/>
  <c r="F88" i="28"/>
  <c r="G88" i="28" s="1"/>
  <c r="H88" i="28" s="1"/>
  <c r="G87" i="28"/>
  <c r="H87" i="28" s="1"/>
  <c r="C37" i="5"/>
  <c r="E37" i="5" s="1"/>
  <c r="F37" i="5" s="1"/>
  <c r="K37" i="5" s="1"/>
  <c r="O36" i="5"/>
  <c r="F36" i="28"/>
  <c r="G36" i="28" s="1"/>
  <c r="H36" i="28" s="1"/>
  <c r="D39" i="5" s="1"/>
  <c r="G35" i="28"/>
  <c r="H35" i="28" s="1"/>
  <c r="D38" i="5" s="1"/>
  <c r="AT36" i="5" l="1"/>
  <c r="AL36" i="5"/>
  <c r="V37" i="5"/>
  <c r="W37" i="5" s="1"/>
  <c r="C39" i="5"/>
  <c r="E39" i="5" s="1"/>
  <c r="F39" i="5" s="1"/>
  <c r="K39" i="5" s="1"/>
  <c r="C38" i="5"/>
  <c r="E38" i="5" s="1"/>
  <c r="F38" i="5" s="1"/>
  <c r="K38" i="5" s="1"/>
  <c r="O37" i="5"/>
  <c r="V38" i="5" l="1"/>
  <c r="W38" i="5" s="1"/>
  <c r="V39" i="5"/>
  <c r="W39" i="5" s="1"/>
  <c r="O39" i="5"/>
  <c r="AT37" i="5"/>
  <c r="AL37" i="5"/>
  <c r="O38" i="5"/>
  <c r="AL39" i="5" l="1"/>
  <c r="AL38" i="5"/>
  <c r="AT38" i="5"/>
  <c r="AT39" i="5"/>
  <c r="C25" i="34" l="1"/>
  <c r="V14" i="5" l="1"/>
  <c r="O14" i="5"/>
  <c r="W14" i="5" l="1"/>
  <c r="AT14" i="5" l="1"/>
  <c r="AL14" i="5"/>
  <c r="C24" i="34"/>
  <c r="E24" i="34"/>
  <c r="V13" i="5" l="1"/>
  <c r="O13" i="5"/>
  <c r="W13" i="5" l="1"/>
  <c r="C26" i="34"/>
  <c r="AT13" i="5" l="1"/>
  <c r="AL13" i="5"/>
  <c r="O15" i="5"/>
  <c r="V15" i="5"/>
  <c r="W15" i="5" l="1"/>
  <c r="AL15" i="5" l="1"/>
  <c r="AT15" i="5"/>
  <c r="C27" i="34"/>
  <c r="V16" i="5" l="1"/>
  <c r="O16" i="5"/>
  <c r="W16" i="5" l="1"/>
  <c r="AT16" i="5" l="1"/>
  <c r="AL16" i="5"/>
  <c r="C28" i="34"/>
  <c r="O17" i="5" l="1"/>
  <c r="V17" i="5"/>
  <c r="W17" i="5" l="1"/>
  <c r="AL17" i="5" l="1"/>
  <c r="AT17" i="5"/>
  <c r="C29" i="34"/>
  <c r="V18" i="5" l="1"/>
  <c r="O18" i="5"/>
  <c r="W18" i="5" l="1"/>
  <c r="AL18" i="5" l="1"/>
  <c r="AT18" i="5"/>
  <c r="C30" i="34"/>
  <c r="V19" i="5" l="1"/>
  <c r="O19" i="5"/>
  <c r="W19" i="5" l="1"/>
  <c r="AL19" i="5" l="1"/>
  <c r="AT19" i="5"/>
  <c r="C31" i="34"/>
  <c r="O20" i="5" l="1"/>
  <c r="V20" i="5"/>
  <c r="W20" i="5" l="1"/>
  <c r="AT20" i="5" l="1"/>
  <c r="AL20" i="5"/>
  <c r="C32" i="34"/>
  <c r="O21" i="5" l="1"/>
  <c r="V21" i="5"/>
  <c r="W21" i="5" l="1"/>
  <c r="AT21" i="5" l="1"/>
  <c r="AL21" i="5"/>
  <c r="C33" i="34"/>
  <c r="O22" i="5" l="1"/>
  <c r="V22" i="5"/>
  <c r="W22" i="5" l="1"/>
  <c r="AL22" i="5" l="1"/>
  <c r="AT22" i="5"/>
  <c r="I86" i="28"/>
  <c r="J86" i="28" s="1"/>
  <c r="K86" i="28" s="1"/>
  <c r="I37" i="5"/>
  <c r="J37" i="5" s="1"/>
  <c r="L37" i="5" s="1"/>
  <c r="I81" i="28"/>
  <c r="J81" i="28" s="1"/>
  <c r="K81" i="28" s="1"/>
  <c r="I32" i="5"/>
  <c r="J32" i="5" s="1"/>
  <c r="L32" i="5" s="1"/>
  <c r="I82" i="28"/>
  <c r="J82" i="28" s="1"/>
  <c r="K82" i="28" s="1"/>
  <c r="I33" i="5"/>
  <c r="J33" i="5" s="1"/>
  <c r="L33" i="5" s="1"/>
  <c r="I79" i="28"/>
  <c r="J79" i="28" s="1"/>
  <c r="K79" i="28" s="1"/>
  <c r="I30" i="5"/>
  <c r="J30" i="5" s="1"/>
  <c r="L30" i="5" s="1"/>
  <c r="I87" i="28"/>
  <c r="J87" i="28" s="1"/>
  <c r="K87" i="28" s="1"/>
  <c r="I38" i="5"/>
  <c r="J38" i="5" s="1"/>
  <c r="L38" i="5" s="1"/>
  <c r="I88" i="28"/>
  <c r="J88" i="28" s="1"/>
  <c r="K88" i="28" s="1"/>
  <c r="I39" i="5"/>
  <c r="J39" i="5" s="1"/>
  <c r="L39" i="5" s="1"/>
  <c r="I85" i="28"/>
  <c r="J85" i="28" s="1"/>
  <c r="K85" i="28" s="1"/>
  <c r="I36" i="5"/>
  <c r="J36" i="5" s="1"/>
  <c r="L36" i="5" s="1"/>
  <c r="I77" i="28"/>
  <c r="J77" i="28" s="1"/>
  <c r="K77" i="28" s="1"/>
  <c r="I28" i="5"/>
  <c r="J28" i="5" s="1"/>
  <c r="L28" i="5" s="1"/>
  <c r="I84" i="28"/>
  <c r="J84" i="28" s="1"/>
  <c r="K84" i="28" s="1"/>
  <c r="I35" i="5"/>
  <c r="J35" i="5" s="1"/>
  <c r="L35" i="5" s="1"/>
  <c r="I83" i="28"/>
  <c r="J83" i="28" s="1"/>
  <c r="K83" i="28" s="1"/>
  <c r="I34" i="5"/>
  <c r="J34" i="5" s="1"/>
  <c r="L34" i="5" s="1"/>
  <c r="I80" i="28"/>
  <c r="J80" i="28" s="1"/>
  <c r="K80" i="28" s="1"/>
  <c r="I31" i="5"/>
  <c r="J31" i="5" s="1"/>
  <c r="L31" i="5" s="1"/>
  <c r="I78" i="28"/>
  <c r="J78" i="28" s="1"/>
  <c r="K78" i="28" s="1"/>
  <c r="I29" i="5"/>
  <c r="J29" i="5" s="1"/>
  <c r="L29" i="5" s="1"/>
  <c r="Y34" i="5" l="1"/>
  <c r="AV34" i="5" s="1"/>
  <c r="AY34" i="5" s="1"/>
  <c r="P34" i="5"/>
  <c r="Y28" i="5"/>
  <c r="X28" i="5" s="1"/>
  <c r="P28" i="5"/>
  <c r="Y39" i="5"/>
  <c r="AV39" i="5" s="1"/>
  <c r="AY39" i="5" s="1"/>
  <c r="P39" i="5"/>
  <c r="Y35" i="5"/>
  <c r="AV35" i="5" s="1"/>
  <c r="AY35" i="5" s="1"/>
  <c r="P35" i="5"/>
  <c r="Y36" i="5"/>
  <c r="AV36" i="5" s="1"/>
  <c r="AY36" i="5" s="1"/>
  <c r="P36" i="5"/>
  <c r="Y38" i="5"/>
  <c r="AV38" i="5" s="1"/>
  <c r="AY38" i="5" s="1"/>
  <c r="P38" i="5"/>
  <c r="Y29" i="5"/>
  <c r="AV29" i="5" s="1"/>
  <c r="AY29" i="5" s="1"/>
  <c r="P29" i="5"/>
  <c r="P33" i="5"/>
  <c r="Y33" i="5"/>
  <c r="AV33" i="5" s="1"/>
  <c r="AY33" i="5" s="1"/>
  <c r="Y37" i="5"/>
  <c r="AV37" i="5" s="1"/>
  <c r="AY37" i="5" s="1"/>
  <c r="P37" i="5"/>
  <c r="P31" i="5"/>
  <c r="Y31" i="5"/>
  <c r="AV31" i="5" s="1"/>
  <c r="AY31" i="5" s="1"/>
  <c r="Y30" i="5"/>
  <c r="AV30" i="5" s="1"/>
  <c r="AY30" i="5" s="1"/>
  <c r="P30" i="5"/>
  <c r="P32" i="5"/>
  <c r="Y32" i="5"/>
  <c r="AV32" i="5" s="1"/>
  <c r="AY32" i="5" s="1"/>
  <c r="AM28" i="5" l="1"/>
  <c r="AP28" i="5" s="1"/>
  <c r="AU28" i="5"/>
  <c r="AX28" i="5" s="1"/>
  <c r="AE28" i="5"/>
  <c r="AF35" i="5"/>
  <c r="AI35" i="5" s="1"/>
  <c r="AN35" i="5"/>
  <c r="AQ35" i="5" s="1"/>
  <c r="X35" i="5"/>
  <c r="AU35" i="5" s="1"/>
  <c r="AX35" i="5" s="1"/>
  <c r="AF29" i="5"/>
  <c r="AI29" i="5" s="1"/>
  <c r="AN29" i="5"/>
  <c r="AQ29" i="5" s="1"/>
  <c r="X29" i="5"/>
  <c r="AU29" i="5" s="1"/>
  <c r="AX29" i="5" s="1"/>
  <c r="AF39" i="5"/>
  <c r="AI39" i="5" s="1"/>
  <c r="X39" i="5"/>
  <c r="AU39" i="5" s="1"/>
  <c r="AX39" i="5" s="1"/>
  <c r="AN39" i="5"/>
  <c r="AQ39" i="5" s="1"/>
  <c r="AF34" i="5"/>
  <c r="AI34" i="5" s="1"/>
  <c r="AN34" i="5"/>
  <c r="AQ34" i="5" s="1"/>
  <c r="X34" i="5"/>
  <c r="AU34" i="5" s="1"/>
  <c r="AX34" i="5" s="1"/>
  <c r="Z28" i="5"/>
  <c r="C21" i="36" s="1"/>
  <c r="AF38" i="5"/>
  <c r="AI38" i="5" s="1"/>
  <c r="X38" i="5"/>
  <c r="AU38" i="5" s="1"/>
  <c r="AX38" i="5" s="1"/>
  <c r="AN38" i="5"/>
  <c r="AQ38" i="5" s="1"/>
  <c r="AF30" i="5"/>
  <c r="AI30" i="5" s="1"/>
  <c r="X30" i="5"/>
  <c r="AU30" i="5" s="1"/>
  <c r="AX30" i="5" s="1"/>
  <c r="AN30" i="5"/>
  <c r="AQ30" i="5" s="1"/>
  <c r="AF37" i="5"/>
  <c r="AI37" i="5" s="1"/>
  <c r="AN37" i="5"/>
  <c r="AQ37" i="5" s="1"/>
  <c r="X37" i="5"/>
  <c r="AU37" i="5" s="1"/>
  <c r="AX37" i="5" s="1"/>
  <c r="AF36" i="5"/>
  <c r="AI36" i="5" s="1"/>
  <c r="X36" i="5"/>
  <c r="AU36" i="5" s="1"/>
  <c r="AX36" i="5" s="1"/>
  <c r="AN36" i="5"/>
  <c r="AQ36" i="5" s="1"/>
  <c r="AF32" i="5"/>
  <c r="AI32" i="5" s="1"/>
  <c r="X32" i="5"/>
  <c r="AU32" i="5" s="1"/>
  <c r="AX32" i="5" s="1"/>
  <c r="AN32" i="5"/>
  <c r="AQ32" i="5" s="1"/>
  <c r="AF31" i="5"/>
  <c r="AI31" i="5" s="1"/>
  <c r="X31" i="5"/>
  <c r="AU31" i="5" s="1"/>
  <c r="AX31" i="5" s="1"/>
  <c r="AN31" i="5"/>
  <c r="AQ31" i="5" s="1"/>
  <c r="AF33" i="5"/>
  <c r="AI33" i="5" s="1"/>
  <c r="AN33" i="5"/>
  <c r="AQ33" i="5" s="1"/>
  <c r="X33" i="5"/>
  <c r="AU33" i="5" s="1"/>
  <c r="AX33" i="5" s="1"/>
  <c r="AA28" i="5"/>
  <c r="E21" i="36" s="1"/>
  <c r="AF28" i="5"/>
  <c r="AI28" i="5" s="1"/>
  <c r="AA30" i="5"/>
  <c r="E23" i="36" s="1"/>
  <c r="F23" i="36" s="1"/>
  <c r="S31" i="5"/>
  <c r="R31" i="5"/>
  <c r="Q31" i="5"/>
  <c r="R33" i="5"/>
  <c r="S33" i="5"/>
  <c r="Q33" i="5"/>
  <c r="AA38" i="5"/>
  <c r="E31" i="36" s="1"/>
  <c r="F31" i="36" s="1"/>
  <c r="AA35" i="5"/>
  <c r="E28" i="36" s="1"/>
  <c r="F28" i="36" s="1"/>
  <c r="AV28" i="5"/>
  <c r="AN28" i="5"/>
  <c r="AA32" i="5"/>
  <c r="E25" i="36" s="1"/>
  <c r="F25" i="36" s="1"/>
  <c r="S37" i="5"/>
  <c r="Q37" i="5"/>
  <c r="R37" i="5"/>
  <c r="R29" i="5"/>
  <c r="Q29" i="5"/>
  <c r="S29" i="5"/>
  <c r="Q36" i="5"/>
  <c r="S36" i="5"/>
  <c r="R36" i="5"/>
  <c r="S39" i="5"/>
  <c r="R39" i="5"/>
  <c r="Q39" i="5"/>
  <c r="Q34" i="5"/>
  <c r="S34" i="5"/>
  <c r="R34" i="5"/>
  <c r="S30" i="5"/>
  <c r="Q30" i="5"/>
  <c r="R30" i="5"/>
  <c r="AA31" i="5"/>
  <c r="E24" i="36" s="1"/>
  <c r="F24" i="36" s="1"/>
  <c r="AA33" i="5"/>
  <c r="E26" i="36" s="1"/>
  <c r="F26" i="36" s="1"/>
  <c r="R38" i="5"/>
  <c r="Q38" i="5"/>
  <c r="S38" i="5"/>
  <c r="S35" i="5"/>
  <c r="R35" i="5"/>
  <c r="Q35" i="5"/>
  <c r="S28" i="5"/>
  <c r="Q28" i="5"/>
  <c r="R28" i="5"/>
  <c r="S32" i="5"/>
  <c r="R32" i="5"/>
  <c r="Q32" i="5"/>
  <c r="AA37" i="5"/>
  <c r="E30" i="36" s="1"/>
  <c r="F30" i="36" s="1"/>
  <c r="AA29" i="5"/>
  <c r="E22" i="36" s="1"/>
  <c r="F22" i="36" s="1"/>
  <c r="AA36" i="5"/>
  <c r="E29" i="36" s="1"/>
  <c r="F29" i="36" s="1"/>
  <c r="AA39" i="5"/>
  <c r="E32" i="36" s="1"/>
  <c r="F32" i="36" s="1"/>
  <c r="AA34" i="5"/>
  <c r="E27" i="36" s="1"/>
  <c r="F27" i="36" s="1"/>
  <c r="AM32" i="5" l="1"/>
  <c r="AP32" i="5" s="1"/>
  <c r="AE32" i="5"/>
  <c r="Z32" i="5"/>
  <c r="C25" i="36" s="1"/>
  <c r="D25" i="36" s="1"/>
  <c r="C29" i="55" s="1"/>
  <c r="E29" i="55" s="1"/>
  <c r="AM38" i="5"/>
  <c r="AP38" i="5" s="1"/>
  <c r="AE38" i="5"/>
  <c r="Z38" i="5"/>
  <c r="C31" i="36" s="1"/>
  <c r="D31" i="36" s="1"/>
  <c r="AM35" i="5"/>
  <c r="AP35" i="5" s="1"/>
  <c r="C28" i="44" s="1"/>
  <c r="AA28" i="44" s="1"/>
  <c r="AE35" i="5"/>
  <c r="E28" i="39" s="1"/>
  <c r="F28" i="39" s="1"/>
  <c r="Z35" i="5"/>
  <c r="C28" i="36" s="1"/>
  <c r="D28" i="36" s="1"/>
  <c r="C32" i="55" s="1"/>
  <c r="E32" i="55" s="1"/>
  <c r="AM33" i="5"/>
  <c r="AP33" i="5" s="1"/>
  <c r="Z33" i="5"/>
  <c r="C26" i="36" s="1"/>
  <c r="D26" i="36" s="1"/>
  <c r="C30" i="55" s="1"/>
  <c r="E30" i="55" s="1"/>
  <c r="AE33" i="5"/>
  <c r="E26" i="39" s="1"/>
  <c r="F26" i="39" s="1"/>
  <c r="AM31" i="5"/>
  <c r="AP31" i="5" s="1"/>
  <c r="Z31" i="5"/>
  <c r="C24" i="36" s="1"/>
  <c r="D24" i="36" s="1"/>
  <c r="C28" i="55" s="1"/>
  <c r="E28" i="55" s="1"/>
  <c r="AE31" i="5"/>
  <c r="AM37" i="5"/>
  <c r="AP37" i="5" s="1"/>
  <c r="C30" i="44" s="1"/>
  <c r="AA30" i="44" s="1"/>
  <c r="AE37" i="5"/>
  <c r="Z37" i="5"/>
  <c r="C30" i="36" s="1"/>
  <c r="D30" i="36" s="1"/>
  <c r="AM30" i="5"/>
  <c r="AP30" i="5" s="1"/>
  <c r="Z30" i="5"/>
  <c r="C23" i="36" s="1"/>
  <c r="D23" i="36" s="1"/>
  <c r="C27" i="55" s="1"/>
  <c r="E27" i="55" s="1"/>
  <c r="AE30" i="5"/>
  <c r="AM29" i="5"/>
  <c r="AP29" i="5" s="1"/>
  <c r="C22" i="44" s="1"/>
  <c r="AA22" i="44" s="1"/>
  <c r="Z29" i="5"/>
  <c r="C22" i="36" s="1"/>
  <c r="D22" i="36" s="1"/>
  <c r="C26" i="55" s="1"/>
  <c r="E26" i="55" s="1"/>
  <c r="AE29" i="5"/>
  <c r="E22" i="39" s="1"/>
  <c r="F22" i="39" s="1"/>
  <c r="AM36" i="5"/>
  <c r="AP36" i="5" s="1"/>
  <c r="Z36" i="5"/>
  <c r="C29" i="36" s="1"/>
  <c r="D29" i="36" s="1"/>
  <c r="C33" i="55" s="1"/>
  <c r="E33" i="55" s="1"/>
  <c r="AE36" i="5"/>
  <c r="AM34" i="5"/>
  <c r="AP34" i="5" s="1"/>
  <c r="C27" i="44" s="1"/>
  <c r="AA27" i="44" s="1"/>
  <c r="AE34" i="5"/>
  <c r="Z34" i="5"/>
  <c r="C27" i="36" s="1"/>
  <c r="D27" i="36" s="1"/>
  <c r="C31" i="55" s="1"/>
  <c r="E31" i="55" s="1"/>
  <c r="AM39" i="5"/>
  <c r="AP39" i="5" s="1"/>
  <c r="C32" i="44" s="1"/>
  <c r="AA32" i="44" s="1"/>
  <c r="AE39" i="5"/>
  <c r="E32" i="39" s="1"/>
  <c r="F32" i="39" s="1"/>
  <c r="Z39" i="5"/>
  <c r="C32" i="36" s="1"/>
  <c r="D32" i="36" s="1"/>
  <c r="D21" i="36"/>
  <c r="E23" i="45"/>
  <c r="C23" i="45"/>
  <c r="AA23" i="45" s="1"/>
  <c r="E30" i="45"/>
  <c r="C30" i="45"/>
  <c r="AA30" i="45" s="1"/>
  <c r="E24" i="44"/>
  <c r="C24" i="44"/>
  <c r="AA24" i="44" s="1"/>
  <c r="E25" i="44"/>
  <c r="C25" i="44"/>
  <c r="AA25" i="44" s="1"/>
  <c r="AY28" i="5"/>
  <c r="E21" i="45" s="1"/>
  <c r="AG21" i="45" s="1"/>
  <c r="C21" i="45"/>
  <c r="AA21" i="45" s="1"/>
  <c r="E28" i="45"/>
  <c r="C28" i="45"/>
  <c r="AA28" i="45" s="1"/>
  <c r="E31" i="45"/>
  <c r="C31" i="45"/>
  <c r="AA31" i="45" s="1"/>
  <c r="E23" i="44"/>
  <c r="C23" i="44"/>
  <c r="AA23" i="44" s="1"/>
  <c r="E32" i="44"/>
  <c r="E29" i="44"/>
  <c r="C29" i="44"/>
  <c r="AA29" i="44" s="1"/>
  <c r="E29" i="45"/>
  <c r="C29" i="45"/>
  <c r="AA29" i="45" s="1"/>
  <c r="E22" i="45"/>
  <c r="C22" i="45"/>
  <c r="AA22" i="45" s="1"/>
  <c r="E30" i="44"/>
  <c r="E26" i="45"/>
  <c r="C26" i="45"/>
  <c r="AA26" i="45" s="1"/>
  <c r="E24" i="45"/>
  <c r="C24" i="45"/>
  <c r="AA24" i="45" s="1"/>
  <c r="E24" i="39"/>
  <c r="F24" i="39" s="1"/>
  <c r="E25" i="39"/>
  <c r="F25" i="39" s="1"/>
  <c r="F21" i="36"/>
  <c r="E21" i="39"/>
  <c r="E31" i="39"/>
  <c r="F31" i="39" s="1"/>
  <c r="E27" i="39"/>
  <c r="F27" i="39" s="1"/>
  <c r="E27" i="45"/>
  <c r="C27" i="45"/>
  <c r="AA27" i="45" s="1"/>
  <c r="E29" i="39"/>
  <c r="F29" i="39" s="1"/>
  <c r="E22" i="44"/>
  <c r="E26" i="44"/>
  <c r="C26" i="44"/>
  <c r="AA26" i="44" s="1"/>
  <c r="E31" i="44"/>
  <c r="C31" i="44"/>
  <c r="AA31" i="44" s="1"/>
  <c r="E27" i="44"/>
  <c r="E32" i="45"/>
  <c r="C32" i="45"/>
  <c r="AA32" i="45" s="1"/>
  <c r="E30" i="39"/>
  <c r="F30" i="39" s="1"/>
  <c r="E25" i="45"/>
  <c r="C25" i="45"/>
  <c r="AA25" i="45" s="1"/>
  <c r="AQ28" i="5"/>
  <c r="E21" i="44" s="1"/>
  <c r="AG21" i="44" s="1"/>
  <c r="C21" i="44"/>
  <c r="AA21" i="44" s="1"/>
  <c r="E28" i="44"/>
  <c r="E23" i="39"/>
  <c r="F23" i="39" s="1"/>
  <c r="C25" i="55" l="1"/>
  <c r="E25" i="55" s="1"/>
  <c r="F25" i="45"/>
  <c r="AJ25" i="45" s="1"/>
  <c r="AG25" i="45"/>
  <c r="F26" i="45"/>
  <c r="AJ26" i="45" s="1"/>
  <c r="AG26" i="45"/>
  <c r="F22" i="45"/>
  <c r="AJ22" i="45" s="1"/>
  <c r="AG22" i="45"/>
  <c r="F28" i="45"/>
  <c r="AJ28" i="45" s="1"/>
  <c r="AG28" i="45"/>
  <c r="F30" i="45"/>
  <c r="AJ30" i="45" s="1"/>
  <c r="AG30" i="45"/>
  <c r="F32" i="45"/>
  <c r="AJ32" i="45" s="1"/>
  <c r="AG32" i="45"/>
  <c r="F27" i="45"/>
  <c r="AJ27" i="45" s="1"/>
  <c r="AG27" i="45"/>
  <c r="F24" i="45"/>
  <c r="AJ24" i="45" s="1"/>
  <c r="AG24" i="45"/>
  <c r="F29" i="45"/>
  <c r="AJ29" i="45" s="1"/>
  <c r="AG29" i="45"/>
  <c r="F31" i="45"/>
  <c r="AJ31" i="45" s="1"/>
  <c r="AG31" i="45"/>
  <c r="F23" i="45"/>
  <c r="AJ23" i="45" s="1"/>
  <c r="AG23" i="45"/>
  <c r="F27" i="44"/>
  <c r="AJ27" i="44" s="1"/>
  <c r="AG27" i="44"/>
  <c r="F22" i="44"/>
  <c r="AJ22" i="44" s="1"/>
  <c r="AG22" i="44"/>
  <c r="F23" i="44"/>
  <c r="AJ23" i="44" s="1"/>
  <c r="AG23" i="44"/>
  <c r="F25" i="44"/>
  <c r="AJ25" i="44" s="1"/>
  <c r="AG25" i="44"/>
  <c r="F26" i="44"/>
  <c r="AJ26" i="44" s="1"/>
  <c r="AG26" i="44"/>
  <c r="F31" i="44"/>
  <c r="AJ31" i="44" s="1"/>
  <c r="AG31" i="44"/>
  <c r="F29" i="44"/>
  <c r="AJ29" i="44" s="1"/>
  <c r="AG29" i="44"/>
  <c r="F28" i="44"/>
  <c r="AJ28" i="44" s="1"/>
  <c r="AG28" i="44"/>
  <c r="F30" i="44"/>
  <c r="AJ30" i="44" s="1"/>
  <c r="AG30" i="44"/>
  <c r="F32" i="44"/>
  <c r="AJ32" i="44" s="1"/>
  <c r="AG32" i="44"/>
  <c r="F24" i="44"/>
  <c r="AJ24" i="44" s="1"/>
  <c r="AG24" i="44"/>
  <c r="D24" i="45"/>
  <c r="D31" i="45"/>
  <c r="D23" i="45"/>
  <c r="L27" i="55" s="1"/>
  <c r="N27" i="55" s="1"/>
  <c r="D25" i="45"/>
  <c r="L29" i="55" s="1"/>
  <c r="N29" i="55" s="1"/>
  <c r="D29" i="45"/>
  <c r="L33" i="55" s="1"/>
  <c r="N33" i="55" s="1"/>
  <c r="D32" i="45"/>
  <c r="D27" i="45"/>
  <c r="L31" i="55" s="1"/>
  <c r="N31" i="55" s="1"/>
  <c r="D26" i="45"/>
  <c r="L30" i="55" s="1"/>
  <c r="N30" i="55" s="1"/>
  <c r="D22" i="45"/>
  <c r="L26" i="55" s="1"/>
  <c r="N26" i="55" s="1"/>
  <c r="D28" i="45"/>
  <c r="D30" i="45"/>
  <c r="D28" i="44"/>
  <c r="D27" i="44"/>
  <c r="D22" i="44"/>
  <c r="I26" i="55" s="1"/>
  <c r="K26" i="55" s="1"/>
  <c r="D32" i="44"/>
  <c r="D31" i="44"/>
  <c r="D30" i="44"/>
  <c r="D24" i="44"/>
  <c r="I28" i="55" s="1"/>
  <c r="K28" i="55" s="1"/>
  <c r="D26" i="44"/>
  <c r="I30" i="55" s="1"/>
  <c r="K30" i="55" s="1"/>
  <c r="D29" i="44"/>
  <c r="D23" i="44"/>
  <c r="D25" i="44"/>
  <c r="I29" i="55" s="1"/>
  <c r="K29" i="55" s="1"/>
  <c r="D21" i="45"/>
  <c r="F21" i="45"/>
  <c r="AJ21" i="45" s="1"/>
  <c r="F21" i="44"/>
  <c r="AJ21" i="44" s="1"/>
  <c r="F21" i="39"/>
  <c r="D21" i="44"/>
  <c r="I25" i="55" s="1"/>
  <c r="K25" i="55" s="1"/>
  <c r="L28" i="55" l="1"/>
  <c r="N28" i="55" s="1"/>
  <c r="L32" i="55"/>
  <c r="N32" i="55" s="1"/>
  <c r="L25" i="55"/>
  <c r="N25" i="55" s="1"/>
  <c r="I27" i="55"/>
  <c r="K27" i="55" s="1"/>
  <c r="I31" i="55"/>
  <c r="K31" i="55" s="1"/>
  <c r="I33" i="55"/>
  <c r="K33" i="55" s="1"/>
  <c r="I32" i="55"/>
  <c r="K32" i="55" s="1"/>
  <c r="AD23" i="44"/>
  <c r="AD27" i="44"/>
  <c r="AD29" i="45"/>
  <c r="AD24" i="45"/>
  <c r="AD31" i="44"/>
  <c r="AD26" i="45"/>
  <c r="AD21" i="45"/>
  <c r="AD30" i="45"/>
  <c r="AD27" i="45"/>
  <c r="AD23" i="45"/>
  <c r="AD30" i="44"/>
  <c r="AD22" i="45"/>
  <c r="AD21" i="44"/>
  <c r="AD29" i="44"/>
  <c r="AD28" i="44"/>
  <c r="AD25" i="45"/>
  <c r="AD26" i="44"/>
  <c r="AD32" i="44"/>
  <c r="AD25" i="44"/>
  <c r="AD24" i="44"/>
  <c r="AD22" i="44"/>
  <c r="AD28" i="45"/>
  <c r="AD32" i="45"/>
  <c r="AD31" i="45"/>
  <c r="F49" i="41" l="1"/>
  <c r="F49" i="42"/>
  <c r="F49" i="17"/>
  <c r="D51" i="41"/>
  <c r="D51" i="42"/>
  <c r="D51" i="17"/>
  <c r="F52" i="41"/>
  <c r="F52" i="42"/>
  <c r="F52" i="17"/>
  <c r="H54" i="41"/>
  <c r="H54" i="42"/>
  <c r="H54" i="17"/>
  <c r="D55" i="42"/>
  <c r="D55" i="41"/>
  <c r="D55" i="17"/>
  <c r="H74" i="17"/>
  <c r="F16" i="36" s="1"/>
  <c r="K51" i="42"/>
  <c r="K51" i="41"/>
  <c r="K51" i="17"/>
  <c r="H49" i="42"/>
  <c r="H49" i="41"/>
  <c r="H49" i="17"/>
  <c r="M49" i="42"/>
  <c r="M49" i="41"/>
  <c r="M49" i="17"/>
  <c r="H52" i="42"/>
  <c r="H52" i="41"/>
  <c r="H52" i="17"/>
  <c r="I49" i="42"/>
  <c r="I49" i="41"/>
  <c r="I49" i="17"/>
  <c r="I55" i="42"/>
  <c r="I55" i="41"/>
  <c r="I55" i="17"/>
  <c r="I51" i="41"/>
  <c r="I51" i="42"/>
  <c r="I51" i="17"/>
  <c r="M54" i="41"/>
  <c r="M54" i="42"/>
  <c r="M54" i="17"/>
  <c r="L51" i="42"/>
  <c r="L51" i="41"/>
  <c r="L51" i="17"/>
  <c r="M51" i="41"/>
  <c r="M51" i="42"/>
  <c r="M51" i="17"/>
  <c r="D54" i="42"/>
  <c r="D54" i="41"/>
  <c r="D54" i="17"/>
  <c r="E49" i="41"/>
  <c r="E49" i="42"/>
  <c r="E49" i="17"/>
  <c r="H75" i="17"/>
  <c r="F17" i="36" s="1"/>
  <c r="L54" i="42"/>
  <c r="L54" i="41"/>
  <c r="L54" i="17"/>
  <c r="J51" i="42"/>
  <c r="J51" i="41"/>
  <c r="J51" i="17"/>
  <c r="L55" i="42"/>
  <c r="L55" i="41"/>
  <c r="L55" i="17"/>
  <c r="H69" i="17"/>
  <c r="F11" i="36" s="1"/>
  <c r="F54" i="42"/>
  <c r="F54" i="41"/>
  <c r="F54" i="17"/>
  <c r="L52" i="41"/>
  <c r="L52" i="42"/>
  <c r="L52" i="17"/>
  <c r="F51" i="41"/>
  <c r="F51" i="42"/>
  <c r="F51" i="17"/>
  <c r="H51" i="41"/>
  <c r="H51" i="42"/>
  <c r="H51" i="17"/>
  <c r="J55" i="41"/>
  <c r="J55" i="42"/>
  <c r="J55" i="17"/>
  <c r="C49" i="42"/>
  <c r="C49" i="41"/>
  <c r="C49" i="17"/>
  <c r="J54" i="41"/>
  <c r="J54" i="42"/>
  <c r="J54" i="17"/>
  <c r="H55" i="42"/>
  <c r="H55" i="41"/>
  <c r="H55" i="17"/>
  <c r="L49" i="41"/>
  <c r="L49" i="42"/>
  <c r="L49" i="17"/>
  <c r="D49" i="41"/>
  <c r="D49" i="42"/>
  <c r="D49" i="17"/>
  <c r="K55" i="42"/>
  <c r="K55" i="41"/>
  <c r="K55" i="17"/>
  <c r="E54" i="42"/>
  <c r="E54" i="41"/>
  <c r="E54" i="17"/>
  <c r="H71" i="17"/>
  <c r="F13" i="36" s="1"/>
  <c r="E51" i="42"/>
  <c r="E51" i="41"/>
  <c r="E51" i="17"/>
  <c r="I54" i="41"/>
  <c r="I54" i="42"/>
  <c r="I54" i="17"/>
  <c r="K49" i="42"/>
  <c r="K49" i="41"/>
  <c r="K49" i="17"/>
  <c r="E55" i="41"/>
  <c r="E55" i="42"/>
  <c r="E55" i="17"/>
  <c r="K54" i="41"/>
  <c r="K54" i="42"/>
  <c r="K54" i="17"/>
  <c r="C51" i="42"/>
  <c r="C51" i="41"/>
  <c r="C51" i="17"/>
  <c r="J49" i="41"/>
  <c r="J49" i="42"/>
  <c r="J49" i="17"/>
  <c r="F55" i="41"/>
  <c r="F55" i="42"/>
  <c r="F55" i="17"/>
  <c r="C55" i="42"/>
  <c r="C55" i="41"/>
  <c r="C55" i="17"/>
  <c r="C54" i="42"/>
  <c r="C54" i="41"/>
  <c r="C54" i="17"/>
  <c r="E52" i="41" l="1"/>
  <c r="E52" i="42"/>
  <c r="E52" i="17"/>
  <c r="M55" i="41"/>
  <c r="M55" i="42"/>
  <c r="M55" i="17"/>
  <c r="E50" i="42"/>
  <c r="E50" i="41"/>
  <c r="E50" i="17"/>
  <c r="M50" i="42"/>
  <c r="M50" i="41"/>
  <c r="M50" i="17"/>
  <c r="C50" i="41"/>
  <c r="C50" i="42"/>
  <c r="C50" i="17"/>
  <c r="H69" i="42"/>
  <c r="F11" i="45" s="1"/>
  <c r="AJ11" i="45" s="1"/>
  <c r="H75" i="40"/>
  <c r="F17" i="39" s="1"/>
  <c r="D52" i="41"/>
  <c r="D52" i="42"/>
  <c r="D52" i="17"/>
  <c r="H71" i="40"/>
  <c r="F13" i="39" s="1"/>
  <c r="H50" i="41"/>
  <c r="H50" i="42"/>
  <c r="H50" i="17"/>
  <c r="K50" i="41"/>
  <c r="K50" i="42"/>
  <c r="K50" i="17"/>
  <c r="D50" i="42"/>
  <c r="D50" i="41"/>
  <c r="D50" i="17"/>
  <c r="G69" i="17"/>
  <c r="D11" i="36" s="1"/>
  <c r="G49" i="17"/>
  <c r="I69" i="17" s="1"/>
  <c r="H69" i="40"/>
  <c r="F11" i="39" s="1"/>
  <c r="H75" i="41"/>
  <c r="F17" i="44" s="1"/>
  <c r="AJ17" i="44" s="1"/>
  <c r="H74" i="40"/>
  <c r="F16" i="39" s="1"/>
  <c r="M52" i="41"/>
  <c r="M52" i="42"/>
  <c r="M52" i="17"/>
  <c r="K52" i="42"/>
  <c r="K52" i="41"/>
  <c r="K52" i="17"/>
  <c r="I52" i="41"/>
  <c r="I52" i="42"/>
  <c r="I52" i="17"/>
  <c r="H71" i="41"/>
  <c r="F13" i="44" s="1"/>
  <c r="AJ13" i="44" s="1"/>
  <c r="I50" i="42"/>
  <c r="I50" i="41"/>
  <c r="I50" i="17"/>
  <c r="H70" i="17"/>
  <c r="F12" i="36" s="1"/>
  <c r="G55" i="17"/>
  <c r="I75" i="17" s="1"/>
  <c r="G75" i="17"/>
  <c r="D17" i="36" s="1"/>
  <c r="H75" i="42"/>
  <c r="F17" i="45" s="1"/>
  <c r="AJ17" i="45" s="1"/>
  <c r="H74" i="41"/>
  <c r="F16" i="44" s="1"/>
  <c r="AJ16" i="44" s="1"/>
  <c r="J52" i="42"/>
  <c r="J52" i="41"/>
  <c r="J52" i="17"/>
  <c r="H72" i="17"/>
  <c r="F14" i="36" s="1"/>
  <c r="C52" i="41"/>
  <c r="C52" i="42"/>
  <c r="C52" i="17"/>
  <c r="G51" i="17"/>
  <c r="I71" i="17" s="1"/>
  <c r="G71" i="17"/>
  <c r="D13" i="36" s="1"/>
  <c r="H71" i="42"/>
  <c r="F13" i="45" s="1"/>
  <c r="AJ13" i="45" s="1"/>
  <c r="J50" i="41"/>
  <c r="J50" i="42"/>
  <c r="J50" i="17"/>
  <c r="L50" i="42"/>
  <c r="L50" i="41"/>
  <c r="L50" i="17"/>
  <c r="F50" i="41"/>
  <c r="F50" i="42"/>
  <c r="F50" i="17"/>
  <c r="H69" i="41"/>
  <c r="F11" i="44" s="1"/>
  <c r="AJ11" i="44" s="1"/>
  <c r="G54" i="17"/>
  <c r="I74" i="17" s="1"/>
  <c r="G74" i="17"/>
  <c r="D16" i="36" s="1"/>
  <c r="H74" i="42"/>
  <c r="F16" i="45" s="1"/>
  <c r="AJ16" i="45" s="1"/>
  <c r="E47" i="42" l="1"/>
  <c r="E47" i="41"/>
  <c r="E47" i="17"/>
  <c r="H66" i="17"/>
  <c r="F8" i="36" s="1"/>
  <c r="G71" i="42"/>
  <c r="D13" i="45" s="1"/>
  <c r="G51" i="42"/>
  <c r="I71" i="42" s="1"/>
  <c r="G72" i="17"/>
  <c r="D14" i="36" s="1"/>
  <c r="G52" i="17"/>
  <c r="I72" i="17" s="1"/>
  <c r="G75" i="41"/>
  <c r="D17" i="44" s="1"/>
  <c r="G55" i="41"/>
  <c r="I75" i="41" s="1"/>
  <c r="M46" i="42"/>
  <c r="M46" i="41"/>
  <c r="M46" i="17"/>
  <c r="L74" i="17"/>
  <c r="D74" i="17"/>
  <c r="E16" i="36" s="1"/>
  <c r="D66" i="17"/>
  <c r="E8" i="36" s="1"/>
  <c r="F47" i="42"/>
  <c r="F47" i="41"/>
  <c r="F47" i="17"/>
  <c r="L47" i="42"/>
  <c r="L47" i="41"/>
  <c r="L47" i="17"/>
  <c r="K47" i="42"/>
  <c r="K47" i="41"/>
  <c r="K47" i="17"/>
  <c r="G74" i="41"/>
  <c r="D16" i="44" s="1"/>
  <c r="G54" i="41"/>
  <c r="I74" i="41" s="1"/>
  <c r="H70" i="40"/>
  <c r="F12" i="39" s="1"/>
  <c r="L72" i="17"/>
  <c r="D72" i="17"/>
  <c r="E14" i="36" s="1"/>
  <c r="I47" i="42"/>
  <c r="I47" i="41"/>
  <c r="I47" i="17"/>
  <c r="G71" i="41"/>
  <c r="D13" i="44" s="1"/>
  <c r="G51" i="41"/>
  <c r="I71" i="41" s="1"/>
  <c r="J47" i="41"/>
  <c r="J47" i="42"/>
  <c r="J47" i="17"/>
  <c r="L75" i="17"/>
  <c r="D75" i="17"/>
  <c r="E17" i="36" s="1"/>
  <c r="D47" i="42"/>
  <c r="D47" i="41"/>
  <c r="D47" i="17"/>
  <c r="L69" i="17"/>
  <c r="D69" i="17"/>
  <c r="E11" i="36" s="1"/>
  <c r="L46" i="42"/>
  <c r="L46" i="41"/>
  <c r="L46" i="17"/>
  <c r="G54" i="42"/>
  <c r="I74" i="42" s="1"/>
  <c r="G74" i="42"/>
  <c r="D16" i="45" s="1"/>
  <c r="G49" i="41"/>
  <c r="I69" i="41" s="1"/>
  <c r="G69" i="41"/>
  <c r="D11" i="44" s="1"/>
  <c r="H72" i="40"/>
  <c r="F14" i="39" s="1"/>
  <c r="H70" i="42"/>
  <c r="F12" i="45" s="1"/>
  <c r="AJ12" i="45" s="1"/>
  <c r="G49" i="42"/>
  <c r="I69" i="42" s="1"/>
  <c r="G69" i="42"/>
  <c r="D11" i="45" s="1"/>
  <c r="C47" i="41"/>
  <c r="C47" i="42"/>
  <c r="C47" i="17"/>
  <c r="M48" i="42"/>
  <c r="M48" i="41"/>
  <c r="M48" i="17"/>
  <c r="H72" i="42"/>
  <c r="F14" i="45" s="1"/>
  <c r="AJ14" i="45" s="1"/>
  <c r="L70" i="17"/>
  <c r="D70" i="17"/>
  <c r="E12" i="36" s="1"/>
  <c r="M47" i="42"/>
  <c r="M47" i="41"/>
  <c r="M47" i="17"/>
  <c r="H67" i="17"/>
  <c r="F9" i="36" s="1"/>
  <c r="D71" i="17"/>
  <c r="E13" i="36" s="1"/>
  <c r="L71" i="17"/>
  <c r="J46" i="42"/>
  <c r="J46" i="41"/>
  <c r="J46" i="17"/>
  <c r="I46" i="42"/>
  <c r="I46" i="41"/>
  <c r="I46" i="17"/>
  <c r="H47" i="42"/>
  <c r="H47" i="41"/>
  <c r="H47" i="17"/>
  <c r="H72" i="41"/>
  <c r="F14" i="44" s="1"/>
  <c r="AJ14" i="44" s="1"/>
  <c r="G75" i="42"/>
  <c r="D17" i="45" s="1"/>
  <c r="G55" i="42"/>
  <c r="I75" i="42" s="1"/>
  <c r="G50" i="17"/>
  <c r="I70" i="17" s="1"/>
  <c r="G70" i="17"/>
  <c r="D12" i="36" s="1"/>
  <c r="H70" i="41"/>
  <c r="F12" i="44" s="1"/>
  <c r="AJ12" i="44" s="1"/>
  <c r="L17" i="5" l="1"/>
  <c r="L18" i="5"/>
  <c r="L16" i="5"/>
  <c r="L19" i="5"/>
  <c r="L21" i="5"/>
  <c r="L22" i="5"/>
  <c r="AD11" i="45"/>
  <c r="AD11" i="44"/>
  <c r="AD13" i="44"/>
  <c r="AD17" i="45"/>
  <c r="AD16" i="45"/>
  <c r="AD17" i="44"/>
  <c r="AD13" i="45"/>
  <c r="AD16" i="44"/>
  <c r="E48" i="41"/>
  <c r="E48" i="42"/>
  <c r="E48" i="17"/>
  <c r="L72" i="40"/>
  <c r="D72" i="40"/>
  <c r="E14" i="39" s="1"/>
  <c r="B54" i="17"/>
  <c r="C74" i="17"/>
  <c r="C16" i="36" s="1"/>
  <c r="C20" i="55" s="1"/>
  <c r="E20" i="55" s="1"/>
  <c r="K74" i="17"/>
  <c r="L74" i="41"/>
  <c r="D74" i="41"/>
  <c r="E16" i="44" s="1"/>
  <c r="AG16" i="44" s="1"/>
  <c r="L48" i="41"/>
  <c r="L48" i="42"/>
  <c r="L48" i="17"/>
  <c r="D67" i="17"/>
  <c r="E9" i="36" s="1"/>
  <c r="L67" i="17"/>
  <c r="J48" i="41"/>
  <c r="J48" i="42"/>
  <c r="J48" i="17"/>
  <c r="L71" i="40"/>
  <c r="D71" i="40"/>
  <c r="E13" i="39" s="1"/>
  <c r="H67" i="42"/>
  <c r="F9" i="45" s="1"/>
  <c r="G52" i="42"/>
  <c r="I72" i="42" s="1"/>
  <c r="G72" i="42"/>
  <c r="D14" i="45" s="1"/>
  <c r="K69" i="17"/>
  <c r="B49" i="17"/>
  <c r="C69" i="17"/>
  <c r="C11" i="36" s="1"/>
  <c r="C15" i="55" s="1"/>
  <c r="E15" i="55" s="1"/>
  <c r="L69" i="42"/>
  <c r="D69" i="42"/>
  <c r="E11" i="45" s="1"/>
  <c r="AG11" i="45" s="1"/>
  <c r="D66" i="40"/>
  <c r="E8" i="39" s="1"/>
  <c r="D74" i="42"/>
  <c r="E16" i="45" s="1"/>
  <c r="AG16" i="45" s="1"/>
  <c r="L74" i="42"/>
  <c r="L66" i="41"/>
  <c r="H66" i="41"/>
  <c r="F8" i="44" s="1"/>
  <c r="AJ8" i="44" s="1"/>
  <c r="I48" i="42"/>
  <c r="I48" i="41"/>
  <c r="I48" i="17"/>
  <c r="D70" i="42"/>
  <c r="E12" i="45" s="1"/>
  <c r="AG12" i="45" s="1"/>
  <c r="L70" i="42"/>
  <c r="L69" i="40"/>
  <c r="D69" i="40"/>
  <c r="E11" i="39" s="1"/>
  <c r="D75" i="42"/>
  <c r="E17" i="45" s="1"/>
  <c r="AG17" i="45" s="1"/>
  <c r="L75" i="42"/>
  <c r="K48" i="42"/>
  <c r="K48" i="41"/>
  <c r="K48" i="17"/>
  <c r="G52" i="41"/>
  <c r="I72" i="41" s="1"/>
  <c r="G72" i="41"/>
  <c r="D14" i="44" s="1"/>
  <c r="G47" i="17"/>
  <c r="I67" i="17" s="1"/>
  <c r="G67" i="17"/>
  <c r="D9" i="36" s="1"/>
  <c r="H67" i="41"/>
  <c r="F9" i="44" s="1"/>
  <c r="D70" i="41"/>
  <c r="E12" i="44" s="1"/>
  <c r="AG12" i="44" s="1"/>
  <c r="L70" i="41"/>
  <c r="L69" i="41"/>
  <c r="D69" i="41"/>
  <c r="E11" i="44" s="1"/>
  <c r="AG11" i="44" s="1"/>
  <c r="D75" i="40"/>
  <c r="E17" i="39" s="1"/>
  <c r="L75" i="40"/>
  <c r="L72" i="41"/>
  <c r="D72" i="41"/>
  <c r="E14" i="44" s="1"/>
  <c r="AG14" i="44" s="1"/>
  <c r="D66" i="41"/>
  <c r="E8" i="44" s="1"/>
  <c r="AG8" i="44" s="1"/>
  <c r="H46" i="17"/>
  <c r="G66" i="17"/>
  <c r="D8" i="36" s="1"/>
  <c r="K66" i="17"/>
  <c r="L66" i="40"/>
  <c r="H66" i="40"/>
  <c r="F8" i="39" s="1"/>
  <c r="C48" i="42"/>
  <c r="C48" i="41"/>
  <c r="C48" i="17"/>
  <c r="G70" i="41"/>
  <c r="D12" i="44" s="1"/>
  <c r="G50" i="41"/>
  <c r="I70" i="41" s="1"/>
  <c r="C71" i="17"/>
  <c r="C13" i="36" s="1"/>
  <c r="C17" i="55" s="1"/>
  <c r="E17" i="55" s="1"/>
  <c r="B51" i="17"/>
  <c r="K71" i="17"/>
  <c r="L71" i="42"/>
  <c r="D71" i="42"/>
  <c r="E13" i="45" s="1"/>
  <c r="AG13" i="45" s="1"/>
  <c r="H67" i="40"/>
  <c r="F9" i="39" s="1"/>
  <c r="G70" i="42"/>
  <c r="D12" i="45" s="1"/>
  <c r="G50" i="42"/>
  <c r="I70" i="42" s="1"/>
  <c r="D48" i="41"/>
  <c r="D48" i="42"/>
  <c r="D48" i="17"/>
  <c r="F48" i="41"/>
  <c r="F48" i="42"/>
  <c r="F48" i="17"/>
  <c r="H68" i="17"/>
  <c r="F10" i="36" s="1"/>
  <c r="H48" i="42"/>
  <c r="H48" i="41"/>
  <c r="H48" i="17"/>
  <c r="D71" i="41"/>
  <c r="E13" i="44" s="1"/>
  <c r="AG13" i="44" s="1"/>
  <c r="L71" i="41"/>
  <c r="K70" i="17"/>
  <c r="B50" i="17"/>
  <c r="C70" i="17"/>
  <c r="C12" i="36" s="1"/>
  <c r="C16" i="55" s="1"/>
  <c r="E16" i="55" s="1"/>
  <c r="L70" i="40"/>
  <c r="D70" i="40"/>
  <c r="E12" i="39" s="1"/>
  <c r="B55" i="17"/>
  <c r="K75" i="17"/>
  <c r="C75" i="17"/>
  <c r="C17" i="36" s="1"/>
  <c r="C21" i="55" s="1"/>
  <c r="E21" i="55" s="1"/>
  <c r="L75" i="41"/>
  <c r="D75" i="41"/>
  <c r="E17" i="44" s="1"/>
  <c r="AG17" i="44" s="1"/>
  <c r="B52" i="17"/>
  <c r="C72" i="17"/>
  <c r="C14" i="36" s="1"/>
  <c r="C18" i="55" s="1"/>
  <c r="E18" i="55" s="1"/>
  <c r="K72" i="17"/>
  <c r="L72" i="42"/>
  <c r="D72" i="42"/>
  <c r="E14" i="45" s="1"/>
  <c r="AG14" i="45" s="1"/>
  <c r="K46" i="17"/>
  <c r="E66" i="17" s="1"/>
  <c r="C66" i="17"/>
  <c r="C8" i="36" s="1"/>
  <c r="D66" i="42"/>
  <c r="D74" i="40"/>
  <c r="E16" i="39" s="1"/>
  <c r="L74" i="40"/>
  <c r="H66" i="42"/>
  <c r="L66" i="42"/>
  <c r="C12" i="55" l="1"/>
  <c r="E12" i="55" s="1"/>
  <c r="I18" i="55"/>
  <c r="K18" i="55" s="1"/>
  <c r="I16" i="55"/>
  <c r="K16" i="55" s="1"/>
  <c r="X18" i="5"/>
  <c r="X16" i="5"/>
  <c r="X21" i="5"/>
  <c r="X19" i="5"/>
  <c r="X17" i="5"/>
  <c r="X13" i="5"/>
  <c r="X22" i="5"/>
  <c r="E8" i="45"/>
  <c r="AG8" i="45" s="1"/>
  <c r="F8" i="45"/>
  <c r="AJ8" i="45" s="1"/>
  <c r="AJ9" i="45"/>
  <c r="AJ9" i="44"/>
  <c r="L14" i="5"/>
  <c r="AD12" i="44"/>
  <c r="AD14" i="44"/>
  <c r="AD12" i="45"/>
  <c r="AD14" i="45"/>
  <c r="H53" i="41"/>
  <c r="H53" i="42"/>
  <c r="H53" i="17"/>
  <c r="H68" i="40"/>
  <c r="F10" i="39" s="1"/>
  <c r="C53" i="42"/>
  <c r="C53" i="41"/>
  <c r="C53" i="17"/>
  <c r="J53" i="42"/>
  <c r="J53" i="41"/>
  <c r="J53" i="17"/>
  <c r="B55" i="41"/>
  <c r="K75" i="41"/>
  <c r="C75" i="41"/>
  <c r="C17" i="44" s="1"/>
  <c r="I21" i="55" s="1"/>
  <c r="K21" i="55" s="1"/>
  <c r="M70" i="17"/>
  <c r="E70" i="17"/>
  <c r="H68" i="41"/>
  <c r="F10" i="44" s="1"/>
  <c r="AJ10" i="44" s="1"/>
  <c r="M66" i="17"/>
  <c r="I66" i="17"/>
  <c r="B50" i="42"/>
  <c r="C70" i="42"/>
  <c r="C12" i="45" s="1"/>
  <c r="AA12" i="45" s="1"/>
  <c r="K70" i="42"/>
  <c r="B47" i="17"/>
  <c r="K67" i="17"/>
  <c r="C67" i="17"/>
  <c r="C9" i="36" s="1"/>
  <c r="C13" i="55" s="1"/>
  <c r="L67" i="40"/>
  <c r="D67" i="40"/>
  <c r="E9" i="39" s="1"/>
  <c r="D53" i="42"/>
  <c r="D53" i="41"/>
  <c r="D53" i="17"/>
  <c r="E53" i="41"/>
  <c r="E53" i="42"/>
  <c r="E53" i="17"/>
  <c r="C71" i="42"/>
  <c r="C13" i="45" s="1"/>
  <c r="L17" i="55" s="1"/>
  <c r="N17" i="55" s="1"/>
  <c r="K71" i="42"/>
  <c r="B51" i="42"/>
  <c r="E71" i="17"/>
  <c r="M71" i="17"/>
  <c r="K46" i="41"/>
  <c r="E66" i="41" s="1"/>
  <c r="C66" i="41"/>
  <c r="C8" i="44" s="1"/>
  <c r="AA8" i="44" s="1"/>
  <c r="K66" i="41"/>
  <c r="H46" i="41"/>
  <c r="G66" i="41"/>
  <c r="D8" i="44" s="1"/>
  <c r="I12" i="55" s="1"/>
  <c r="K12" i="55" s="1"/>
  <c r="B49" i="42"/>
  <c r="K69" i="42"/>
  <c r="C69" i="42"/>
  <c r="C11" i="45" s="1"/>
  <c r="L15" i="55" s="1"/>
  <c r="N15" i="55" s="1"/>
  <c r="M74" i="17"/>
  <c r="E74" i="17"/>
  <c r="I53" i="42"/>
  <c r="I53" i="41"/>
  <c r="I53" i="17"/>
  <c r="M53" i="42"/>
  <c r="M53" i="41"/>
  <c r="M53" i="17"/>
  <c r="L53" i="41"/>
  <c r="L53" i="42"/>
  <c r="L53" i="17"/>
  <c r="M75" i="17"/>
  <c r="E75" i="17"/>
  <c r="G48" i="17"/>
  <c r="I68" i="17" s="1"/>
  <c r="G68" i="17"/>
  <c r="D10" i="36" s="1"/>
  <c r="H68" i="42"/>
  <c r="F10" i="45" s="1"/>
  <c r="AJ10" i="45" s="1"/>
  <c r="C69" i="41"/>
  <c r="C11" i="44" s="1"/>
  <c r="I15" i="55" s="1"/>
  <c r="K15" i="55" s="1"/>
  <c r="B49" i="41"/>
  <c r="K69" i="41"/>
  <c r="G47" i="41"/>
  <c r="I67" i="41" s="1"/>
  <c r="G67" i="41"/>
  <c r="D9" i="44" s="1"/>
  <c r="G47" i="42"/>
  <c r="I67" i="42" s="1"/>
  <c r="G67" i="42"/>
  <c r="D9" i="45" s="1"/>
  <c r="L67" i="41"/>
  <c r="D67" i="41"/>
  <c r="E9" i="44" s="1"/>
  <c r="L68" i="17"/>
  <c r="D68" i="17"/>
  <c r="E10" i="36" s="1"/>
  <c r="M72" i="17"/>
  <c r="E72" i="17"/>
  <c r="C72" i="41"/>
  <c r="C14" i="44" s="1"/>
  <c r="AA14" i="44" s="1"/>
  <c r="B52" i="41"/>
  <c r="K72" i="41"/>
  <c r="E69" i="17"/>
  <c r="M69" i="17"/>
  <c r="L67" i="42"/>
  <c r="D67" i="42"/>
  <c r="E9" i="45" s="1"/>
  <c r="F53" i="42"/>
  <c r="F53" i="41"/>
  <c r="F53" i="17"/>
  <c r="K53" i="41"/>
  <c r="K53" i="42"/>
  <c r="K53" i="17"/>
  <c r="H73" i="17"/>
  <c r="F15" i="36" s="1"/>
  <c r="F36" i="36" s="1"/>
  <c r="K66" i="42"/>
  <c r="H46" i="42"/>
  <c r="G66" i="42"/>
  <c r="D8" i="45" s="1"/>
  <c r="C66" i="42"/>
  <c r="K46" i="42"/>
  <c r="E66" i="42" s="1"/>
  <c r="B52" i="42"/>
  <c r="K72" i="42"/>
  <c r="C72" i="42"/>
  <c r="C14" i="45" s="1"/>
  <c r="AA14" i="45" s="1"/>
  <c r="B51" i="41"/>
  <c r="C71" i="41"/>
  <c r="C13" i="44" s="1"/>
  <c r="I17" i="55" s="1"/>
  <c r="K17" i="55" s="1"/>
  <c r="K71" i="41"/>
  <c r="B50" i="41"/>
  <c r="K70" i="41"/>
  <c r="C70" i="41"/>
  <c r="C12" i="44" s="1"/>
  <c r="AA12" i="44" s="1"/>
  <c r="B55" i="42"/>
  <c r="C75" i="42"/>
  <c r="C17" i="45" s="1"/>
  <c r="L21" i="55" s="1"/>
  <c r="N21" i="55" s="1"/>
  <c r="K75" i="42"/>
  <c r="B54" i="42"/>
  <c r="K74" i="42"/>
  <c r="C74" i="42"/>
  <c r="C16" i="45" s="1"/>
  <c r="L20" i="55" s="1"/>
  <c r="N20" i="55" s="1"/>
  <c r="C74" i="41"/>
  <c r="C16" i="44" s="1"/>
  <c r="I20" i="55" s="1"/>
  <c r="K20" i="55" s="1"/>
  <c r="K74" i="41"/>
  <c r="B54" i="41"/>
  <c r="E13" i="55" l="1"/>
  <c r="L16" i="55"/>
  <c r="N16" i="55" s="1"/>
  <c r="L18" i="55"/>
  <c r="N18" i="55" s="1"/>
  <c r="AM19" i="5"/>
  <c r="AP19" i="5" s="1"/>
  <c r="AU19" i="5"/>
  <c r="AX19" i="5" s="1"/>
  <c r="AM22" i="5"/>
  <c r="AP22" i="5" s="1"/>
  <c r="AU22" i="5"/>
  <c r="AX22" i="5" s="1"/>
  <c r="AM21" i="5"/>
  <c r="AP21" i="5" s="1"/>
  <c r="AU21" i="5"/>
  <c r="AX21" i="5" s="1"/>
  <c r="AM13" i="5"/>
  <c r="AP13" i="5" s="1"/>
  <c r="AU13" i="5"/>
  <c r="AX13" i="5" s="1"/>
  <c r="AM16" i="5"/>
  <c r="AP16" i="5" s="1"/>
  <c r="AU16" i="5"/>
  <c r="AX16" i="5" s="1"/>
  <c r="AM17" i="5"/>
  <c r="AP17" i="5" s="1"/>
  <c r="AU17" i="5"/>
  <c r="AX17" i="5" s="1"/>
  <c r="AM18" i="5"/>
  <c r="AP18" i="5" s="1"/>
  <c r="AU18" i="5"/>
  <c r="AX18" i="5" s="1"/>
  <c r="Z19" i="5"/>
  <c r="AE19" i="5"/>
  <c r="Z22" i="5"/>
  <c r="AE22" i="5"/>
  <c r="Z21" i="5"/>
  <c r="AE21" i="5"/>
  <c r="Z13" i="5"/>
  <c r="AE13" i="5"/>
  <c r="Z16" i="5"/>
  <c r="AE16" i="5"/>
  <c r="Z17" i="5"/>
  <c r="AE17" i="5"/>
  <c r="Z18" i="5"/>
  <c r="AE18" i="5"/>
  <c r="X14" i="5"/>
  <c r="AG9" i="45"/>
  <c r="AG9" i="44"/>
  <c r="C8" i="45"/>
  <c r="AA8" i="45" s="1"/>
  <c r="L15" i="5"/>
  <c r="Y17" i="5"/>
  <c r="P17" i="5"/>
  <c r="Y22" i="5"/>
  <c r="P22" i="5"/>
  <c r="P13" i="5"/>
  <c r="P16" i="5"/>
  <c r="Y16" i="5"/>
  <c r="P18" i="5"/>
  <c r="Y18" i="5"/>
  <c r="Y19" i="5"/>
  <c r="P19" i="5"/>
  <c r="P21" i="5"/>
  <c r="Y21" i="5"/>
  <c r="AA17" i="45"/>
  <c r="AD8" i="45"/>
  <c r="AD9" i="45"/>
  <c r="AA11" i="44"/>
  <c r="AD8" i="44"/>
  <c r="AA11" i="45"/>
  <c r="AA17" i="44"/>
  <c r="AA16" i="45"/>
  <c r="AA13" i="44"/>
  <c r="AA16" i="44"/>
  <c r="AD9" i="44"/>
  <c r="AA13" i="45"/>
  <c r="B47" i="42"/>
  <c r="C67" i="42"/>
  <c r="C9" i="45" s="1"/>
  <c r="L13" i="55" s="1"/>
  <c r="K67" i="42"/>
  <c r="L73" i="17"/>
  <c r="D73" i="17"/>
  <c r="E15" i="36" s="1"/>
  <c r="E36" i="36" s="1"/>
  <c r="G73" i="17"/>
  <c r="D15" i="36" s="1"/>
  <c r="G53" i="17"/>
  <c r="I73" i="17" s="1"/>
  <c r="H73" i="41"/>
  <c r="F15" i="44" s="1"/>
  <c r="F36" i="44" s="1"/>
  <c r="D68" i="42"/>
  <c r="E10" i="45" s="1"/>
  <c r="AG10" i="45" s="1"/>
  <c r="L68" i="42"/>
  <c r="M66" i="41"/>
  <c r="I66" i="41"/>
  <c r="E70" i="41"/>
  <c r="M70" i="41"/>
  <c r="M71" i="42"/>
  <c r="E71" i="42"/>
  <c r="E67" i="17"/>
  <c r="M67" i="17"/>
  <c r="G68" i="41"/>
  <c r="D10" i="44" s="1"/>
  <c r="G48" i="41"/>
  <c r="I68" i="41" s="1"/>
  <c r="B47" i="41"/>
  <c r="C67" i="41"/>
  <c r="C9" i="44" s="1"/>
  <c r="I13" i="55" s="1"/>
  <c r="K67" i="41"/>
  <c r="M75" i="42"/>
  <c r="E75" i="42"/>
  <c r="M71" i="41"/>
  <c r="E71" i="41"/>
  <c r="M72" i="42"/>
  <c r="E72" i="42"/>
  <c r="M66" i="42"/>
  <c r="I66" i="42"/>
  <c r="H73" i="42"/>
  <c r="F15" i="45" s="1"/>
  <c r="F36" i="45" s="1"/>
  <c r="D68" i="40"/>
  <c r="E10" i="39" s="1"/>
  <c r="L68" i="40"/>
  <c r="M69" i="41"/>
  <c r="E69" i="41"/>
  <c r="M69" i="42"/>
  <c r="E69" i="42"/>
  <c r="M75" i="41"/>
  <c r="E75" i="41"/>
  <c r="E74" i="41"/>
  <c r="M74" i="41"/>
  <c r="M74" i="42"/>
  <c r="E74" i="42"/>
  <c r="H73" i="40"/>
  <c r="F15" i="39" s="1"/>
  <c r="F36" i="39" s="1"/>
  <c r="E72" i="41"/>
  <c r="M72" i="41"/>
  <c r="K68" i="17"/>
  <c r="B48" i="17"/>
  <c r="C68" i="17"/>
  <c r="C10" i="36" s="1"/>
  <c r="C14" i="55" s="1"/>
  <c r="D68" i="41"/>
  <c r="E10" i="44" s="1"/>
  <c r="AG10" i="44" s="1"/>
  <c r="L68" i="41"/>
  <c r="G68" i="42"/>
  <c r="D10" i="45" s="1"/>
  <c r="G48" i="42"/>
  <c r="I68" i="42" s="1"/>
  <c r="M70" i="42"/>
  <c r="E70" i="42"/>
  <c r="N13" i="55" l="1"/>
  <c r="E14" i="55"/>
  <c r="K13" i="55"/>
  <c r="D36" i="36"/>
  <c r="L12" i="55"/>
  <c r="N12" i="55" s="1"/>
  <c r="AN16" i="5"/>
  <c r="AQ16" i="5" s="1"/>
  <c r="AV16" i="5"/>
  <c r="AY16" i="5" s="1"/>
  <c r="AN22" i="5"/>
  <c r="AQ22" i="5" s="1"/>
  <c r="AV22" i="5"/>
  <c r="AY22" i="5" s="1"/>
  <c r="AN19" i="5"/>
  <c r="AQ19" i="5" s="1"/>
  <c r="AV19" i="5"/>
  <c r="AY19" i="5" s="1"/>
  <c r="AN21" i="5"/>
  <c r="AQ21" i="5" s="1"/>
  <c r="AV21" i="5"/>
  <c r="AY21" i="5" s="1"/>
  <c r="AN18" i="5"/>
  <c r="AQ18" i="5" s="1"/>
  <c r="AV18" i="5"/>
  <c r="AY18" i="5" s="1"/>
  <c r="AN17" i="5"/>
  <c r="AQ17" i="5" s="1"/>
  <c r="AV17" i="5"/>
  <c r="AY17" i="5" s="1"/>
  <c r="AM14" i="5"/>
  <c r="AP14" i="5" s="1"/>
  <c r="AU14" i="5"/>
  <c r="AX14" i="5" s="1"/>
  <c r="AA17" i="5"/>
  <c r="AF17" i="5"/>
  <c r="AI17" i="5" s="1"/>
  <c r="AA16" i="5"/>
  <c r="AF16" i="5"/>
  <c r="AI16" i="5" s="1"/>
  <c r="Z14" i="5"/>
  <c r="AE14" i="5"/>
  <c r="AA19" i="5"/>
  <c r="AF19" i="5"/>
  <c r="AI19" i="5" s="1"/>
  <c r="AA22" i="5"/>
  <c r="AF22" i="5"/>
  <c r="AI22" i="5" s="1"/>
  <c r="AA21" i="5"/>
  <c r="AF21" i="5"/>
  <c r="AI21" i="5" s="1"/>
  <c r="AA18" i="5"/>
  <c r="AF18" i="5"/>
  <c r="AI18" i="5" s="1"/>
  <c r="X15" i="5"/>
  <c r="AA9" i="44"/>
  <c r="AA9" i="45"/>
  <c r="L20" i="5"/>
  <c r="Y14" i="5"/>
  <c r="P14" i="5"/>
  <c r="S19" i="5"/>
  <c r="Q19" i="5"/>
  <c r="R19" i="5"/>
  <c r="R22" i="5"/>
  <c r="Q22" i="5"/>
  <c r="S22" i="5"/>
  <c r="S16" i="5"/>
  <c r="Q16" i="5"/>
  <c r="R16" i="5"/>
  <c r="R17" i="5"/>
  <c r="S17" i="5"/>
  <c r="Q17" i="5"/>
  <c r="Q21" i="5"/>
  <c r="R21" i="5"/>
  <c r="S21" i="5"/>
  <c r="R18" i="5"/>
  <c r="S18" i="5"/>
  <c r="Q18" i="5"/>
  <c r="S13" i="5"/>
  <c r="R13" i="5"/>
  <c r="Q13" i="5"/>
  <c r="AD10" i="45"/>
  <c r="AD10" i="44"/>
  <c r="AJ15" i="45"/>
  <c r="AJ15" i="44"/>
  <c r="G53" i="41"/>
  <c r="I73" i="41" s="1"/>
  <c r="G73" i="41"/>
  <c r="D15" i="44" s="1"/>
  <c r="L73" i="41"/>
  <c r="D73" i="41"/>
  <c r="E15" i="44" s="1"/>
  <c r="E36" i="44" s="1"/>
  <c r="E67" i="42"/>
  <c r="M67" i="42"/>
  <c r="E67" i="41"/>
  <c r="M67" i="41"/>
  <c r="B53" i="17"/>
  <c r="C73" i="17"/>
  <c r="C15" i="36" s="1"/>
  <c r="C36" i="36" s="1"/>
  <c r="K73" i="17"/>
  <c r="L73" i="40"/>
  <c r="D73" i="40"/>
  <c r="E15" i="39" s="1"/>
  <c r="B48" i="41"/>
  <c r="C68" i="41"/>
  <c r="C10" i="44" s="1"/>
  <c r="AA10" i="44" s="1"/>
  <c r="K68" i="41"/>
  <c r="M68" i="17"/>
  <c r="E68" i="17"/>
  <c r="G73" i="42"/>
  <c r="D15" i="45" s="1"/>
  <c r="G53" i="42"/>
  <c r="I73" i="42" s="1"/>
  <c r="C68" i="42"/>
  <c r="C10" i="45" s="1"/>
  <c r="AA10" i="45" s="1"/>
  <c r="K68" i="42"/>
  <c r="B48" i="42"/>
  <c r="D73" i="42"/>
  <c r="E15" i="45" s="1"/>
  <c r="E36" i="45" s="1"/>
  <c r="L73" i="42"/>
  <c r="L14" i="55" l="1"/>
  <c r="D36" i="44"/>
  <c r="I14" i="55"/>
  <c r="C19" i="55"/>
  <c r="D36" i="45"/>
  <c r="AN14" i="5"/>
  <c r="AQ14" i="5" s="1"/>
  <c r="AV14" i="5"/>
  <c r="AY14" i="5" s="1"/>
  <c r="AM15" i="5"/>
  <c r="AP15" i="5" s="1"/>
  <c r="AU15" i="5"/>
  <c r="AX15" i="5" s="1"/>
  <c r="AA14" i="5"/>
  <c r="AF14" i="5"/>
  <c r="AI14" i="5" s="1"/>
  <c r="Z15" i="5"/>
  <c r="AE15" i="5"/>
  <c r="X20" i="5"/>
  <c r="AJ34" i="45"/>
  <c r="AJ36" i="45"/>
  <c r="AK36" i="45" s="1"/>
  <c r="F41" i="45" s="1"/>
  <c r="AJ36" i="44"/>
  <c r="AK36" i="44" s="1"/>
  <c r="AJ34" i="44"/>
  <c r="P15" i="5"/>
  <c r="Y15" i="5"/>
  <c r="S14" i="5"/>
  <c r="R14" i="5"/>
  <c r="Q14" i="5"/>
  <c r="AG15" i="45"/>
  <c r="AD15" i="45"/>
  <c r="AD34" i="45" s="1"/>
  <c r="AG15" i="44"/>
  <c r="AD15" i="44"/>
  <c r="AD34" i="44" s="1"/>
  <c r="E68" i="41"/>
  <c r="M68" i="41"/>
  <c r="E73" i="17"/>
  <c r="M73" i="17"/>
  <c r="C73" i="41"/>
  <c r="C15" i="44" s="1"/>
  <c r="AA15" i="44" s="1"/>
  <c r="AA36" i="44" s="1"/>
  <c r="AB36" i="44" s="1"/>
  <c r="B53" i="41"/>
  <c r="K73" i="41"/>
  <c r="B53" i="42"/>
  <c r="C73" i="42"/>
  <c r="C15" i="45" s="1"/>
  <c r="L19" i="55" s="1"/>
  <c r="N19" i="55" s="1"/>
  <c r="K73" i="42"/>
  <c r="M68" i="42"/>
  <c r="E68" i="42"/>
  <c r="E19" i="55" l="1"/>
  <c r="C39" i="55"/>
  <c r="E39" i="55" s="1"/>
  <c r="I19" i="55"/>
  <c r="K19" i="55" s="1"/>
  <c r="K14" i="55"/>
  <c r="I39" i="55"/>
  <c r="K39" i="55" s="1"/>
  <c r="N14" i="55"/>
  <c r="L39" i="55"/>
  <c r="N39" i="55" s="1"/>
  <c r="AN15" i="5"/>
  <c r="AQ15" i="5" s="1"/>
  <c r="AV15" i="5"/>
  <c r="AY15" i="5" s="1"/>
  <c r="AM20" i="5"/>
  <c r="AP20" i="5" s="1"/>
  <c r="AU20" i="5"/>
  <c r="AX20" i="5" s="1"/>
  <c r="Z20" i="5"/>
  <c r="AE20" i="5"/>
  <c r="AA15" i="5"/>
  <c r="AF15" i="5"/>
  <c r="AI15" i="5" s="1"/>
  <c r="AA34" i="44"/>
  <c r="AD36" i="45"/>
  <c r="AE36" i="45" s="1"/>
  <c r="D41" i="45" s="1"/>
  <c r="C36" i="44"/>
  <c r="C36" i="45"/>
  <c r="AG34" i="45"/>
  <c r="AG36" i="45"/>
  <c r="AH36" i="45" s="1"/>
  <c r="E41" i="45" s="1"/>
  <c r="AG36" i="44"/>
  <c r="AH36" i="44" s="1"/>
  <c r="AG34" i="44"/>
  <c r="AD36" i="44"/>
  <c r="AE36" i="44" s="1"/>
  <c r="P20" i="5"/>
  <c r="Y20" i="5"/>
  <c r="S15" i="5"/>
  <c r="Q15" i="5"/>
  <c r="R15" i="5"/>
  <c r="AA15" i="45"/>
  <c r="AK8" i="45"/>
  <c r="AK10" i="45"/>
  <c r="AK9" i="45"/>
  <c r="AK11" i="45"/>
  <c r="AK12" i="45"/>
  <c r="AK13" i="45"/>
  <c r="AK14" i="45"/>
  <c r="AK15" i="45"/>
  <c r="AK16" i="45"/>
  <c r="AK17" i="45"/>
  <c r="AK18" i="45"/>
  <c r="AK19" i="45"/>
  <c r="AK20" i="45"/>
  <c r="AK21" i="45"/>
  <c r="AK22" i="45"/>
  <c r="AK23" i="45"/>
  <c r="AK24" i="45"/>
  <c r="AK25" i="45"/>
  <c r="AK26" i="45"/>
  <c r="AK27" i="45"/>
  <c r="AK28" i="45"/>
  <c r="AK29" i="45"/>
  <c r="AK30" i="45"/>
  <c r="AK32" i="45"/>
  <c r="AK31" i="45"/>
  <c r="E73" i="42"/>
  <c r="M73" i="42"/>
  <c r="E73" i="41"/>
  <c r="M73" i="41"/>
  <c r="AN20" i="5" l="1"/>
  <c r="AQ20" i="5" s="1"/>
  <c r="AV20" i="5"/>
  <c r="AY20" i="5" s="1"/>
  <c r="AA20" i="5"/>
  <c r="AF20" i="5"/>
  <c r="AI20" i="5" s="1"/>
  <c r="AA34" i="45"/>
  <c r="AA36" i="45"/>
  <c r="AB36" i="45" s="1"/>
  <c r="AK34" i="45"/>
  <c r="S20" i="5"/>
  <c r="R20" i="5"/>
  <c r="Q20" i="5"/>
  <c r="AH10" i="45"/>
  <c r="AH8" i="45"/>
  <c r="AH9" i="45"/>
  <c r="AH11" i="45"/>
  <c r="AH12" i="45"/>
  <c r="AH13" i="45"/>
  <c r="AH14" i="45"/>
  <c r="AH15" i="45"/>
  <c r="AH16" i="45"/>
  <c r="AH17" i="45"/>
  <c r="AH18" i="45"/>
  <c r="AH19" i="45"/>
  <c r="AH20" i="45"/>
  <c r="AH21" i="45"/>
  <c r="AH22" i="45"/>
  <c r="AH23" i="45"/>
  <c r="AH24" i="45"/>
  <c r="AH25" i="45"/>
  <c r="AH26" i="45"/>
  <c r="AH27" i="45"/>
  <c r="AH28" i="45"/>
  <c r="AH29" i="45"/>
  <c r="AH30" i="45"/>
  <c r="AH32" i="45"/>
  <c r="AH31" i="45"/>
  <c r="AE8" i="45"/>
  <c r="AE10" i="45"/>
  <c r="AE9" i="45"/>
  <c r="AE11" i="45"/>
  <c r="AE12" i="45"/>
  <c r="AE13" i="45"/>
  <c r="AE14" i="45"/>
  <c r="AE15" i="45"/>
  <c r="AE16" i="45"/>
  <c r="AE17" i="45"/>
  <c r="AE18" i="45"/>
  <c r="AE19" i="45"/>
  <c r="AE20" i="45"/>
  <c r="AE21" i="45"/>
  <c r="AE22" i="45"/>
  <c r="AE23" i="45"/>
  <c r="AE24" i="45"/>
  <c r="AE25" i="45"/>
  <c r="AE26" i="45"/>
  <c r="AE27" i="45"/>
  <c r="AE28" i="45"/>
  <c r="AE29" i="45"/>
  <c r="AE30" i="45"/>
  <c r="AE32" i="45"/>
  <c r="AE31" i="45"/>
  <c r="AE34" i="45" l="1"/>
  <c r="AH34" i="45"/>
  <c r="C41" i="45"/>
  <c r="AB8" i="45"/>
  <c r="AB9" i="45"/>
  <c r="AB10" i="45"/>
  <c r="AB11" i="45"/>
  <c r="AB12" i="45"/>
  <c r="AB13" i="45"/>
  <c r="AB14" i="45"/>
  <c r="AB15" i="45"/>
  <c r="AB16" i="45"/>
  <c r="AB17" i="45"/>
  <c r="AB18" i="45"/>
  <c r="AB19" i="45"/>
  <c r="AB20" i="45"/>
  <c r="AB21" i="45"/>
  <c r="AB22" i="45"/>
  <c r="AB23" i="45"/>
  <c r="AB24" i="45"/>
  <c r="AB25" i="45"/>
  <c r="AB26" i="45"/>
  <c r="AB27" i="45"/>
  <c r="AB28" i="45"/>
  <c r="AB29" i="45"/>
  <c r="AB30" i="45"/>
  <c r="AB31" i="45"/>
  <c r="AB32" i="45"/>
  <c r="AB34" i="45" l="1"/>
  <c r="AD10" i="5" l="1"/>
  <c r="E53" i="40"/>
  <c r="C56" i="40"/>
  <c r="AD42" i="5"/>
  <c r="F56" i="40"/>
  <c r="C53" i="40"/>
  <c r="J54" i="40"/>
  <c r="H55" i="40"/>
  <c r="K50" i="40"/>
  <c r="F51" i="40"/>
  <c r="M58" i="40"/>
  <c r="L48" i="40"/>
  <c r="L51" i="40"/>
  <c r="H53" i="40"/>
  <c r="I49" i="40"/>
  <c r="D57" i="40"/>
  <c r="J47" i="40"/>
  <c r="E49" i="40"/>
  <c r="C51" i="40"/>
  <c r="L46" i="40"/>
  <c r="L52" i="40"/>
  <c r="B53" i="40"/>
  <c r="K51" i="40"/>
  <c r="B57" i="40"/>
  <c r="M49" i="40"/>
  <c r="J52" i="40"/>
  <c r="I56" i="40"/>
  <c r="D58" i="40"/>
  <c r="L58" i="40"/>
  <c r="H56" i="40"/>
  <c r="L50" i="40"/>
  <c r="M52" i="40"/>
  <c r="F48" i="40"/>
  <c r="L56" i="40"/>
  <c r="I58" i="40"/>
  <c r="K57" i="40"/>
  <c r="AD17" i="5"/>
  <c r="AH17" i="5" s="1"/>
  <c r="J55" i="40"/>
  <c r="B54" i="40"/>
  <c r="AD16" i="5"/>
  <c r="AH16" i="5" s="1"/>
  <c r="K55" i="40"/>
  <c r="C50" i="40"/>
  <c r="H54" i="40"/>
  <c r="M47" i="40"/>
  <c r="M54" i="40"/>
  <c r="F47" i="40"/>
  <c r="AD18" i="5"/>
  <c r="AH18" i="5" s="1"/>
  <c r="M55" i="40"/>
  <c r="F52" i="40"/>
  <c r="K53" i="40"/>
  <c r="K49" i="40"/>
  <c r="H46" i="40"/>
  <c r="D53" i="40"/>
  <c r="K47" i="40"/>
  <c r="E54" i="40"/>
  <c r="I54" i="40"/>
  <c r="C48" i="40"/>
  <c r="H58" i="40"/>
  <c r="M46" i="40"/>
  <c r="I53" i="40"/>
  <c r="G57" i="40"/>
  <c r="I48" i="40"/>
  <c r="E47" i="40"/>
  <c r="D48" i="40"/>
  <c r="M50" i="40"/>
  <c r="AD25" i="5"/>
  <c r="AH25" i="5" s="1"/>
  <c r="K56" i="40"/>
  <c r="L47" i="40"/>
  <c r="C54" i="40"/>
  <c r="D50" i="40"/>
  <c r="J57" i="40"/>
  <c r="M48" i="40"/>
  <c r="E55" i="40"/>
  <c r="E56" i="40"/>
  <c r="L53" i="40"/>
  <c r="B58" i="40"/>
  <c r="C58" i="40"/>
  <c r="I52" i="40"/>
  <c r="C47" i="40"/>
  <c r="H50" i="40"/>
  <c r="E51" i="40"/>
  <c r="F49" i="40"/>
  <c r="L55" i="40"/>
  <c r="AD22" i="5"/>
  <c r="AH22" i="5" s="1"/>
  <c r="J49" i="40"/>
  <c r="G49" i="40"/>
  <c r="I57" i="40"/>
  <c r="K52" i="40"/>
  <c r="H48" i="40"/>
  <c r="H52" i="40"/>
  <c r="L49" i="40"/>
  <c r="J46" i="40"/>
  <c r="AD21" i="5"/>
  <c r="AH21" i="5" s="1"/>
  <c r="G58" i="40"/>
  <c r="E48" i="40"/>
  <c r="J50" i="40"/>
  <c r="H57" i="40"/>
  <c r="F54" i="40"/>
  <c r="F53" i="40"/>
  <c r="AD13" i="5"/>
  <c r="AH13" i="5" s="1"/>
  <c r="L57" i="40"/>
  <c r="K58" i="40"/>
  <c r="I47" i="40"/>
  <c r="AD23" i="5"/>
  <c r="AH23" i="5" s="1"/>
  <c r="E52" i="40"/>
  <c r="E58" i="40"/>
  <c r="J51" i="40"/>
  <c r="D47" i="40"/>
  <c r="D49" i="40"/>
  <c r="J58" i="40"/>
  <c r="AD19" i="5"/>
  <c r="AH19" i="5" s="1"/>
  <c r="C55" i="40"/>
  <c r="E50" i="40"/>
  <c r="M56" i="40"/>
  <c r="M53" i="40"/>
  <c r="M57" i="40"/>
  <c r="E57" i="40"/>
  <c r="M51" i="40"/>
  <c r="H51" i="40"/>
  <c r="J56" i="40"/>
  <c r="C57" i="40"/>
  <c r="AD15" i="5"/>
  <c r="AH15" i="5" s="1"/>
  <c r="G54" i="40"/>
  <c r="B49" i="40"/>
  <c r="C49" i="40"/>
  <c r="I55" i="40"/>
  <c r="F55" i="40"/>
  <c r="L54" i="40"/>
  <c r="G52" i="40"/>
  <c r="AD35" i="5"/>
  <c r="AH35" i="5" s="1"/>
  <c r="C28" i="39" s="1"/>
  <c r="D28" i="39" s="1"/>
  <c r="F32" i="55" s="1"/>
  <c r="H32" i="55" s="1"/>
  <c r="G53" i="40"/>
  <c r="I46" i="40"/>
  <c r="AD39" i="5"/>
  <c r="AH39" i="5" s="1"/>
  <c r="C32" i="39" s="1"/>
  <c r="D32" i="39" s="1"/>
  <c r="I50" i="40"/>
  <c r="F58" i="40"/>
  <c r="I51" i="40"/>
  <c r="F50" i="40"/>
  <c r="K48" i="40"/>
  <c r="AD38" i="5"/>
  <c r="AH38" i="5" s="1"/>
  <c r="C31" i="39" s="1"/>
  <c r="D31" i="39" s="1"/>
  <c r="AD34" i="5"/>
  <c r="AH34" i="5" s="1"/>
  <c r="C27" i="39" s="1"/>
  <c r="D27" i="39" s="1"/>
  <c r="F31" i="55" s="1"/>
  <c r="H31" i="55" s="1"/>
  <c r="C52" i="40"/>
  <c r="AD32" i="5"/>
  <c r="AH32" i="5" s="1"/>
  <c r="C25" i="39" s="1"/>
  <c r="D25" i="39" s="1"/>
  <c r="F29" i="55" s="1"/>
  <c r="H29" i="55" s="1"/>
  <c r="J48" i="40"/>
  <c r="D56" i="40"/>
  <c r="B50" i="40"/>
  <c r="AD24" i="5"/>
  <c r="AH24" i="5" s="1"/>
  <c r="G47" i="40"/>
  <c r="D52" i="40"/>
  <c r="D51" i="40"/>
  <c r="C76" i="40"/>
  <c r="C18" i="39" s="1"/>
  <c r="G48" i="40"/>
  <c r="AD30" i="5"/>
  <c r="AH30" i="5" s="1"/>
  <c r="C23" i="39" s="1"/>
  <c r="D23" i="39" s="1"/>
  <c r="F27" i="55" s="1"/>
  <c r="H27" i="55" s="1"/>
  <c r="H47" i="40"/>
  <c r="D55" i="40"/>
  <c r="AD31" i="5"/>
  <c r="AH31" i="5" s="1"/>
  <c r="C24" i="39" s="1"/>
  <c r="D24" i="39" s="1"/>
  <c r="F28" i="55" s="1"/>
  <c r="H28" i="55" s="1"/>
  <c r="AD37" i="5"/>
  <c r="AH37" i="5" s="1"/>
  <c r="C30" i="39" s="1"/>
  <c r="D30" i="39" s="1"/>
  <c r="AD20" i="5"/>
  <c r="AH20" i="5" s="1"/>
  <c r="AD29" i="5"/>
  <c r="AH29" i="5" s="1"/>
  <c r="C22" i="39" s="1"/>
  <c r="D22" i="39" s="1"/>
  <c r="F26" i="55" s="1"/>
  <c r="H26" i="55" s="1"/>
  <c r="AD33" i="5"/>
  <c r="AH33" i="5" s="1"/>
  <c r="C26" i="39" s="1"/>
  <c r="D26" i="39" s="1"/>
  <c r="F30" i="55" s="1"/>
  <c r="H30" i="55" s="1"/>
  <c r="K54" i="40"/>
  <c r="AD36" i="5"/>
  <c r="AH36" i="5" s="1"/>
  <c r="C29" i="39" s="1"/>
  <c r="D29" i="39" s="1"/>
  <c r="F33" i="55" s="1"/>
  <c r="H33" i="55" s="1"/>
  <c r="AD28" i="5"/>
  <c r="AH28" i="5" s="1"/>
  <c r="C21" i="39" s="1"/>
  <c r="D21" i="39" s="1"/>
  <c r="F25" i="55" s="1"/>
  <c r="H25" i="55" s="1"/>
  <c r="F57" i="40"/>
  <c r="AD14" i="5"/>
  <c r="AH14" i="5" s="1"/>
  <c r="L76" i="40"/>
  <c r="D76" i="40"/>
  <c r="E18" i="39" s="1"/>
  <c r="E36" i="39" s="1"/>
  <c r="C67" i="40" l="1"/>
  <c r="C9" i="39" s="1"/>
  <c r="G70" i="40"/>
  <c r="D12" i="39" s="1"/>
  <c r="G67" i="40"/>
  <c r="D9" i="39" s="1"/>
  <c r="F13" i="55" s="1"/>
  <c r="C69" i="40"/>
  <c r="C11" i="39" s="1"/>
  <c r="M78" i="40"/>
  <c r="I72" i="40"/>
  <c r="G50" i="40"/>
  <c r="I70" i="40" s="1"/>
  <c r="C75" i="40"/>
  <c r="C17" i="39" s="1"/>
  <c r="I67" i="40"/>
  <c r="C68" i="40"/>
  <c r="C10" i="39" s="1"/>
  <c r="I78" i="40"/>
  <c r="E70" i="40"/>
  <c r="I68" i="40"/>
  <c r="G72" i="40"/>
  <c r="D14" i="39" s="1"/>
  <c r="G74" i="40"/>
  <c r="D16" i="39" s="1"/>
  <c r="G73" i="40"/>
  <c r="D15" i="39" s="1"/>
  <c r="F19" i="55" s="1"/>
  <c r="H19" i="55" s="1"/>
  <c r="G76" i="40"/>
  <c r="D18" i="39" s="1"/>
  <c r="F22" i="55" s="1"/>
  <c r="H22" i="55" s="1"/>
  <c r="K46" i="40"/>
  <c r="E66" i="40" s="1"/>
  <c r="C66" i="40"/>
  <c r="C8" i="39" s="1"/>
  <c r="E77" i="40"/>
  <c r="C78" i="40"/>
  <c r="C20" i="39" s="1"/>
  <c r="K71" i="40"/>
  <c r="C71" i="40"/>
  <c r="C13" i="39" s="1"/>
  <c r="B51" i="40"/>
  <c r="K70" i="40"/>
  <c r="K73" i="40"/>
  <c r="M77" i="40"/>
  <c r="G68" i="40"/>
  <c r="D10" i="39" s="1"/>
  <c r="F14" i="55" s="1"/>
  <c r="H14" i="55" s="1"/>
  <c r="C70" i="40"/>
  <c r="C12" i="39" s="1"/>
  <c r="K68" i="40"/>
  <c r="B48" i="40"/>
  <c r="J53" i="40"/>
  <c r="I73" i="40" s="1"/>
  <c r="E69" i="40"/>
  <c r="K77" i="40"/>
  <c r="G56" i="40"/>
  <c r="I76" i="40" s="1"/>
  <c r="G77" i="40"/>
  <c r="D19" i="39" s="1"/>
  <c r="K74" i="40"/>
  <c r="D54" i="40"/>
  <c r="M74" i="40" s="1"/>
  <c r="C74" i="40"/>
  <c r="C16" i="39" s="1"/>
  <c r="I66" i="40"/>
  <c r="H49" i="40"/>
  <c r="M69" i="40" s="1"/>
  <c r="G69" i="40"/>
  <c r="D11" i="39" s="1"/>
  <c r="G78" i="40"/>
  <c r="D20" i="39" s="1"/>
  <c r="B55" i="40"/>
  <c r="K75" i="40"/>
  <c r="E78" i="40"/>
  <c r="I77" i="40"/>
  <c r="K72" i="40"/>
  <c r="B52" i="40"/>
  <c r="C72" i="40"/>
  <c r="C14" i="39" s="1"/>
  <c r="G71" i="40"/>
  <c r="D13" i="39" s="1"/>
  <c r="K76" i="40"/>
  <c r="B56" i="40"/>
  <c r="G75" i="40"/>
  <c r="D17" i="39" s="1"/>
  <c r="G55" i="40"/>
  <c r="I75" i="40" s="1"/>
  <c r="K78" i="40"/>
  <c r="I74" i="40"/>
  <c r="K67" i="40"/>
  <c r="E73" i="40"/>
  <c r="G66" i="40"/>
  <c r="D8" i="39" s="1"/>
  <c r="F12" i="55" s="1"/>
  <c r="H12" i="55" s="1"/>
  <c r="G51" i="40"/>
  <c r="I71" i="40" s="1"/>
  <c r="K69" i="40"/>
  <c r="B47" i="40"/>
  <c r="C77" i="40"/>
  <c r="C19" i="39" s="1"/>
  <c r="C73" i="40"/>
  <c r="C15" i="39" s="1"/>
  <c r="F20" i="55" l="1"/>
  <c r="H20" i="55" s="1"/>
  <c r="F21" i="55"/>
  <c r="H21" i="55" s="1"/>
  <c r="F18" i="55"/>
  <c r="H18" i="55" s="1"/>
  <c r="F17" i="55"/>
  <c r="H17" i="55" s="1"/>
  <c r="F24" i="55"/>
  <c r="H24" i="55" s="1"/>
  <c r="H13" i="55"/>
  <c r="F15" i="55"/>
  <c r="H15" i="55" s="1"/>
  <c r="F16" i="55"/>
  <c r="H16" i="55" s="1"/>
  <c r="F23" i="55"/>
  <c r="H23" i="55" s="1"/>
  <c r="D36" i="39"/>
  <c r="C36" i="39"/>
  <c r="M66" i="40"/>
  <c r="M73" i="40"/>
  <c r="I69" i="40"/>
  <c r="M70" i="40"/>
  <c r="E74" i="40"/>
  <c r="E71" i="40"/>
  <c r="M71" i="40"/>
  <c r="E72" i="40"/>
  <c r="M72" i="40"/>
  <c r="M67" i="40"/>
  <c r="E67" i="40"/>
  <c r="M76" i="40"/>
  <c r="E76" i="40"/>
  <c r="E75" i="40"/>
  <c r="M75" i="40"/>
  <c r="M68" i="40"/>
  <c r="E68" i="40"/>
  <c r="F39" i="55" l="1"/>
  <c r="H39" i="55" s="1"/>
  <c r="AB8" i="44"/>
  <c r="AE8" i="44"/>
  <c r="AH8" i="44"/>
  <c r="AK8" i="44"/>
  <c r="AB9" i="44"/>
  <c r="AE9" i="44"/>
  <c r="AH9" i="44"/>
  <c r="AK9" i="44"/>
  <c r="AB10" i="44"/>
  <c r="AE10" i="44"/>
  <c r="AH10" i="44"/>
  <c r="AK10" i="44"/>
  <c r="AB11" i="44"/>
  <c r="AE11" i="44"/>
  <c r="AH11" i="44"/>
  <c r="AK11" i="44"/>
  <c r="AB12" i="44"/>
  <c r="AE12" i="44"/>
  <c r="AH12" i="44"/>
  <c r="AK12" i="44"/>
  <c r="AB13" i="44"/>
  <c r="AE13" i="44"/>
  <c r="AH13" i="44"/>
  <c r="AK13" i="44"/>
  <c r="AB14" i="44"/>
  <c r="AE14" i="44"/>
  <c r="AH14" i="44"/>
  <c r="AK14" i="44"/>
  <c r="AB15" i="44"/>
  <c r="AE15" i="44"/>
  <c r="AH15" i="44"/>
  <c r="AK15" i="44"/>
  <c r="AB16" i="44"/>
  <c r="AE16" i="44"/>
  <c r="AH16" i="44"/>
  <c r="AK16" i="44"/>
  <c r="AB17" i="44"/>
  <c r="AE17" i="44"/>
  <c r="AH17" i="44"/>
  <c r="AK17" i="44"/>
  <c r="AB18" i="44"/>
  <c r="AE18" i="44"/>
  <c r="AH18" i="44"/>
  <c r="AK18" i="44"/>
  <c r="AB19" i="44"/>
  <c r="AE19" i="44"/>
  <c r="AH19" i="44"/>
  <c r="AK19" i="44"/>
  <c r="AB20" i="44"/>
  <c r="AE20" i="44"/>
  <c r="AH20" i="44"/>
  <c r="AK20" i="44"/>
  <c r="AB21" i="44"/>
  <c r="AE21" i="44"/>
  <c r="AH21" i="44"/>
  <c r="AK21" i="44"/>
  <c r="AB22" i="44"/>
  <c r="AE22" i="44"/>
  <c r="AH22" i="44"/>
  <c r="AK22" i="44"/>
  <c r="AB23" i="44"/>
  <c r="AE23" i="44"/>
  <c r="AH23" i="44"/>
  <c r="AK23" i="44"/>
  <c r="AB24" i="44"/>
  <c r="AE24" i="44"/>
  <c r="AH24" i="44"/>
  <c r="AK24" i="44"/>
  <c r="AB25" i="44"/>
  <c r="AE25" i="44"/>
  <c r="AH25" i="44"/>
  <c r="AK25" i="44"/>
  <c r="AB26" i="44"/>
  <c r="AE26" i="44"/>
  <c r="AH26" i="44"/>
  <c r="AK26" i="44"/>
  <c r="AB27" i="44"/>
  <c r="AE27" i="44"/>
  <c r="AH27" i="44"/>
  <c r="AK27" i="44"/>
  <c r="AB28" i="44"/>
  <c r="AE28" i="44"/>
  <c r="AH28" i="44"/>
  <c r="AK28" i="44"/>
  <c r="AB29" i="44"/>
  <c r="AE29" i="44"/>
  <c r="AH29" i="44"/>
  <c r="AK29" i="44"/>
  <c r="AB30" i="44"/>
  <c r="AE30" i="44"/>
  <c r="AH30" i="44"/>
  <c r="AK30" i="44"/>
  <c r="AB31" i="44"/>
  <c r="AE31" i="44"/>
  <c r="AH31" i="44"/>
  <c r="AK31" i="44"/>
  <c r="AB32" i="44"/>
  <c r="AE32" i="44"/>
  <c r="AH32" i="44"/>
  <c r="AK32" i="44"/>
  <c r="C41" i="44"/>
  <c r="D41" i="44"/>
  <c r="E41" i="44"/>
  <c r="F41" i="44"/>
  <c r="AH34" i="44" l="1"/>
  <c r="AK34" i="44"/>
  <c r="AE34" i="44"/>
  <c r="AB34" i="44"/>
  <c r="AN13" i="5" l="1"/>
  <c r="AQ13" i="5" s="1"/>
  <c r="AA13" i="5"/>
  <c r="AF13" i="5"/>
  <c r="AI13" i="5" s="1"/>
  <c r="AV13" i="5"/>
  <c r="AY13" i="5" s="1"/>
</calcChain>
</file>

<file path=xl/sharedStrings.xml><?xml version="1.0" encoding="utf-8"?>
<sst xmlns="http://schemas.openxmlformats.org/spreadsheetml/2006/main" count="892" uniqueCount="343">
  <si>
    <t>On-Peak Hours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</si>
  <si>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</si>
  <si>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</si>
  <si>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</si>
  <si>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</si>
  <si>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</si>
  <si>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</si>
  <si>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</si>
  <si>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</si>
  <si>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</si>
  <si>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</si>
  <si>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</si>
  <si>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</si>
  <si>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</si>
  <si>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</si>
  <si>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</si>
  <si>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</si>
  <si>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</si>
  <si>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Total Avoided Costs</t>
  </si>
  <si>
    <t>At Stated Capacity Factor</t>
  </si>
  <si>
    <t>Total Avoided 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</si>
  <si>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</si>
  <si>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</si>
  <si>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</si>
  <si>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</si>
  <si>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</si>
  <si>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</si>
  <si>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</si>
  <si>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</si>
  <si>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</si>
  <si>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</si>
  <si>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</si>
  <si>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(f)</t>
  </si>
  <si>
    <t>Fuel Cost</t>
  </si>
  <si>
    <t>Table 3</t>
  </si>
  <si>
    <t>Table 4</t>
  </si>
  <si>
    <t>Table 5</t>
  </si>
  <si>
    <t>Table 7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</si>
  <si>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</si>
  <si>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</si>
  <si>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</si>
  <si>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</si>
  <si>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</si>
  <si>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</si>
  <si>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</si>
  <si>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</si>
  <si>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</si>
  <si>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</si>
  <si>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</si>
  <si>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</si>
  <si>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</si>
  <si>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</si>
  <si>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</si>
  <si>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</si>
  <si>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</si>
  <si>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</si>
  <si>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</si>
  <si>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</si>
  <si>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</si>
  <si>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</si>
  <si>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</si>
  <si>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</si>
  <si>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Winter</t>
  </si>
  <si>
    <t>Summer</t>
  </si>
  <si>
    <t>Source: (a)(c)(d)</t>
  </si>
  <si>
    <t>aMW</t>
  </si>
  <si>
    <t>Avoided Resource</t>
  </si>
  <si>
    <t>Avoided Costs</t>
  </si>
  <si>
    <t>Comparison between Proposed and Current Avoided Costs</t>
  </si>
  <si>
    <t>Annual Seasonal Average</t>
  </si>
  <si>
    <t>Annual Average</t>
  </si>
  <si>
    <t>Cap Cost</t>
  </si>
  <si>
    <t>Fixed</t>
  </si>
  <si>
    <t>Heat Rate</t>
  </si>
  <si>
    <t>MW</t>
  </si>
  <si>
    <t>Table 1</t>
  </si>
  <si>
    <t>Percent</t>
  </si>
  <si>
    <t>CCCT Statistics</t>
  </si>
  <si>
    <t>Capacity Weighted</t>
  </si>
  <si>
    <t>CF</t>
  </si>
  <si>
    <t>Energy Weighted</t>
  </si>
  <si>
    <t>Fixed Cost</t>
  </si>
  <si>
    <t>Peak</t>
  </si>
  <si>
    <t>Source:</t>
  </si>
  <si>
    <t>Blended Resource</t>
  </si>
  <si>
    <t>Table 8</t>
  </si>
  <si>
    <t>Total Cost of Displaceable Resources</t>
  </si>
  <si>
    <t>Page 1 of 3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</si>
  <si>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</si>
  <si>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</si>
  <si>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</si>
  <si>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</si>
  <si>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</si>
  <si>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</si>
  <si>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</si>
  <si>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</si>
  <si>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</si>
  <si>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CCCT</t>
  </si>
  <si>
    <t>Duct Firing</t>
  </si>
  <si>
    <t>Table 9</t>
  </si>
  <si>
    <t>Burnertip</t>
  </si>
  <si>
    <t>Source</t>
  </si>
  <si>
    <t>Gas Fuel Costs</t>
  </si>
  <si>
    <t>Delivered</t>
  </si>
  <si>
    <t xml:space="preserve">Combined </t>
  </si>
  <si>
    <t>East Side Gas</t>
  </si>
  <si>
    <t>Natural Gas Price - Delivered to Plant</t>
  </si>
  <si>
    <t>($/MWH)</t>
  </si>
  <si>
    <t>Prices on this tab are formated to be cut and pasted directly into the tariff page</t>
  </si>
  <si>
    <t>Table 10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</si>
  <si>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</si>
  <si>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</si>
  <si>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</si>
  <si>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</si>
  <si>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</si>
  <si>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</si>
  <si>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</si>
  <si>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 xml:space="preserve">  Plant capacity cost</t>
  </si>
  <si>
    <t xml:space="preserve">  Heat Rate in btu/kWh</t>
  </si>
  <si>
    <t xml:space="preserve">  Energy Weighted Capacity Factor</t>
  </si>
  <si>
    <t>Month</t>
  </si>
  <si>
    <t>Load and Resource (L&amp;R) Balance</t>
  </si>
  <si>
    <t>Peak (MW)</t>
  </si>
  <si>
    <t>Table 11</t>
  </si>
  <si>
    <t>Deficit</t>
  </si>
  <si>
    <t>Months / Year</t>
  </si>
  <si>
    <t xml:space="preserve">  Fixed Pipeline</t>
  </si>
  <si>
    <t>Total Resource Energy Cost</t>
  </si>
  <si>
    <t>Total Resource Costs</t>
  </si>
  <si>
    <t>$/MWh</t>
  </si>
  <si>
    <t>(g)</t>
  </si>
  <si>
    <t>(h)</t>
  </si>
  <si>
    <t>(i)</t>
  </si>
  <si>
    <t>Calendar Year</t>
  </si>
  <si>
    <t>Peak Energy Prices (¢/kWh)</t>
  </si>
  <si>
    <t>Off-Peak Energy Prices (¢/kWh)</t>
  </si>
  <si>
    <t xml:space="preserve">Deliveries During </t>
  </si>
  <si>
    <t>IRP Preferred Portfolio</t>
  </si>
  <si>
    <t>Plant Costs  - 2013 IRP - Table 6.1 &amp; 6.2</t>
  </si>
  <si>
    <t>CCCT Dry "J", Adv 1x1 - East Side Resource (5,050')</t>
  </si>
  <si>
    <t>CCCT Dry "J" - Duct Firing</t>
  </si>
  <si>
    <t>CCCT Dry "J" - Turbine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</si>
  <si>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</si>
  <si>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</si>
  <si>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</si>
  <si>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Capacity Deficit Months per Year</t>
  </si>
  <si>
    <t xml:space="preserve">Capacity deficit months per year is a count of the number of months each year </t>
  </si>
  <si>
    <t>IRP Proxy Resource On-Line Year; QF receives long-run avoided cost</t>
  </si>
  <si>
    <t>Included</t>
  </si>
  <si>
    <t>GRID production cost model study</t>
  </si>
  <si>
    <t xml:space="preserve">  Capitalized energy split 50% as ordered in Docket No. 03-035-14</t>
  </si>
  <si>
    <t>Excerpt from 2013 IRP Update Table 5.5</t>
  </si>
  <si>
    <t>Discount Rate - 2013 IRP Update Page 39</t>
  </si>
  <si>
    <t>Combined costs are 56% on-peak 44% off-peak</t>
  </si>
  <si>
    <t>Capacity Contribution</t>
  </si>
  <si>
    <t>Wind</t>
  </si>
  <si>
    <t xml:space="preserve">    For partial year 2014, capacity is allocated across 4,416 hours</t>
  </si>
  <si>
    <t>Avoided Costs for Base Load QF</t>
  </si>
  <si>
    <t>Avoided Costs for Wind QF</t>
  </si>
  <si>
    <t>Inter-hour Wind Integration Costs</t>
  </si>
  <si>
    <t>Integration Costs</t>
  </si>
  <si>
    <t>We therefore directed PacifiCorp to apply a solar integration charge of</t>
  </si>
  <si>
    <t>Tracking Solar ($2.18 /MWh)</t>
  </si>
  <si>
    <t>Fixed Solar ($2.83 /MWh)</t>
  </si>
  <si>
    <t>Total Wind Integration Costs</t>
  </si>
  <si>
    <t>(c) = (a) +(b)</t>
  </si>
  <si>
    <t>Table 12</t>
  </si>
  <si>
    <t>Base Load QF</t>
  </si>
  <si>
    <t>Wind QF</t>
  </si>
  <si>
    <t>Solar-Fixed QF</t>
  </si>
  <si>
    <t>Solar-Tracking QF</t>
  </si>
  <si>
    <t>On-Peak Price</t>
  </si>
  <si>
    <t>Off-Peak Price</t>
  </si>
  <si>
    <t>Cost</t>
  </si>
  <si>
    <t xml:space="preserve"> Integration</t>
  </si>
  <si>
    <t>Solar</t>
  </si>
  <si>
    <t>Avoided Cost Prices for Wind QF</t>
  </si>
  <si>
    <t>Avoided Cost Prices for Base Load QF</t>
  </si>
  <si>
    <t>Off-Peak Energy Prices (¢/kWh) (2)</t>
  </si>
  <si>
    <t>Table 2A</t>
  </si>
  <si>
    <t>Table 2B</t>
  </si>
  <si>
    <t>Table 2C</t>
  </si>
  <si>
    <t>Table 2D</t>
  </si>
  <si>
    <t>Table 6a</t>
  </si>
  <si>
    <t>Table 6b</t>
  </si>
  <si>
    <t>Base Load - On- &amp; Off- Peak Energy Prices</t>
  </si>
  <si>
    <t>Wind - On- &amp; Off- Peak Energy Prices</t>
  </si>
  <si>
    <t>Table 6c</t>
  </si>
  <si>
    <t>Solar Fixed - On- &amp; Off- Peak Energy Prices</t>
  </si>
  <si>
    <t>Table 6d</t>
  </si>
  <si>
    <t>Solar Tracking - On- &amp; Off- Peak Energy Prices</t>
  </si>
  <si>
    <t xml:space="preserve">$2.83 per megawatt hour for Fixed Solar resources and a $2.18 per megawatt </t>
  </si>
  <si>
    <t xml:space="preserve">hour solar integration cost for Tracking Solar resources based on the wind </t>
  </si>
  <si>
    <t>integration charge of $4.35 per megawatt hour levelized starting in 2013.</t>
  </si>
  <si>
    <t>Capacity (MW)</t>
  </si>
  <si>
    <t>Resource</t>
  </si>
  <si>
    <t>East</t>
  </si>
  <si>
    <t>Existing Plant Retirements/Conversions</t>
  </si>
  <si>
    <t>Hayden1</t>
  </si>
  <si>
    <t>Hayden2</t>
  </si>
  <si>
    <t>Carbon1  (Early Retirement/Conversion)</t>
  </si>
  <si>
    <t>Carbon2  (Early Retirement/Conversion)</t>
  </si>
  <si>
    <t>Cholla1  (Early Retirement/Conversion)</t>
  </si>
  <si>
    <t>Johnston1</t>
  </si>
  <si>
    <t>Johnston2</t>
  </si>
  <si>
    <t>Johnston3</t>
  </si>
  <si>
    <t>Johnston4</t>
  </si>
  <si>
    <t>Naughton1</t>
  </si>
  <si>
    <t>Naughton2</t>
  </si>
  <si>
    <t>Naughton3  (Early Retirement/Conversion)</t>
  </si>
  <si>
    <t>Coal Ret_UT - Gas RePower</t>
  </si>
  <si>
    <t>Coal Ret_WY - Gas RePower</t>
  </si>
  <si>
    <t>Expansion Resources</t>
  </si>
  <si>
    <t>CCCT FD 2x1</t>
  </si>
  <si>
    <t>CCCT GH 1x1</t>
  </si>
  <si>
    <t>CCCT J 1x1</t>
  </si>
  <si>
    <t>Lake Side II</t>
  </si>
  <si>
    <t>Coal Plant Turbine Upgrades</t>
  </si>
  <si>
    <t xml:space="preserve">    Wind, Wyoming, 40</t>
  </si>
  <si>
    <t>Total Wind</t>
  </si>
  <si>
    <t>CHP - Biomass</t>
  </si>
  <si>
    <t>CHP - Other</t>
  </si>
  <si>
    <t xml:space="preserve">    DSM, Class 1, ID-Irrigate</t>
  </si>
  <si>
    <t xml:space="preserve">    DSM, Class 1, UT-Curtail</t>
  </si>
  <si>
    <t xml:space="preserve">    DSM, Class 1, UT-Irrigate</t>
  </si>
  <si>
    <t xml:space="preserve">    DSM, Class 1, WY-Irrigate</t>
  </si>
  <si>
    <t>DSM, Class 1 Total</t>
  </si>
  <si>
    <t xml:space="preserve">    DSM, Class 2, ID</t>
  </si>
  <si>
    <t xml:space="preserve">    DSM, Class 2, UT</t>
  </si>
  <si>
    <t xml:space="preserve">    DSM, Class 2, WY</t>
  </si>
  <si>
    <t>DSM, Class 2 Total</t>
  </si>
  <si>
    <t>Micro Solar - PV</t>
  </si>
  <si>
    <t>Micro Solar - Water Heating</t>
  </si>
  <si>
    <t>FOT Mona Q3</t>
  </si>
  <si>
    <t>West</t>
  </si>
  <si>
    <t xml:space="preserve">    DSM, Class 1, OR-Curtail</t>
  </si>
  <si>
    <t xml:space="preserve">    DSM, Class 1, OR-DLC-IRR</t>
  </si>
  <si>
    <t xml:space="preserve">    DSM, Class 1, CA-DLC-IRR</t>
  </si>
  <si>
    <t xml:space="preserve">    DSM, Class 1, CA-Curtail</t>
  </si>
  <si>
    <t>DSM, Class 1  Total</t>
  </si>
  <si>
    <t xml:space="preserve">    DSM, Class 2, CA</t>
  </si>
  <si>
    <t xml:space="preserve">    DSM, Class 2, OR</t>
  </si>
  <si>
    <t xml:space="preserve">    DSM, Class 2, WA</t>
  </si>
  <si>
    <t>DSM, Class 2  Total</t>
  </si>
  <si>
    <t>OR Solar (Util Cap Standard &amp; Cust Incentive Prgm)</t>
  </si>
  <si>
    <t>Signed Contract - OR Solar</t>
  </si>
  <si>
    <t>FOT COB Q3</t>
  </si>
  <si>
    <t>FOT NOB Q3</t>
  </si>
  <si>
    <t>FOT MidColumbia Q3</t>
  </si>
  <si>
    <t>FOT MidColumbia Q3 - 2</t>
  </si>
  <si>
    <t>Annual Additions, Long Term Resources</t>
  </si>
  <si>
    <t>Annual Additions, Short Term Resources</t>
  </si>
  <si>
    <t>Total Annual Additions</t>
  </si>
  <si>
    <t>1/ Front office transaction amounts reflect one-year transaction periods, are not additive, and are reported as a 10/20-year annual average.</t>
  </si>
  <si>
    <t>Resource Totals 1/</t>
  </si>
  <si>
    <t>10-year</t>
  </si>
  <si>
    <t>20-year</t>
  </si>
  <si>
    <t>SCCT Frame "F" x 1 - East Side Resource (4,250')</t>
  </si>
  <si>
    <t>Avoided Costs for Fixed Solar QF</t>
  </si>
  <si>
    <t>Avoided Costs for Tracking Solar QF</t>
  </si>
  <si>
    <t xml:space="preserve">that the Company is capacity deficit as calculated by GRID using existing resources.  </t>
  </si>
  <si>
    <t xml:space="preserve">Positive values reflect months when the Company is capacity surplus.  Negative </t>
  </si>
  <si>
    <t xml:space="preserve">values reflect months when the Company is capacity deficit. </t>
  </si>
  <si>
    <t>Intra-hour Wind Integration Costs</t>
  </si>
  <si>
    <t>(2): On- and off- peak prices are reduced by integration charges.</t>
  </si>
  <si>
    <t>Avoided Cost Prices for Fixed Solar QF</t>
  </si>
  <si>
    <t>(1): Peak Price reflect 84.0% capacity contribution of Tracking Solar QF.</t>
  </si>
  <si>
    <t>(2): On and off peak prices are reduced by integration charges.</t>
  </si>
  <si>
    <t>Avoided Cost Prices for Tracking Solar QF</t>
  </si>
  <si>
    <t>on-peak Summer</t>
  </si>
  <si>
    <t>on-peak Winter</t>
  </si>
  <si>
    <t>off-peak Summer</t>
  </si>
  <si>
    <t>off-peak Winter</t>
  </si>
  <si>
    <t>The 2013 IRP was prepared using a 13% planning reserve margin.  See 2013 IRP, page 162.</t>
  </si>
  <si>
    <t>(1): Peak Prices reflect 20.5% capacity contribution of wind QF.</t>
  </si>
  <si>
    <t>Integration costs filed July 19,2013 - Utah 2013.Q2 Compliance Filing</t>
  </si>
  <si>
    <t>Utah Commission Ordered Methodology - Docket 12-035-100</t>
  </si>
  <si>
    <t>Utah Commission Order dated October 4, 2013</t>
  </si>
  <si>
    <t>(1): Peak Price reflect 68.0% capacity contribution of Fixed Solar QF.</t>
  </si>
  <si>
    <t>Official Forward Price Curve dated March 2014</t>
  </si>
  <si>
    <t>Official Forward Price Curve dated March 2014, adjusted to remove the impact of carbon regulation from prices for electricity.</t>
  </si>
  <si>
    <t>$ With degradation</t>
  </si>
  <si>
    <t>MWh With degradation</t>
  </si>
  <si>
    <t>Chck $</t>
  </si>
  <si>
    <t>NPV</t>
  </si>
  <si>
    <t>20 year Levelized</t>
  </si>
  <si>
    <t>(3): Assuming  annual degradation of 0.7%.</t>
  </si>
  <si>
    <t>Peak Winter</t>
  </si>
  <si>
    <t>Peak Summer</t>
  </si>
  <si>
    <t>Off Peak  Winter</t>
  </si>
  <si>
    <t>Off Peak  Summer</t>
  </si>
  <si>
    <t>0.7 % Degradation</t>
  </si>
  <si>
    <t>Natural Gas Price Delivered to Plant  ($/MMBtu)</t>
  </si>
  <si>
    <t>Market Prices in $/MWH</t>
  </si>
  <si>
    <t>FORWARD PRICE CURVE SUMMARY</t>
  </si>
  <si>
    <t>Quotes Dated:</t>
  </si>
  <si>
    <t>Burnertip Annual</t>
  </si>
  <si>
    <t>Sample of source data</t>
  </si>
  <si>
    <t>Average Price</t>
  </si>
  <si>
    <t>Date</t>
  </si>
  <si>
    <t>Mid C</t>
  </si>
  <si>
    <t>PV</t>
  </si>
  <si>
    <t>Chk Ttl</t>
  </si>
  <si>
    <t>East Side</t>
  </si>
  <si>
    <t>Check Totals</t>
  </si>
  <si>
    <t>PV HLH/Flat Ratio</t>
  </si>
  <si>
    <t>PV Flat</t>
  </si>
  <si>
    <t>PV LLH/Flat Ratio</t>
  </si>
  <si>
    <t>HLH Ratio</t>
  </si>
  <si>
    <t>LLH Ratio</t>
  </si>
  <si>
    <t xml:space="preserve">(1): On-peak prices have been shaped by the relationship of Palo Verde  On-peak market price to Palo Verde market price. </t>
  </si>
  <si>
    <t>On-Peak Price = [GRID Production Cost Model Avoided Cost Price] x [Monthly On-Peak Palo Verde Market Price] / [Monthly Palo Verde Market Price]</t>
  </si>
  <si>
    <t>On-Peak (1)</t>
  </si>
  <si>
    <t xml:space="preserve">(2): Off-peak Prices have been shaped by the relationship of Palo Verde  Off-peak market price to Palo Verde market price. </t>
  </si>
  <si>
    <t>Off-Peak Price = [GRID Production Cost Model Avoided Cost Price] x [Monthly Off-Peak Palo Verde Market Price] / [Monthly Palo Verde Market Price]</t>
  </si>
  <si>
    <t>Off-Peak (2)</t>
  </si>
  <si>
    <t>Combined ( 56% On-Peak 44% Off-Peak) (3)</t>
  </si>
  <si>
    <t>(3): Combined</t>
  </si>
  <si>
    <t>On Peak Energy Prices (¢/kWh)</t>
  </si>
  <si>
    <t>20-year (2015-2034) Nominal Levelized</t>
  </si>
  <si>
    <t>On Peak Energy Prices (¢/kWh) (1,2)</t>
  </si>
  <si>
    <t>Average Avoided Energy Costs (GRID Production Cost Model Study)</t>
  </si>
  <si>
    <t xml:space="preserve">(1): On-peak prices for BaseLoad QF minus integration costs. </t>
  </si>
  <si>
    <t>(3): Combined costs are 56% on-peak 44% off-peak</t>
  </si>
  <si>
    <t xml:space="preserve">(2): Off-peak prices for BaseLoad QF minus integration costs. </t>
  </si>
  <si>
    <t>On-Peak Energy Cost</t>
  </si>
  <si>
    <t>Off-Peak Energy Cost</t>
  </si>
  <si>
    <t>hours</t>
  </si>
  <si>
    <t>Generation Profile_Baseload</t>
  </si>
  <si>
    <t>Generation Profile_Wind*</t>
  </si>
  <si>
    <t>Generation Profile_Solar*</t>
  </si>
  <si>
    <t>BASE LOAD</t>
  </si>
  <si>
    <t>WIND</t>
  </si>
  <si>
    <t>SOLAR FIXED</t>
  </si>
  <si>
    <t>SOLAR TRACKING</t>
  </si>
  <si>
    <t>Proposed (1)</t>
  </si>
  <si>
    <t>Total Avoided Costs with Capacity Costs included at 85.0% Capacity Factor</t>
  </si>
  <si>
    <t>Total Avoided Costs with Capacity Costs included at 40.0% Capacity Factor</t>
  </si>
  <si>
    <t>Total Avoided Costs with Capacity Costs included at 18.5% Capacity Factor</t>
  </si>
  <si>
    <t>Total Avoided Costs with Capacity Costs included at 29.0% Capacity Factor</t>
  </si>
  <si>
    <t>Current (2)</t>
  </si>
  <si>
    <t>(1): Proposed rates are based on the October 21, 2014 dated Commission order with  adjustsment made to differentiate on-peak and off-peaf rates during resource suffiency period.</t>
  </si>
  <si>
    <t>(2): Current rates that were approved by the October 21, 2014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</si>
</sst>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&quot;$&quot;###0;[Red]\(&quot;$&quot;###0\)"/>
    <numFmt numFmtId="172" formatCode="_(&quot;$&quot;* #,##0_);_(&quot;$&quot;* \(#,##0\);_(&quot;$&quot;* &quot;-&quot;??_);_(@_)"/>
    <numFmt numFmtId="173" formatCode="_(* #,##0.000_);_(* \(#,##0.000\);_(* &quot;-&quot;_);_(@_)"/>
    <numFmt numFmtId="174" formatCode="&quot;$&quot;#,##0.000_);[Red]\(&quot;$&quot;#,##0.000\)"/>
    <numFmt numFmtId="175" formatCode="_(* #,##0_);[Red]_(* \(#,##0\);_(* &quot;-&quot;_);_(@_)"/>
    <numFmt numFmtId="176" formatCode="0.000"/>
    <numFmt numFmtId="177" formatCode="0.000%"/>
    <numFmt numFmtId="178" formatCode="#,##0.000_);\(#,##0.000\)"/>
    <numFmt numFmtId="179" formatCode="_(* #,##0.000_);[Red]_(* \(#,##0.000\);_(* &quot;-&quot;_);_(@_)"/>
    <numFmt numFmtId="180" formatCode="_(* #,##0.00_);[Red]_(* \(#,##0.00\);_(* &quot;-&quot;_);_(@_)"/>
    <numFmt numFmtId="181" formatCode="_(* #,##0.000_);_(* \(#,##0.000\);_(* &quot;-&quot;??_);_(@_)"/>
    <numFmt numFmtId="182" formatCode="_(* #,##0.0000_);_(* \(#,##0.0000\);_(* &quot;-&quot;??_);_(@_)"/>
    <numFmt numFmtId="183" formatCode="[$-409]mmmm\ d\,\ yyyy;@"/>
    <numFmt numFmtId="184" formatCode="_(* #,##0.00000_);[Red]_(* \(#,##0.00000\);_(* &quot;-&quot;_);_(@_)"/>
    <numFmt numFmtId="185" formatCode="_(* #,##0.0_);[Red]_(* \(#,##0.0\);_(* &quot;-&quot;_);_(@_)"/>
  </numFmts>
  <fonts count="32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175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5" fillId="0" borderId="0" applyFont="0" applyFill="0" applyBorder="0" applyProtection="0">
      <alignment horizontal="right"/>
    </xf>
    <xf numFmtId="0" fontId="14" fillId="0" borderId="0" applyNumberFormat="0" applyFill="0" applyBorder="0" applyAlignment="0">
      <protection locked="0"/>
    </xf>
    <xf numFmtId="165" fontId="16" fillId="0" borderId="0" applyNumberFormat="0" applyFill="0" applyBorder="0" applyAlignment="0" applyProtection="0"/>
    <xf numFmtId="0" fontId="17" fillId="0" borderId="1" applyNumberFormat="0" applyBorder="0" applyAlignment="0"/>
    <xf numFmtId="41" fontId="4" fillId="0" borderId="0"/>
    <xf numFmtId="0" fontId="4" fillId="0" borderId="0"/>
    <xf numFmtId="175" fontId="4" fillId="0" borderId="0"/>
    <xf numFmtId="0" fontId="2" fillId="0" borderId="0"/>
    <xf numFmtId="175" fontId="2" fillId="0" borderId="0"/>
    <xf numFmtId="12" fontId="13" fillId="2" borderId="2">
      <alignment horizontal="left"/>
    </xf>
    <xf numFmtId="9" fontId="2" fillId="0" borderId="0" applyFont="0" applyFill="0" applyBorder="0" applyAlignment="0" applyProtection="0"/>
    <xf numFmtId="37" fontId="17" fillId="3" borderId="0" applyNumberFormat="0" applyBorder="0" applyAlignment="0" applyProtection="0"/>
    <xf numFmtId="37" fontId="18" fillId="0" borderId="0"/>
    <xf numFmtId="3" fontId="19" fillId="4" borderId="3" applyProtection="0"/>
    <xf numFmtId="175" fontId="2" fillId="0" borderId="0"/>
    <xf numFmtId="175" fontId="4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509">
    <xf numFmtId="175" fontId="0" fillId="0" borderId="0" xfId="0"/>
    <xf numFmtId="175" fontId="5" fillId="0" borderId="0" xfId="0" applyFont="1" applyFill="1" applyAlignment="1">
      <alignment horizontal="centerContinuous"/>
    </xf>
    <xf numFmtId="175" fontId="12" fillId="0" borderId="0" xfId="0" applyFont="1" applyFill="1" applyAlignment="1">
      <alignment horizontal="centerContinuous"/>
    </xf>
    <xf numFmtId="175" fontId="6" fillId="0" borderId="0" xfId="0" applyFont="1" applyFill="1" applyAlignment="1">
      <alignment horizontal="centerContinuous"/>
    </xf>
    <xf numFmtId="8" fontId="8" fillId="0" borderId="0" xfId="0" applyNumberFormat="1" applyFont="1" applyFill="1" applyAlignment="1">
      <alignment horizontal="center"/>
    </xf>
    <xf numFmtId="175" fontId="9" fillId="0" borderId="0" xfId="0" applyFont="1" applyFill="1"/>
    <xf numFmtId="175" fontId="9" fillId="0" borderId="0" xfId="0" applyFont="1" applyFill="1" applyAlignment="1">
      <alignment horizontal="centerContinuous"/>
    </xf>
    <xf numFmtId="175" fontId="10" fillId="0" borderId="0" xfId="0" applyFont="1" applyFill="1"/>
    <xf numFmtId="175" fontId="5" fillId="0" borderId="0" xfId="0" applyFont="1" applyFill="1" applyBorder="1" applyAlignment="1">
      <alignment horizontal="center"/>
    </xf>
    <xf numFmtId="175" fontId="6" fillId="0" borderId="0" xfId="0" applyFont="1" applyFill="1" applyBorder="1" applyAlignment="1">
      <alignment horizontal="center"/>
    </xf>
    <xf numFmtId="8" fontId="8" fillId="0" borderId="0" xfId="0" applyNumberFormat="1" applyFont="1" applyFill="1" applyAlignment="1">
      <alignment horizontal="centerContinuous"/>
    </xf>
    <xf numFmtId="175" fontId="8" fillId="0" borderId="0" xfId="0" quotePrefix="1" applyFont="1" applyFill="1" applyAlignment="1">
      <alignment horizontal="center"/>
    </xf>
    <xf numFmtId="8" fontId="8" fillId="0" borderId="0" xfId="0" applyNumberFormat="1" applyFont="1" applyFill="1" applyAlignment="1"/>
    <xf numFmtId="175" fontId="3" fillId="0" borderId="0" xfId="0" applyFont="1" applyFill="1" applyBorder="1" applyAlignment="1">
      <alignment horizontal="left"/>
    </xf>
    <xf numFmtId="175" fontId="10" fillId="0" borderId="0" xfId="0" applyFont="1" applyFill="1" applyAlignment="1">
      <alignment horizontal="centerContinuous"/>
    </xf>
    <xf numFmtId="175" fontId="5" fillId="0" borderId="0" xfId="0" applyFont="1" applyFill="1" applyBorder="1" applyAlignment="1">
      <alignment horizontal="centerContinuous"/>
    </xf>
    <xf numFmtId="175" fontId="6" fillId="0" borderId="0" xfId="0" applyFont="1" applyFill="1" applyBorder="1" applyAlignment="1">
      <alignment horizontal="centerContinuous"/>
    </xf>
    <xf numFmtId="8" fontId="8" fillId="0" borderId="0" xfId="0" applyNumberFormat="1" applyFont="1" applyFill="1" applyBorder="1" applyAlignment="1">
      <alignment horizontal="left"/>
    </xf>
    <xf numFmtId="169" fontId="11" fillId="0" borderId="0" xfId="13" applyNumberFormat="1" applyFont="1" applyFill="1"/>
    <xf numFmtId="41" fontId="11" fillId="0" borderId="0" xfId="7" applyFont="1" applyFill="1"/>
    <xf numFmtId="164" fontId="11" fillId="0" borderId="0" xfId="7" applyNumberFormat="1" applyFont="1" applyFill="1"/>
    <xf numFmtId="175" fontId="7" fillId="0" borderId="0" xfId="0" applyFont="1" applyFill="1" applyBorder="1" applyAlignment="1">
      <alignment horizontal="center"/>
    </xf>
    <xf numFmtId="175" fontId="7" fillId="0" borderId="0" xfId="0" quotePrefix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75" fontId="5" fillId="0" borderId="0" xfId="9" applyFont="1" applyFill="1" applyAlignment="1">
      <alignment horizontal="centerContinuous"/>
    </xf>
    <xf numFmtId="175" fontId="3" fillId="0" borderId="4" xfId="9" applyFont="1" applyFill="1" applyBorder="1" applyAlignment="1">
      <alignment horizontal="center"/>
    </xf>
    <xf numFmtId="175" fontId="3" fillId="0" borderId="4" xfId="9" applyFont="1" applyFill="1" applyBorder="1" applyAlignment="1">
      <alignment horizontal="center" wrapText="1"/>
    </xf>
    <xf numFmtId="175" fontId="12" fillId="0" borderId="10" xfId="9" applyFont="1" applyFill="1" applyBorder="1" applyAlignment="1">
      <alignment horizontal="centerContinuous"/>
    </xf>
    <xf numFmtId="175" fontId="20" fillId="0" borderId="10" xfId="9" quotePrefix="1" applyFont="1" applyFill="1" applyBorder="1" applyAlignment="1">
      <alignment horizontal="center" wrapText="1"/>
    </xf>
    <xf numFmtId="175" fontId="20" fillId="0" borderId="10" xfId="9" applyFont="1" applyFill="1" applyBorder="1" applyAlignment="1">
      <alignment horizontal="center" wrapText="1"/>
    </xf>
    <xf numFmtId="175" fontId="7" fillId="0" borderId="0" xfId="9" quotePrefix="1" applyFont="1" applyFill="1" applyBorder="1" applyAlignment="1">
      <alignment horizontal="center"/>
    </xf>
    <xf numFmtId="175" fontId="21" fillId="0" borderId="0" xfId="9" applyFont="1" applyFill="1" applyBorder="1"/>
    <xf numFmtId="175" fontId="3" fillId="0" borderId="19" xfId="9" applyFont="1" applyFill="1" applyBorder="1" applyAlignment="1">
      <alignment horizontal="centerContinuous"/>
    </xf>
    <xf numFmtId="175" fontId="6" fillId="0" borderId="0" xfId="9" applyFont="1" applyFill="1" applyAlignment="1">
      <alignment horizontal="centerContinuous"/>
    </xf>
    <xf numFmtId="175" fontId="3" fillId="0" borderId="0" xfId="9" applyFont="1" applyFill="1" applyAlignment="1">
      <alignment horizontal="centerContinuous"/>
    </xf>
    <xf numFmtId="175" fontId="3" fillId="0" borderId="11" xfId="9" applyFont="1" applyFill="1" applyBorder="1" applyAlignment="1">
      <alignment horizontal="centerContinuous"/>
    </xf>
    <xf numFmtId="175" fontId="3" fillId="0" borderId="5" xfId="9" applyFont="1" applyFill="1" applyBorder="1" applyAlignment="1">
      <alignment horizontal="centerContinuous"/>
    </xf>
    <xf numFmtId="175" fontId="3" fillId="0" borderId="11" xfId="9" applyFont="1" applyFill="1" applyBorder="1" applyAlignment="1">
      <alignment horizontal="center"/>
    </xf>
    <xf numFmtId="41" fontId="11" fillId="0" borderId="0" xfId="9" applyNumberFormat="1" applyFont="1" applyFill="1"/>
    <xf numFmtId="6" fontId="11" fillId="0" borderId="0" xfId="2" applyNumberFormat="1" applyFont="1" applyFill="1"/>
    <xf numFmtId="8" fontId="11" fillId="0" borderId="0" xfId="2" applyNumberFormat="1" applyFont="1" applyFill="1"/>
    <xf numFmtId="175" fontId="11" fillId="0" borderId="0" xfId="9" applyFont="1" applyFill="1"/>
    <xf numFmtId="43" fontId="11" fillId="0" borderId="0" xfId="2" applyNumberFormat="1" applyFont="1" applyFill="1"/>
    <xf numFmtId="164" fontId="7" fillId="0" borderId="0" xfId="9" applyNumberFormat="1" applyFont="1" applyFill="1" applyAlignment="1">
      <alignment horizontal="right"/>
    </xf>
    <xf numFmtId="175" fontId="3" fillId="0" borderId="8" xfId="9" applyFont="1" applyFill="1" applyBorder="1" applyAlignment="1">
      <alignment horizontal="centerContinuous"/>
    </xf>
    <xf numFmtId="175" fontId="3" fillId="0" borderId="6" xfId="9" applyFont="1" applyFill="1" applyBorder="1" applyAlignment="1">
      <alignment horizontal="center"/>
    </xf>
    <xf numFmtId="175" fontId="3" fillId="0" borderId="10" xfId="9" applyFont="1" applyFill="1" applyBorder="1" applyAlignment="1">
      <alignment horizontal="center"/>
    </xf>
    <xf numFmtId="175" fontId="22" fillId="0" borderId="0" xfId="9" applyFont="1" applyFill="1" applyAlignment="1">
      <alignment horizontal="left"/>
    </xf>
    <xf numFmtId="167" fontId="8" fillId="0" borderId="0" xfId="0" applyNumberFormat="1" applyFont="1" applyFill="1" applyBorder="1" applyAlignment="1">
      <alignment horizontal="center"/>
    </xf>
    <xf numFmtId="175" fontId="5" fillId="0" borderId="0" xfId="11" applyFont="1" applyAlignment="1">
      <alignment horizontal="centerContinuous"/>
    </xf>
    <xf numFmtId="175" fontId="4" fillId="0" borderId="0" xfId="11" applyFont="1"/>
    <xf numFmtId="175" fontId="7" fillId="0" borderId="10" xfId="0" quotePrefix="1" applyFont="1" applyFill="1" applyBorder="1" applyAlignment="1">
      <alignment horizontal="center"/>
    </xf>
    <xf numFmtId="164" fontId="4" fillId="0" borderId="0" xfId="0" applyNumberFormat="1" applyFont="1"/>
    <xf numFmtId="41" fontId="11" fillId="0" borderId="0" xfId="9" applyNumberFormat="1" applyFont="1" applyFill="1" applyAlignment="1">
      <alignment horizontal="center"/>
    </xf>
    <xf numFmtId="175" fontId="3" fillId="0" borderId="20" xfId="0" applyFont="1" applyFill="1" applyBorder="1" applyAlignment="1">
      <alignment horizontal="centerContinuous"/>
    </xf>
    <xf numFmtId="175" fontId="3" fillId="0" borderId="23" xfId="0" applyFont="1" applyFill="1" applyBorder="1" applyAlignment="1">
      <alignment horizontal="centerContinuous"/>
    </xf>
    <xf numFmtId="175" fontId="0" fillId="0" borderId="0" xfId="9" applyFont="1" applyFill="1"/>
    <xf numFmtId="175" fontId="3" fillId="0" borderId="11" xfId="0" applyFont="1" applyFill="1" applyBorder="1" applyAlignment="1">
      <alignment horizontal="center"/>
    </xf>
    <xf numFmtId="175" fontId="0" fillId="0" borderId="5" xfId="0" applyFont="1" applyFill="1" applyBorder="1" applyAlignment="1">
      <alignment horizontal="centerContinuous"/>
    </xf>
    <xf numFmtId="175" fontId="0" fillId="0" borderId="17" xfId="0" applyFont="1" applyFill="1" applyBorder="1" applyAlignment="1">
      <alignment horizontal="centerContinuous"/>
    </xf>
    <xf numFmtId="175" fontId="0" fillId="0" borderId="0" xfId="0" applyFont="1" applyFill="1"/>
    <xf numFmtId="172" fontId="0" fillId="0" borderId="0" xfId="2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64" fontId="0" fillId="0" borderId="0" xfId="0" applyNumberFormat="1" applyFont="1" applyFill="1"/>
    <xf numFmtId="9" fontId="0" fillId="0" borderId="0" xfId="0" applyNumberFormat="1" applyFont="1" applyFill="1"/>
    <xf numFmtId="169" fontId="0" fillId="0" borderId="0" xfId="13" applyNumberFormat="1" applyFont="1" applyFill="1"/>
    <xf numFmtId="43" fontId="0" fillId="0" borderId="0" xfId="1" applyFont="1" applyFill="1"/>
    <xf numFmtId="175" fontId="0" fillId="0" borderId="22" xfId="0" applyFont="1" applyFill="1" applyBorder="1" applyAlignment="1">
      <alignment horizontal="centerContinuous"/>
    </xf>
    <xf numFmtId="1" fontId="0" fillId="0" borderId="0" xfId="10" applyNumberFormat="1" applyFont="1" applyFill="1" applyAlignment="1" applyProtection="1">
      <alignment horizontal="center"/>
      <protection locked="0"/>
    </xf>
    <xf numFmtId="175" fontId="0" fillId="0" borderId="0" xfId="0" applyFont="1" applyFill="1" applyBorder="1"/>
    <xf numFmtId="41" fontId="0" fillId="0" borderId="0" xfId="7" applyFont="1" applyFill="1"/>
    <xf numFmtId="175" fontId="3" fillId="0" borderId="0" xfId="17" applyFont="1" applyFill="1" applyBorder="1" applyAlignment="1">
      <alignment horizontal="center"/>
    </xf>
    <xf numFmtId="175" fontId="3" fillId="0" borderId="4" xfId="0" applyFont="1" applyFill="1" applyBorder="1" applyAlignment="1">
      <alignment horizontal="centerContinuous" wrapText="1"/>
    </xf>
    <xf numFmtId="175" fontId="3" fillId="0" borderId="4" xfId="0" applyFont="1" applyFill="1" applyBorder="1" applyAlignment="1">
      <alignment horizontal="center" wrapText="1"/>
    </xf>
    <xf numFmtId="175" fontId="20" fillId="0" borderId="10" xfId="0" applyFont="1" applyFill="1" applyBorder="1" applyAlignment="1">
      <alignment horizontal="center" wrapText="1"/>
    </xf>
    <xf numFmtId="175" fontId="20" fillId="0" borderId="10" xfId="0" quotePrefix="1" applyFont="1" applyFill="1" applyBorder="1" applyAlignment="1">
      <alignment horizontal="center" wrapText="1"/>
    </xf>
    <xf numFmtId="8" fontId="0" fillId="0" borderId="0" xfId="0" applyNumberFormat="1" applyFont="1" applyFill="1" applyBorder="1"/>
    <xf numFmtId="8" fontId="0" fillId="0" borderId="2" xfId="0" applyNumberFormat="1" applyFont="1" applyFill="1" applyBorder="1"/>
    <xf numFmtId="175" fontId="5" fillId="0" borderId="0" xfId="17" applyFont="1" applyFill="1" applyAlignment="1">
      <alignment horizontal="centerContinuous"/>
    </xf>
    <xf numFmtId="0" fontId="3" fillId="0" borderId="0" xfId="17" applyNumberFormat="1" applyFont="1" applyFill="1" applyBorder="1" applyAlignment="1">
      <alignment horizontal="center"/>
    </xf>
    <xf numFmtId="175" fontId="3" fillId="0" borderId="0" xfId="17" applyFont="1" applyFill="1"/>
    <xf numFmtId="175" fontId="3" fillId="0" borderId="4" xfId="17" applyFont="1" applyFill="1" applyBorder="1" applyAlignment="1">
      <alignment horizontal="center"/>
    </xf>
    <xf numFmtId="0" fontId="3" fillId="0" borderId="13" xfId="17" applyNumberFormat="1" applyFont="1" applyFill="1" applyBorder="1" applyAlignment="1">
      <alignment horizontal="center"/>
    </xf>
    <xf numFmtId="0" fontId="3" fillId="0" borderId="12" xfId="17" applyNumberFormat="1" applyFont="1" applyFill="1" applyBorder="1" applyAlignment="1">
      <alignment horizontal="center"/>
    </xf>
    <xf numFmtId="0" fontId="3" fillId="0" borderId="4" xfId="17" applyNumberFormat="1" applyFont="1" applyFill="1" applyBorder="1" applyAlignment="1">
      <alignment horizontal="center"/>
    </xf>
    <xf numFmtId="0" fontId="3" fillId="0" borderId="6" xfId="17" applyNumberFormat="1" applyFont="1" applyFill="1" applyBorder="1" applyAlignment="1">
      <alignment horizontal="center"/>
    </xf>
    <xf numFmtId="8" fontId="8" fillId="0" borderId="0" xfId="0" applyNumberFormat="1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center"/>
    </xf>
    <xf numFmtId="175" fontId="0" fillId="0" borderId="4" xfId="0" applyFont="1" applyFill="1" applyBorder="1" applyAlignment="1">
      <alignment horizontal="center"/>
    </xf>
    <xf numFmtId="175" fontId="0" fillId="0" borderId="11" xfId="0" applyFont="1" applyFill="1" applyBorder="1" applyAlignment="1">
      <alignment horizontal="centerContinuous"/>
    </xf>
    <xf numFmtId="175" fontId="0" fillId="0" borderId="11" xfId="0" quotePrefix="1" applyFont="1" applyFill="1" applyBorder="1" applyAlignment="1">
      <alignment horizontal="centerContinuous"/>
    </xf>
    <xf numFmtId="175" fontId="0" fillId="0" borderId="10" xfId="0" applyFont="1" applyFill="1" applyBorder="1" applyAlignment="1">
      <alignment horizontal="center"/>
    </xf>
    <xf numFmtId="175" fontId="0" fillId="0" borderId="9" xfId="0" applyFont="1" applyFill="1" applyBorder="1" applyAlignment="1">
      <alignment horizontal="center"/>
    </xf>
    <xf numFmtId="175" fontId="0" fillId="0" borderId="16" xfId="0" applyFont="1" applyFill="1" applyBorder="1" applyAlignment="1">
      <alignment horizontal="center"/>
    </xf>
    <xf numFmtId="175" fontId="0" fillId="0" borderId="0" xfId="0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8" fontId="0" fillId="0" borderId="18" xfId="0" applyNumberFormat="1" applyFont="1" applyFill="1" applyBorder="1" applyAlignment="1">
      <alignment horizontal="center"/>
    </xf>
    <xf numFmtId="8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8" fontId="0" fillId="0" borderId="12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8" fontId="0" fillId="0" borderId="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8" fontId="0" fillId="0" borderId="15" xfId="0" applyNumberFormat="1" applyFont="1" applyFill="1" applyBorder="1" applyAlignment="1">
      <alignment horizontal="center"/>
    </xf>
    <xf numFmtId="8" fontId="0" fillId="0" borderId="9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175" fontId="0" fillId="0" borderId="0" xfId="0" applyFont="1" applyFill="1" applyBorder="1" applyAlignment="1">
      <alignment horizontal="left"/>
    </xf>
    <xf numFmtId="175" fontId="0" fillId="0" borderId="0" xfId="0" quotePrefix="1" applyFont="1" applyFill="1"/>
    <xf numFmtId="175" fontId="0" fillId="0" borderId="11" xfId="0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75" fontId="0" fillId="0" borderId="0" xfId="17" applyFont="1" applyFill="1" applyAlignment="1">
      <alignment horizontal="centerContinuous"/>
    </xf>
    <xf numFmtId="175" fontId="0" fillId="0" borderId="0" xfId="17" applyFont="1" applyFill="1"/>
    <xf numFmtId="175" fontId="0" fillId="0" borderId="4" xfId="17" applyFont="1" applyFill="1" applyBorder="1"/>
    <xf numFmtId="164" fontId="0" fillId="0" borderId="4" xfId="17" applyNumberFormat="1" applyFont="1" applyFill="1" applyBorder="1"/>
    <xf numFmtId="175" fontId="0" fillId="0" borderId="18" xfId="17" applyFont="1" applyFill="1" applyBorder="1"/>
    <xf numFmtId="164" fontId="0" fillId="0" borderId="13" xfId="17" applyNumberFormat="1" applyFont="1" applyFill="1" applyBorder="1"/>
    <xf numFmtId="164" fontId="0" fillId="0" borderId="18" xfId="17" applyNumberFormat="1" applyFont="1" applyFill="1" applyBorder="1"/>
    <xf numFmtId="164" fontId="0" fillId="0" borderId="14" xfId="17" applyNumberFormat="1" applyFont="1" applyFill="1" applyBorder="1"/>
    <xf numFmtId="164" fontId="0" fillId="0" borderId="6" xfId="17" applyNumberFormat="1" applyFont="1" applyFill="1" applyBorder="1"/>
    <xf numFmtId="175" fontId="0" fillId="0" borderId="0" xfId="17" applyFont="1" applyFill="1" applyBorder="1"/>
    <xf numFmtId="164" fontId="0" fillId="0" borderId="12" xfId="17" applyNumberFormat="1" applyFont="1" applyFill="1" applyBorder="1"/>
    <xf numFmtId="164" fontId="0" fillId="0" borderId="0" xfId="17" applyNumberFormat="1" applyFont="1" applyFill="1" applyBorder="1"/>
    <xf numFmtId="164" fontId="0" fillId="0" borderId="7" xfId="17" applyNumberFormat="1" applyFont="1" applyFill="1" applyBorder="1"/>
    <xf numFmtId="175" fontId="0" fillId="0" borderId="0" xfId="9" applyFont="1" applyFill="1" applyAlignment="1">
      <alignment horizontal="centerContinuous"/>
    </xf>
    <xf numFmtId="175" fontId="0" fillId="0" borderId="10" xfId="9" applyFont="1" applyFill="1" applyBorder="1"/>
    <xf numFmtId="175" fontId="0" fillId="0" borderId="0" xfId="9" quotePrefix="1" applyFont="1" applyFill="1" applyBorder="1" applyAlignment="1">
      <alignment horizontal="center"/>
    </xf>
    <xf numFmtId="0" fontId="0" fillId="0" borderId="0" xfId="9" applyNumberFormat="1" applyFont="1" applyFill="1" applyAlignment="1">
      <alignment horizontal="center"/>
    </xf>
    <xf numFmtId="167" fontId="0" fillId="0" borderId="0" xfId="9" applyNumberFormat="1" applyFont="1" applyFill="1" applyBorder="1" applyAlignment="1">
      <alignment horizontal="center"/>
    </xf>
    <xf numFmtId="175" fontId="0" fillId="0" borderId="0" xfId="9" applyFont="1" applyFill="1" applyAlignment="1">
      <alignment horizontal="right"/>
    </xf>
    <xf numFmtId="175" fontId="0" fillId="0" borderId="0" xfId="9" applyFont="1" applyFill="1" applyBorder="1" applyAlignment="1">
      <alignment horizontal="center"/>
    </xf>
    <xf numFmtId="175" fontId="0" fillId="0" borderId="0" xfId="9" applyFont="1" applyFill="1" applyBorder="1" applyAlignment="1">
      <alignment horizontal="centerContinuous"/>
    </xf>
    <xf numFmtId="175" fontId="0" fillId="0" borderId="0" xfId="9" applyFont="1" applyFill="1" applyBorder="1"/>
    <xf numFmtId="175" fontId="0" fillId="0" borderId="7" xfId="9" applyFont="1" applyFill="1" applyBorder="1"/>
    <xf numFmtId="0" fontId="0" fillId="0" borderId="0" xfId="9" applyNumberFormat="1" applyFont="1" applyFill="1"/>
    <xf numFmtId="6" fontId="0" fillId="0" borderId="0" xfId="9" applyNumberFormat="1" applyFont="1" applyFill="1" applyAlignment="1">
      <alignment horizontal="right"/>
    </xf>
    <xf numFmtId="8" fontId="0" fillId="0" borderId="0" xfId="9" applyNumberFormat="1" applyFont="1" applyFill="1" applyAlignment="1">
      <alignment horizontal="right"/>
    </xf>
    <xf numFmtId="8" fontId="0" fillId="0" borderId="0" xfId="9" applyNumberFormat="1" applyFont="1" applyFill="1" applyBorder="1" applyAlignment="1">
      <alignment horizontal="right"/>
    </xf>
    <xf numFmtId="166" fontId="0" fillId="0" borderId="0" xfId="9" applyNumberFormat="1" applyFont="1" applyFill="1" applyAlignment="1">
      <alignment horizontal="center"/>
    </xf>
    <xf numFmtId="168" fontId="0" fillId="0" borderId="0" xfId="9" applyNumberFormat="1" applyFont="1" applyFill="1" applyBorder="1"/>
    <xf numFmtId="43" fontId="0" fillId="0" borderId="0" xfId="9" applyNumberFormat="1" applyFont="1" applyFill="1"/>
    <xf numFmtId="8" fontId="0" fillId="0" borderId="0" xfId="9" applyNumberFormat="1" applyFont="1" applyFill="1" applyBorder="1"/>
    <xf numFmtId="0" fontId="0" fillId="0" borderId="0" xfId="9" applyNumberFormat="1" applyFont="1" applyFill="1" applyBorder="1"/>
    <xf numFmtId="166" fontId="0" fillId="0" borderId="0" xfId="9" applyNumberFormat="1" applyFont="1" applyFill="1" applyBorder="1" applyAlignment="1">
      <alignment horizontal="center"/>
    </xf>
    <xf numFmtId="8" fontId="0" fillId="0" borderId="0" xfId="9" applyNumberFormat="1" applyFont="1" applyFill="1" applyBorder="1" applyAlignment="1">
      <alignment horizontal="center"/>
    </xf>
    <xf numFmtId="43" fontId="0" fillId="0" borderId="0" xfId="9" applyNumberFormat="1" applyFont="1" applyFill="1" applyBorder="1"/>
    <xf numFmtId="41" fontId="0" fillId="0" borderId="0" xfId="7" applyFont="1" applyFill="1" applyAlignment="1">
      <alignment horizontal="center"/>
    </xf>
    <xf numFmtId="8" fontId="0" fillId="0" borderId="0" xfId="7" applyNumberFormat="1" applyFont="1" applyFill="1" applyBorder="1"/>
    <xf numFmtId="41" fontId="0" fillId="0" borderId="0" xfId="7" applyFont="1" applyFill="1" applyAlignment="1">
      <alignment horizontal="left"/>
    </xf>
    <xf numFmtId="9" fontId="0" fillId="0" borderId="0" xfId="9" applyNumberFormat="1" applyFont="1" applyFill="1"/>
    <xf numFmtId="170" fontId="0" fillId="0" borderId="0" xfId="7" applyNumberFormat="1" applyFont="1" applyFill="1"/>
    <xf numFmtId="43" fontId="0" fillId="0" borderId="0" xfId="7" applyNumberFormat="1" applyFont="1" applyFill="1"/>
    <xf numFmtId="164" fontId="0" fillId="0" borderId="0" xfId="7" applyNumberFormat="1" applyFont="1" applyFill="1"/>
    <xf numFmtId="8" fontId="0" fillId="0" borderId="0" xfId="9" applyNumberFormat="1" applyFont="1" applyFill="1"/>
    <xf numFmtId="0" fontId="0" fillId="0" borderId="2" xfId="9" applyNumberFormat="1" applyFont="1" applyFill="1" applyBorder="1"/>
    <xf numFmtId="166" fontId="0" fillId="0" borderId="2" xfId="9" applyNumberFormat="1" applyFont="1" applyFill="1" applyBorder="1" applyAlignment="1">
      <alignment horizontal="center"/>
    </xf>
    <xf numFmtId="8" fontId="0" fillId="0" borderId="2" xfId="9" applyNumberFormat="1" applyFont="1" applyFill="1" applyBorder="1"/>
    <xf numFmtId="173" fontId="0" fillId="0" borderId="0" xfId="9" applyNumberFormat="1" applyFont="1" applyFill="1"/>
    <xf numFmtId="175" fontId="0" fillId="0" borderId="0" xfId="9" applyFont="1" applyFill="1" applyAlignment="1">
      <alignment horizontal="center"/>
    </xf>
    <xf numFmtId="41" fontId="0" fillId="0" borderId="0" xfId="9" applyNumberFormat="1" applyFont="1" applyFill="1" applyBorder="1"/>
    <xf numFmtId="174" fontId="0" fillId="0" borderId="0" xfId="9" applyNumberFormat="1" applyFont="1" applyFill="1" applyBorder="1"/>
    <xf numFmtId="41" fontId="0" fillId="0" borderId="0" xfId="9" applyNumberFormat="1" applyFont="1" applyFill="1"/>
    <xf numFmtId="175" fontId="0" fillId="0" borderId="0" xfId="9" applyFont="1" applyFill="1" applyAlignment="1">
      <alignment horizontal="left"/>
    </xf>
    <xf numFmtId="41" fontId="0" fillId="0" borderId="0" xfId="9" applyNumberFormat="1" applyFont="1" applyFill="1" applyAlignment="1">
      <alignment horizontal="center"/>
    </xf>
    <xf numFmtId="169" fontId="0" fillId="0" borderId="0" xfId="9" applyNumberFormat="1" applyFont="1" applyFill="1"/>
    <xf numFmtId="1" fontId="0" fillId="0" borderId="0" xfId="9" applyNumberFormat="1" applyFont="1" applyFill="1"/>
    <xf numFmtId="10" fontId="0" fillId="0" borderId="0" xfId="9" applyNumberFormat="1" applyFont="1" applyFill="1"/>
    <xf numFmtId="175" fontId="0" fillId="0" borderId="4" xfId="0" applyFont="1" applyFill="1" applyBorder="1"/>
    <xf numFmtId="175" fontId="0" fillId="0" borderId="4" xfId="0" applyFont="1" applyFill="1" applyBorder="1" applyAlignment="1">
      <alignment horizontal="centerContinuous"/>
    </xf>
    <xf numFmtId="175" fontId="0" fillId="0" borderId="12" xfId="0" applyFont="1" applyFill="1" applyBorder="1" applyAlignment="1">
      <alignment horizontal="center"/>
    </xf>
    <xf numFmtId="175" fontId="0" fillId="0" borderId="13" xfId="0" applyFont="1" applyFill="1" applyBorder="1" applyAlignment="1">
      <alignment horizontal="centerContinuous"/>
    </xf>
    <xf numFmtId="175" fontId="0" fillId="0" borderId="7" xfId="0" applyFont="1" applyFill="1" applyBorder="1" applyAlignment="1">
      <alignment horizontal="center"/>
    </xf>
    <xf numFmtId="175" fontId="0" fillId="0" borderId="6" xfId="0" applyFont="1" applyFill="1" applyBorder="1" applyAlignment="1">
      <alignment horizontal="center"/>
    </xf>
    <xf numFmtId="175" fontId="0" fillId="0" borderId="12" xfId="0" applyFont="1" applyFill="1" applyBorder="1"/>
    <xf numFmtId="175" fontId="0" fillId="0" borderId="15" xfId="0" applyFont="1" applyFill="1" applyBorder="1" applyAlignment="1">
      <alignment horizontal="centerContinuous"/>
    </xf>
    <xf numFmtId="175" fontId="0" fillId="0" borderId="16" xfId="0" applyFont="1" applyFill="1" applyBorder="1" applyAlignment="1">
      <alignment horizontal="centerContinuous"/>
    </xf>
    <xf numFmtId="175" fontId="0" fillId="0" borderId="0" xfId="0" quotePrefix="1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 horizontal="center"/>
    </xf>
    <xf numFmtId="175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175" fontId="0" fillId="0" borderId="0" xfId="0" quotePrefix="1" applyFont="1" applyFill="1" applyAlignment="1">
      <alignment horizontal="right"/>
    </xf>
    <xf numFmtId="175" fontId="0" fillId="0" borderId="13" xfId="0" applyFont="1" applyFill="1" applyBorder="1" applyAlignment="1">
      <alignment horizontal="center"/>
    </xf>
    <xf numFmtId="175" fontId="0" fillId="0" borderId="14" xfId="0" applyFont="1" applyFill="1" applyBorder="1" applyAlignment="1">
      <alignment horizontal="center"/>
    </xf>
    <xf numFmtId="175" fontId="0" fillId="0" borderId="13" xfId="0" applyFont="1" applyFill="1" applyBorder="1"/>
    <xf numFmtId="175" fontId="0" fillId="0" borderId="12" xfId="0" applyFont="1" applyFill="1" applyBorder="1" applyAlignment="1">
      <alignment horizontal="centerContinuous"/>
    </xf>
    <xf numFmtId="175" fontId="0" fillId="0" borderId="6" xfId="0" applyFont="1" applyFill="1" applyBorder="1" applyAlignment="1">
      <alignment horizontal="centerContinuous"/>
    </xf>
    <xf numFmtId="175" fontId="0" fillId="0" borderId="9" xfId="0" applyFont="1" applyFill="1" applyBorder="1" applyAlignment="1">
      <alignment horizontal="centerContinuous"/>
    </xf>
    <xf numFmtId="175" fontId="0" fillId="0" borderId="6" xfId="0" applyFont="1" applyFill="1" applyBorder="1"/>
    <xf numFmtId="175" fontId="0" fillId="0" borderId="7" xfId="0" quotePrefix="1" applyFont="1" applyFill="1" applyBorder="1" applyAlignment="1">
      <alignment horizontal="center"/>
    </xf>
    <xf numFmtId="9" fontId="0" fillId="0" borderId="6" xfId="13" applyFont="1" applyFill="1" applyBorder="1" applyAlignment="1">
      <alignment horizontal="center"/>
    </xf>
    <xf numFmtId="175" fontId="0" fillId="0" borderId="10" xfId="0" applyFont="1" applyFill="1" applyBorder="1"/>
    <xf numFmtId="175" fontId="0" fillId="0" borderId="10" xfId="0" quotePrefix="1" applyFont="1" applyFill="1" applyBorder="1" applyAlignment="1">
      <alignment horizontal="center"/>
    </xf>
    <xf numFmtId="175" fontId="0" fillId="0" borderId="8" xfId="0" quotePrefix="1" applyFont="1" applyFill="1" applyBorder="1" applyAlignment="1">
      <alignment horizontal="centerContinuous"/>
    </xf>
    <xf numFmtId="8" fontId="0" fillId="0" borderId="0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 horizontal="center"/>
    </xf>
    <xf numFmtId="175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left"/>
    </xf>
    <xf numFmtId="8" fontId="0" fillId="0" borderId="0" xfId="0" applyNumberFormat="1" applyFont="1" applyFill="1"/>
    <xf numFmtId="177" fontId="0" fillId="0" borderId="0" xfId="7" applyNumberFormat="1" applyFont="1" applyFill="1" applyBorder="1"/>
    <xf numFmtId="175" fontId="0" fillId="0" borderId="17" xfId="0" applyFont="1" applyFill="1" applyBorder="1" applyAlignment="1">
      <alignment horizontal="center"/>
    </xf>
    <xf numFmtId="164" fontId="0" fillId="0" borderId="0" xfId="17" applyNumberFormat="1" applyFont="1" applyFill="1" applyBorder="1" applyAlignment="1">
      <alignment horizontal="centerContinuous"/>
    </xf>
    <xf numFmtId="164" fontId="0" fillId="0" borderId="7" xfId="17" applyNumberFormat="1" applyFont="1" applyFill="1" applyBorder="1" applyAlignment="1">
      <alignment horizontal="centerContinuous"/>
    </xf>
    <xf numFmtId="164" fontId="0" fillId="0" borderId="12" xfId="17" applyNumberFormat="1" applyFont="1" applyFill="1" applyBorder="1" applyAlignment="1">
      <alignment horizontal="centerContinuous"/>
    </xf>
    <xf numFmtId="0" fontId="3" fillId="0" borderId="18" xfId="17" applyNumberFormat="1" applyFont="1" applyFill="1" applyBorder="1" applyAlignment="1">
      <alignment horizontal="center"/>
    </xf>
    <xf numFmtId="175" fontId="0" fillId="0" borderId="18" xfId="0" applyFont="1" applyFill="1" applyBorder="1"/>
    <xf numFmtId="175" fontId="0" fillId="0" borderId="18" xfId="0" quotePrefix="1" applyFont="1" applyFill="1" applyBorder="1"/>
    <xf numFmtId="175" fontId="0" fillId="0" borderId="18" xfId="0" applyFont="1" applyFill="1" applyBorder="1" applyAlignment="1">
      <alignment horizontal="left"/>
    </xf>
    <xf numFmtId="175" fontId="0" fillId="0" borderId="18" xfId="0" applyFont="1" applyFill="1" applyBorder="1" applyAlignment="1">
      <alignment horizontal="center"/>
    </xf>
    <xf numFmtId="175" fontId="5" fillId="0" borderId="0" xfId="11" applyFont="1" applyFill="1" applyAlignment="1">
      <alignment horizontal="centerContinuous"/>
    </xf>
    <xf numFmtId="17" fontId="5" fillId="0" borderId="0" xfId="0" quotePrefix="1" applyNumberFormat="1" applyFont="1" applyFill="1" applyAlignment="1">
      <alignment horizontal="centerContinuous"/>
    </xf>
    <xf numFmtId="0" fontId="0" fillId="0" borderId="4" xfId="17" applyNumberFormat="1" applyFont="1" applyFill="1" applyBorder="1" applyAlignment="1">
      <alignment horizontal="center"/>
    </xf>
    <xf numFmtId="0" fontId="0" fillId="0" borderId="6" xfId="17" applyNumberFormat="1" applyFont="1" applyFill="1" applyBorder="1" applyAlignment="1">
      <alignment horizontal="center"/>
    </xf>
    <xf numFmtId="177" fontId="0" fillId="0" borderId="0" xfId="0" applyNumberFormat="1" applyFont="1" applyFill="1" applyBorder="1"/>
    <xf numFmtId="0" fontId="0" fillId="0" borderId="10" xfId="17" applyNumberFormat="1" applyFont="1" applyFill="1" applyBorder="1" applyAlignment="1">
      <alignment horizontal="center"/>
    </xf>
    <xf numFmtId="175" fontId="4" fillId="0" borderId="0" xfId="0" applyFont="1" applyBorder="1"/>
    <xf numFmtId="175" fontId="8" fillId="0" borderId="0" xfId="0" applyNumberFormat="1" applyFont="1" applyFill="1" applyAlignment="1">
      <alignment horizontal="center"/>
    </xf>
    <xf numFmtId="175" fontId="24" fillId="0" borderId="0" xfId="0" applyFont="1" applyFill="1"/>
    <xf numFmtId="175" fontId="24" fillId="0" borderId="0" xfId="0" applyFont="1" applyFill="1" applyBorder="1" applyAlignment="1">
      <alignment horizontal="center"/>
    </xf>
    <xf numFmtId="175" fontId="24" fillId="0" borderId="0" xfId="0" applyFont="1" applyFill="1" applyAlignment="1">
      <alignment horizontal="center"/>
    </xf>
    <xf numFmtId="175" fontId="25" fillId="0" borderId="0" xfId="0" applyFont="1" applyFill="1" applyBorder="1" applyAlignment="1">
      <alignment horizontal="centerContinuous"/>
    </xf>
    <xf numFmtId="175" fontId="26" fillId="0" borderId="0" xfId="0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Border="1" applyAlignment="1">
      <alignment horizontal="center"/>
    </xf>
    <xf numFmtId="8" fontId="24" fillId="0" borderId="0" xfId="0" applyNumberFormat="1" applyFont="1" applyFill="1" applyAlignment="1">
      <alignment horizontal="left"/>
    </xf>
    <xf numFmtId="177" fontId="24" fillId="0" borderId="0" xfId="0" applyNumberFormat="1" applyFont="1" applyFill="1" applyAlignment="1">
      <alignment horizontal="center"/>
    </xf>
    <xf numFmtId="175" fontId="24" fillId="0" borderId="0" xfId="0" applyFont="1" applyFill="1" applyAlignment="1">
      <alignment horizontal="right"/>
    </xf>
    <xf numFmtId="175" fontId="24" fillId="0" borderId="0" xfId="0" applyFont="1" applyFill="1" applyBorder="1" applyAlignment="1">
      <alignment horizontal="right" vertical="center" wrapText="1"/>
    </xf>
    <xf numFmtId="178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/>
    </xf>
    <xf numFmtId="39" fontId="24" fillId="0" borderId="0" xfId="0" applyNumberFormat="1" applyFont="1" applyFill="1" applyBorder="1" applyAlignment="1">
      <alignment horizontal="center"/>
    </xf>
    <xf numFmtId="39" fontId="24" fillId="0" borderId="0" xfId="0" applyNumberFormat="1" applyFont="1" applyFill="1" applyBorder="1" applyAlignment="1">
      <alignment horizontal="center" vertical="center"/>
    </xf>
    <xf numFmtId="175" fontId="4" fillId="0" borderId="0" xfId="11" applyFont="1" applyAlignment="1">
      <alignment horizontal="centerContinuous"/>
    </xf>
    <xf numFmtId="175" fontId="4" fillId="0" borderId="0" xfId="0" applyFont="1" applyFill="1" applyBorder="1"/>
    <xf numFmtId="9" fontId="0" fillId="0" borderId="0" xfId="13" applyFont="1" applyFill="1"/>
    <xf numFmtId="9" fontId="3" fillId="0" borderId="0" xfId="13" applyFont="1" applyFill="1"/>
    <xf numFmtId="169" fontId="0" fillId="0" borderId="0" xfId="0" applyNumberFormat="1" applyFont="1" applyFill="1"/>
    <xf numFmtId="175" fontId="3" fillId="0" borderId="4" xfId="18" applyFont="1" applyFill="1" applyBorder="1" applyAlignment="1">
      <alignment horizontal="center" wrapText="1"/>
    </xf>
    <xf numFmtId="175" fontId="20" fillId="0" borderId="10" xfId="18" quotePrefix="1" applyFont="1" applyFill="1" applyBorder="1" applyAlignment="1">
      <alignment horizontal="center" wrapText="1"/>
    </xf>
    <xf numFmtId="175" fontId="4" fillId="0" borderId="0" xfId="18" applyFont="1" applyFill="1"/>
    <xf numFmtId="0" fontId="2" fillId="0" borderId="0" xfId="19"/>
    <xf numFmtId="8" fontId="4" fillId="0" borderId="0" xfId="18" applyNumberFormat="1" applyFont="1" applyFill="1" applyAlignment="1">
      <alignment horizontal="right"/>
    </xf>
    <xf numFmtId="175" fontId="0" fillId="0" borderId="8" xfId="0" applyFont="1" applyFill="1" applyBorder="1"/>
    <xf numFmtId="175" fontId="0" fillId="0" borderId="5" xfId="0" applyFont="1" applyFill="1" applyBorder="1"/>
    <xf numFmtId="175" fontId="5" fillId="0" borderId="0" xfId="0" applyFont="1" applyFill="1" applyAlignment="1">
      <alignment horizontal="left" vertical="top"/>
    </xf>
    <xf numFmtId="175" fontId="6" fillId="0" borderId="0" xfId="0" applyFont="1" applyFill="1" applyAlignment="1">
      <alignment horizontal="left" vertical="top"/>
    </xf>
    <xf numFmtId="175" fontId="12" fillId="0" borderId="0" xfId="0" applyFont="1" applyFill="1"/>
    <xf numFmtId="0" fontId="24" fillId="0" borderId="0" xfId="0" applyNumberFormat="1" applyFont="1" applyFill="1" applyAlignment="1">
      <alignment horizontal="left" vertical="top"/>
    </xf>
    <xf numFmtId="175" fontId="0" fillId="0" borderId="0" xfId="0" applyAlignment="1">
      <alignment horizontal="centerContinuous"/>
    </xf>
    <xf numFmtId="175" fontId="5" fillId="0" borderId="0" xfId="0" applyFont="1" applyFill="1" applyAlignment="1">
      <alignment horizontal="centerContinuous" vertical="center"/>
    </xf>
    <xf numFmtId="175" fontId="0" fillId="0" borderId="0" xfId="0" applyFill="1" applyAlignment="1">
      <alignment horizontal="centerContinuous" vertical="center"/>
    </xf>
    <xf numFmtId="175" fontId="6" fillId="0" borderId="0" xfId="0" applyFont="1" applyFill="1" applyAlignment="1">
      <alignment horizontal="centerContinuous" vertical="center"/>
    </xf>
    <xf numFmtId="175" fontId="5" fillId="0" borderId="0" xfId="0" applyFont="1" applyFill="1" applyAlignment="1">
      <alignment horizontal="centerContinuous" vertical="top"/>
    </xf>
    <xf numFmtId="175" fontId="6" fillId="0" borderId="0" xfId="0" applyFont="1" applyFill="1" applyAlignment="1">
      <alignment horizontal="centerContinuous" vertical="top"/>
    </xf>
    <xf numFmtId="175" fontId="3" fillId="0" borderId="19" xfId="0" applyFont="1" applyFill="1" applyBorder="1" applyAlignment="1">
      <alignment horizontal="centerContinuous" wrapText="1"/>
    </xf>
    <xf numFmtId="175" fontId="0" fillId="0" borderId="20" xfId="0" applyBorder="1" applyAlignment="1">
      <alignment horizontal="centerContinuous" wrapText="1"/>
    </xf>
    <xf numFmtId="175" fontId="0" fillId="0" borderId="22" xfId="0" applyBorder="1" applyAlignment="1">
      <alignment horizontal="centerContinuous" wrapText="1"/>
    </xf>
    <xf numFmtId="175" fontId="27" fillId="0" borderId="0" xfId="0" applyFont="1" applyAlignment="1">
      <alignment horizontal="right" vertical="center"/>
    </xf>
    <xf numFmtId="166" fontId="28" fillId="0" borderId="0" xfId="0" applyNumberFormat="1" applyFont="1" applyAlignment="1">
      <alignment horizontal="left" vertical="center"/>
    </xf>
    <xf numFmtId="175" fontId="9" fillId="5" borderId="11" xfId="0" applyFont="1" applyFill="1" applyBorder="1" applyAlignment="1">
      <alignment horizontal="centerContinuous" vertical="center"/>
    </xf>
    <xf numFmtId="175" fontId="9" fillId="5" borderId="11" xfId="0" applyFont="1" applyFill="1" applyBorder="1" applyAlignment="1">
      <alignment horizontal="centerContinuous"/>
    </xf>
    <xf numFmtId="175" fontId="9" fillId="0" borderId="16" xfId="0" applyFont="1" applyBorder="1" applyAlignment="1"/>
    <xf numFmtId="175" fontId="9" fillId="5" borderId="11" xfId="0" applyFont="1" applyFill="1" applyBorder="1" applyAlignment="1"/>
    <xf numFmtId="1" fontId="9" fillId="5" borderId="11" xfId="0" applyNumberFormat="1" applyFont="1" applyFill="1" applyBorder="1" applyAlignment="1">
      <alignment horizontal="center"/>
    </xf>
    <xf numFmtId="0" fontId="9" fillId="5" borderId="11" xfId="0" applyNumberFormat="1" applyFont="1" applyFill="1" applyBorder="1" applyAlignment="1">
      <alignment horizontal="center"/>
    </xf>
    <xf numFmtId="175" fontId="3" fillId="5" borderId="13" xfId="0" applyFont="1" applyFill="1" applyBorder="1" applyAlignment="1">
      <alignment horizontal="center" vertical="top"/>
    </xf>
    <xf numFmtId="175" fontId="3" fillId="6" borderId="8" xfId="0" applyFont="1" applyFill="1" applyBorder="1" applyAlignment="1"/>
    <xf numFmtId="175" fontId="4" fillId="6" borderId="8" xfId="0" applyFont="1" applyFill="1" applyBorder="1" applyAlignment="1"/>
    <xf numFmtId="175" fontId="4" fillId="6" borderId="5" xfId="0" applyFont="1" applyFill="1" applyBorder="1" applyAlignment="1"/>
    <xf numFmtId="175" fontId="4" fillId="6" borderId="17" xfId="0" applyFont="1" applyFill="1" applyBorder="1" applyAlignment="1"/>
    <xf numFmtId="175" fontId="3" fillId="5" borderId="6" xfId="0" applyFont="1" applyFill="1" applyBorder="1" applyAlignment="1">
      <alignment horizontal="center" vertical="top"/>
    </xf>
    <xf numFmtId="175" fontId="4" fillId="0" borderId="24" xfId="0" applyFont="1" applyBorder="1" applyAlignment="1"/>
    <xf numFmtId="164" fontId="9" fillId="0" borderId="11" xfId="1" applyNumberFormat="1" applyFont="1" applyBorder="1" applyAlignment="1">
      <alignment horizontal="center"/>
    </xf>
    <xf numFmtId="175" fontId="4" fillId="5" borderId="6" xfId="0" applyFont="1" applyFill="1" applyBorder="1" applyAlignment="1">
      <alignment horizontal="center" vertical="top"/>
    </xf>
    <xf numFmtId="175" fontId="4" fillId="0" borderId="25" xfId="0" applyFont="1" applyBorder="1" applyAlignment="1"/>
    <xf numFmtId="164" fontId="9" fillId="0" borderId="10" xfId="1" applyNumberFormat="1" applyFont="1" applyBorder="1" applyAlignment="1">
      <alignment horizontal="center"/>
    </xf>
    <xf numFmtId="164" fontId="9" fillId="7" borderId="10" xfId="1" applyNumberFormat="1" applyFont="1" applyFill="1" applyBorder="1" applyAlignment="1">
      <alignment horizontal="center"/>
    </xf>
    <xf numFmtId="170" fontId="9" fillId="0" borderId="11" xfId="1" applyNumberFormat="1" applyFont="1" applyBorder="1" applyAlignment="1">
      <alignment horizontal="center"/>
    </xf>
    <xf numFmtId="175" fontId="4" fillId="0" borderId="8" xfId="0" applyFont="1" applyBorder="1" applyAlignment="1"/>
    <xf numFmtId="175" fontId="4" fillId="0" borderId="13" xfId="0" applyFont="1" applyBorder="1" applyAlignment="1"/>
    <xf numFmtId="170" fontId="9" fillId="0" borderId="10" xfId="1" applyNumberFormat="1" applyFont="1" applyBorder="1" applyAlignment="1">
      <alignment horizontal="center"/>
    </xf>
    <xf numFmtId="43" fontId="9" fillId="0" borderId="10" xfId="1" applyNumberFormat="1" applyFont="1" applyBorder="1" applyAlignment="1">
      <alignment horizontal="center"/>
    </xf>
    <xf numFmtId="175" fontId="4" fillId="5" borderId="12" xfId="0" applyFont="1" applyFill="1" applyBorder="1" applyAlignment="1">
      <alignment horizontal="center" vertical="top"/>
    </xf>
    <xf numFmtId="175" fontId="4" fillId="0" borderId="11" xfId="0" applyFont="1" applyBorder="1" applyAlignment="1"/>
    <xf numFmtId="175" fontId="4" fillId="5" borderId="26" xfId="0" applyFont="1" applyFill="1" applyBorder="1" applyAlignment="1">
      <alignment horizontal="center" vertical="top"/>
    </xf>
    <xf numFmtId="175" fontId="4" fillId="5" borderId="27" xfId="0" applyFont="1" applyFill="1" applyBorder="1" applyAlignment="1">
      <alignment horizontal="center" vertical="top"/>
    </xf>
    <xf numFmtId="175" fontId="4" fillId="0" borderId="28" xfId="0" applyFont="1" applyBorder="1" applyAlignment="1"/>
    <xf numFmtId="175" fontId="4" fillId="0" borderId="7" xfId="0" applyFont="1" applyBorder="1" applyAlignment="1"/>
    <xf numFmtId="175" fontId="4" fillId="5" borderId="29" xfId="0" applyFont="1" applyFill="1" applyBorder="1" applyAlignment="1">
      <alignment horizontal="right"/>
    </xf>
    <xf numFmtId="164" fontId="9" fillId="5" borderId="30" xfId="1" applyNumberFormat="1" applyFont="1" applyFill="1" applyBorder="1" applyAlignment="1">
      <alignment horizontal="center"/>
    </xf>
    <xf numFmtId="175" fontId="4" fillId="5" borderId="31" xfId="0" applyFont="1" applyFill="1" applyBorder="1" applyAlignment="1">
      <alignment horizontal="right"/>
    </xf>
    <xf numFmtId="164" fontId="9" fillId="5" borderId="32" xfId="1" applyNumberFormat="1" applyFont="1" applyFill="1" applyBorder="1" applyAlignment="1">
      <alignment horizontal="center"/>
    </xf>
    <xf numFmtId="175" fontId="4" fillId="0" borderId="0" xfId="0" applyFont="1" applyAlignment="1"/>
    <xf numFmtId="175" fontId="4" fillId="5" borderId="8" xfId="0" applyFont="1" applyFill="1" applyBorder="1" applyAlignment="1">
      <alignment horizontal="right"/>
    </xf>
    <xf numFmtId="164" fontId="9" fillId="5" borderId="11" xfId="1" applyNumberFormat="1" applyFont="1" applyFill="1" applyBorder="1" applyAlignment="1">
      <alignment horizontal="center"/>
    </xf>
    <xf numFmtId="175" fontId="4" fillId="0" borderId="0" xfId="0" applyFont="1" applyFill="1" applyAlignment="1"/>
    <xf numFmtId="175" fontId="9" fillId="5" borderId="17" xfId="0" applyFont="1" applyFill="1" applyBorder="1" applyAlignment="1">
      <alignment horizontal="centerContinuous"/>
    </xf>
    <xf numFmtId="175" fontId="5" fillId="5" borderId="8" xfId="0" applyFont="1" applyFill="1" applyBorder="1" applyAlignment="1">
      <alignment horizontal="centerContinuous" wrapText="1"/>
    </xf>
    <xf numFmtId="175" fontId="5" fillId="5" borderId="17" xfId="0" applyFont="1" applyFill="1" applyBorder="1" applyAlignment="1">
      <alignment horizontal="centerContinuous" wrapText="1"/>
    </xf>
    <xf numFmtId="175" fontId="23" fillId="0" borderId="0" xfId="0" applyFont="1"/>
    <xf numFmtId="0" fontId="9" fillId="5" borderId="17" xfId="0" applyNumberFormat="1" applyFont="1" applyFill="1" applyBorder="1" applyAlignment="1">
      <alignment horizontal="center"/>
    </xf>
    <xf numFmtId="175" fontId="5" fillId="5" borderId="11" xfId="0" applyFont="1" applyFill="1" applyBorder="1" applyAlignment="1">
      <alignment horizontal="centerContinuous"/>
    </xf>
    <xf numFmtId="164" fontId="9" fillId="0" borderId="17" xfId="1" applyNumberFormat="1" applyFont="1" applyBorder="1" applyAlignment="1">
      <alignment horizontal="center"/>
    </xf>
    <xf numFmtId="164" fontId="9" fillId="0" borderId="16" xfId="1" applyNumberFormat="1" applyFont="1" applyBorder="1" applyAlignment="1">
      <alignment horizontal="center"/>
    </xf>
    <xf numFmtId="175" fontId="4" fillId="6" borderId="12" xfId="0" applyFont="1" applyFill="1" applyBorder="1" applyAlignment="1"/>
    <xf numFmtId="175" fontId="4" fillId="6" borderId="7" xfId="0" applyFont="1" applyFill="1" applyBorder="1" applyAlignment="1"/>
    <xf numFmtId="170" fontId="9" fillId="0" borderId="16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164" fontId="9" fillId="5" borderId="33" xfId="1" applyNumberFormat="1" applyFont="1" applyFill="1" applyBorder="1" applyAlignment="1">
      <alignment horizontal="center"/>
    </xf>
    <xf numFmtId="164" fontId="9" fillId="0" borderId="18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75" fontId="3" fillId="0" borderId="20" xfId="9" applyFont="1" applyFill="1" applyBorder="1" applyAlignment="1">
      <alignment horizontal="centerContinuous"/>
    </xf>
    <xf numFmtId="175" fontId="3" fillId="0" borderId="21" xfId="9" applyFont="1" applyFill="1" applyBorder="1" applyAlignment="1">
      <alignment horizontal="centerContinuous"/>
    </xf>
    <xf numFmtId="41" fontId="3" fillId="0" borderId="20" xfId="7" applyFont="1" applyFill="1" applyBorder="1" applyAlignment="1">
      <alignment horizontal="centerContinuous"/>
    </xf>
    <xf numFmtId="41" fontId="3" fillId="0" borderId="22" xfId="7" applyFont="1" applyFill="1" applyBorder="1" applyAlignment="1">
      <alignment horizontal="centerContinuous"/>
    </xf>
    <xf numFmtId="175" fontId="0" fillId="0" borderId="0" xfId="0" applyFill="1"/>
    <xf numFmtId="175" fontId="29" fillId="0" borderId="0" xfId="0" applyFont="1" applyFill="1" applyAlignment="1">
      <alignment horizontal="left" vertical="top"/>
    </xf>
    <xf numFmtId="179" fontId="24" fillId="0" borderId="0" xfId="0" applyNumberFormat="1" applyFont="1" applyFill="1"/>
    <xf numFmtId="9" fontId="24" fillId="0" borderId="0" xfId="13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75" fontId="25" fillId="0" borderId="0" xfId="0" applyFont="1" applyFill="1" applyBorder="1" applyAlignment="1">
      <alignment horizontal="left"/>
    </xf>
    <xf numFmtId="175" fontId="26" fillId="0" borderId="0" xfId="0" applyFont="1" applyFill="1" applyBorder="1" applyAlignment="1">
      <alignment horizontal="left" vertical="top"/>
    </xf>
    <xf numFmtId="175" fontId="24" fillId="0" borderId="0" xfId="0" applyFont="1" applyFill="1" applyBorder="1"/>
    <xf numFmtId="175" fontId="24" fillId="0" borderId="0" xfId="0" applyFont="1" applyFill="1" applyBorder="1" applyAlignment="1">
      <alignment horizontal="right"/>
    </xf>
    <xf numFmtId="164" fontId="24" fillId="0" borderId="0" xfId="1" applyNumberFormat="1" applyFont="1" applyFill="1" applyBorder="1" applyAlignment="1">
      <alignment horizontal="left" vertical="top"/>
    </xf>
    <xf numFmtId="172" fontId="24" fillId="0" borderId="0" xfId="2" applyNumberFormat="1" applyFont="1" applyFill="1" applyBorder="1" applyAlignment="1">
      <alignment horizontal="left" vertical="top"/>
    </xf>
    <xf numFmtId="181" fontId="24" fillId="0" borderId="0" xfId="1" applyNumberFormat="1" applyFont="1" applyFill="1" applyBorder="1" applyAlignment="1">
      <alignment horizontal="left" vertical="top"/>
    </xf>
    <xf numFmtId="178" fontId="24" fillId="0" borderId="0" xfId="0" applyNumberFormat="1" applyFont="1" applyFill="1" applyBorder="1" applyAlignment="1">
      <alignment horizontal="left" vertical="top"/>
    </xf>
    <xf numFmtId="175" fontId="12" fillId="0" borderId="0" xfId="0" applyFont="1" applyFill="1" applyBorder="1" applyAlignment="1">
      <alignment horizontal="centerContinuous"/>
    </xf>
    <xf numFmtId="178" fontId="24" fillId="0" borderId="0" xfId="0" applyNumberFormat="1" applyFont="1" applyFill="1" applyBorder="1" applyAlignment="1">
      <alignment horizontal="right" vertical="top"/>
    </xf>
    <xf numFmtId="10" fontId="24" fillId="0" borderId="0" xfId="13" applyNumberFormat="1" applyFont="1" applyFill="1" applyBorder="1" applyAlignment="1">
      <alignment horizontal="center"/>
    </xf>
    <xf numFmtId="180" fontId="24" fillId="0" borderId="0" xfId="0" applyNumberFormat="1" applyFont="1" applyFill="1" applyBorder="1"/>
    <xf numFmtId="179" fontId="24" fillId="0" borderId="0" xfId="0" applyNumberFormat="1" applyFont="1" applyFill="1" applyBorder="1"/>
    <xf numFmtId="172" fontId="24" fillId="0" borderId="0" xfId="2" applyNumberFormat="1" applyFont="1" applyFill="1" applyBorder="1"/>
    <xf numFmtId="164" fontId="24" fillId="0" borderId="0" xfId="1" applyNumberFormat="1" applyFont="1" applyFill="1" applyBorder="1"/>
    <xf numFmtId="175" fontId="24" fillId="0" borderId="0" xfId="0" applyFont="1" applyFill="1" applyBorder="1" applyAlignment="1">
      <alignment horizontal="left" vertical="top"/>
    </xf>
    <xf numFmtId="10" fontId="24" fillId="0" borderId="0" xfId="13" applyNumberFormat="1" applyFont="1" applyFill="1" applyBorder="1" applyAlignment="1">
      <alignment horizontal="left" vertical="top"/>
    </xf>
    <xf numFmtId="175" fontId="24" fillId="8" borderId="0" xfId="0" applyFont="1" applyFill="1" applyAlignment="1">
      <alignment horizontal="center"/>
    </xf>
    <xf numFmtId="175" fontId="24" fillId="8" borderId="0" xfId="0" applyFont="1" applyFill="1"/>
    <xf numFmtId="10" fontId="24" fillId="8" borderId="0" xfId="13" applyNumberFormat="1" applyFont="1" applyFill="1" applyAlignment="1">
      <alignment horizontal="center"/>
    </xf>
    <xf numFmtId="9" fontId="24" fillId="8" borderId="0" xfId="13" applyFont="1" applyFill="1"/>
    <xf numFmtId="175" fontId="25" fillId="8" borderId="0" xfId="0" applyFont="1" applyFill="1" applyBorder="1" applyAlignment="1">
      <alignment horizontal="centerContinuous"/>
    </xf>
    <xf numFmtId="175" fontId="24" fillId="8" borderId="9" xfId="0" applyFont="1" applyFill="1" applyBorder="1"/>
    <xf numFmtId="175" fontId="26" fillId="8" borderId="0" xfId="0" applyFont="1" applyFill="1" applyBorder="1" applyAlignment="1">
      <alignment horizontal="center"/>
    </xf>
    <xf numFmtId="175" fontId="26" fillId="8" borderId="0" xfId="0" applyFont="1" applyFill="1" applyBorder="1" applyAlignment="1">
      <alignment horizontal="left" vertical="top"/>
    </xf>
    <xf numFmtId="180" fontId="24" fillId="8" borderId="0" xfId="0" applyNumberFormat="1" applyFont="1" applyFill="1"/>
    <xf numFmtId="179" fontId="24" fillId="8" borderId="0" xfId="0" applyNumberFormat="1" applyFont="1" applyFill="1"/>
    <xf numFmtId="172" fontId="24" fillId="8" borderId="0" xfId="2" applyNumberFormat="1" applyFont="1" applyFill="1"/>
    <xf numFmtId="8" fontId="24" fillId="8" borderId="0" xfId="0" applyNumberFormat="1" applyFont="1" applyFill="1" applyAlignment="1">
      <alignment horizontal="left"/>
    </xf>
    <xf numFmtId="177" fontId="24" fillId="8" borderId="0" xfId="0" applyNumberFormat="1" applyFont="1" applyFill="1" applyAlignment="1">
      <alignment horizontal="center"/>
    </xf>
    <xf numFmtId="43" fontId="24" fillId="8" borderId="0" xfId="1" applyFont="1" applyFill="1" applyAlignment="1">
      <alignment horizontal="right"/>
    </xf>
    <xf numFmtId="175" fontId="24" fillId="8" borderId="0" xfId="0" applyFont="1" applyFill="1" applyAlignment="1">
      <alignment horizontal="right"/>
    </xf>
    <xf numFmtId="164" fontId="24" fillId="8" borderId="0" xfId="1" applyNumberFormat="1" applyFont="1" applyFill="1" applyAlignment="1">
      <alignment horizontal="right"/>
    </xf>
    <xf numFmtId="175" fontId="24" fillId="8" borderId="0" xfId="0" applyFont="1" applyFill="1" applyBorder="1" applyAlignment="1">
      <alignment horizontal="right"/>
    </xf>
    <xf numFmtId="178" fontId="24" fillId="8" borderId="0" xfId="0" applyNumberFormat="1" applyFont="1" applyFill="1" applyBorder="1" applyAlignment="1">
      <alignment horizontal="right"/>
    </xf>
    <xf numFmtId="164" fontId="24" fillId="8" borderId="0" xfId="1" applyNumberFormat="1" applyFont="1" applyFill="1" applyBorder="1" applyAlignment="1">
      <alignment horizontal="right"/>
    </xf>
    <xf numFmtId="172" fontId="24" fillId="8" borderId="0" xfId="2" applyNumberFormat="1" applyFont="1" applyFill="1" applyBorder="1" applyAlignment="1">
      <alignment horizontal="left" vertical="top"/>
    </xf>
    <xf numFmtId="181" fontId="24" fillId="8" borderId="0" xfId="1" applyNumberFormat="1" applyFont="1" applyFill="1" applyBorder="1" applyAlignment="1">
      <alignment horizontal="left" vertical="top"/>
    </xf>
    <xf numFmtId="175" fontId="24" fillId="8" borderId="0" xfId="0" applyFont="1" applyFill="1" applyAlignment="1">
      <alignment horizontal="left" vertical="top"/>
    </xf>
    <xf numFmtId="178" fontId="24" fillId="8" borderId="0" xfId="0" applyNumberFormat="1" applyFont="1" applyFill="1" applyBorder="1" applyAlignment="1">
      <alignment horizontal="left" vertical="top"/>
    </xf>
    <xf numFmtId="182" fontId="24" fillId="8" borderId="0" xfId="1" applyNumberFormat="1" applyFont="1" applyFill="1" applyAlignment="1">
      <alignment horizontal="left" vertical="top"/>
    </xf>
    <xf numFmtId="10" fontId="24" fillId="8" borderId="0" xfId="13" applyNumberFormat="1" applyFont="1" applyFill="1" applyAlignment="1">
      <alignment horizontal="right"/>
    </xf>
    <xf numFmtId="175" fontId="24" fillId="8" borderId="0" xfId="0" applyFont="1" applyFill="1" applyBorder="1"/>
    <xf numFmtId="175" fontId="4" fillId="0" borderId="0" xfId="0" applyFont="1" applyFill="1" applyAlignment="1">
      <alignment horizontal="centerContinuous"/>
    </xf>
    <xf numFmtId="175" fontId="4" fillId="0" borderId="0" xfId="0" applyFont="1" applyFill="1"/>
    <xf numFmtId="175" fontId="13" fillId="0" borderId="18" xfId="0" applyFont="1" applyFill="1" applyBorder="1" applyAlignment="1">
      <alignment horizontal="centerContinuous"/>
    </xf>
    <xf numFmtId="175" fontId="13" fillId="0" borderId="14" xfId="0" applyFont="1" applyFill="1" applyBorder="1" applyAlignment="1">
      <alignment horizontal="centerContinuous"/>
    </xf>
    <xf numFmtId="175" fontId="13" fillId="0" borderId="0" xfId="0" applyFont="1" applyFill="1" applyAlignment="1">
      <alignment horizontal="centerContinuous"/>
    </xf>
    <xf numFmtId="0" fontId="13" fillId="0" borderId="0" xfId="22" applyFont="1" applyFill="1" applyAlignment="1">
      <alignment horizontal="centerContinuous"/>
    </xf>
    <xf numFmtId="175" fontId="23" fillId="0" borderId="0" xfId="0" applyFont="1" applyFill="1" applyAlignment="1">
      <alignment horizontal="centerContinuous"/>
    </xf>
    <xf numFmtId="175" fontId="0" fillId="0" borderId="0" xfId="9" quotePrefix="1" applyFont="1" applyFill="1"/>
    <xf numFmtId="175" fontId="2" fillId="0" borderId="0" xfId="0" applyFont="1" applyFill="1" applyBorder="1" applyAlignment="1">
      <alignment horizontal="center"/>
    </xf>
    <xf numFmtId="175" fontId="3" fillId="0" borderId="0" xfId="0" applyFont="1" applyFill="1" applyAlignment="1">
      <alignment horizontal="right"/>
    </xf>
    <xf numFmtId="183" fontId="4" fillId="0" borderId="0" xfId="0" applyNumberFormat="1" applyFont="1" applyFill="1"/>
    <xf numFmtId="175" fontId="4" fillId="0" borderId="0" xfId="0" applyFont="1" applyFill="1" applyAlignment="1">
      <alignment horizontal="left"/>
    </xf>
    <xf numFmtId="0" fontId="23" fillId="0" borderId="0" xfId="22" applyFont="1" applyFill="1" applyBorder="1" applyAlignment="1">
      <alignment horizontal="center"/>
    </xf>
    <xf numFmtId="175" fontId="2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75" fontId="4" fillId="0" borderId="34" xfId="0" applyFont="1" applyFill="1" applyBorder="1"/>
    <xf numFmtId="175" fontId="3" fillId="0" borderId="35" xfId="0" applyFont="1" applyFill="1" applyBorder="1" applyAlignment="1">
      <alignment horizontal="center"/>
    </xf>
    <xf numFmtId="0" fontId="30" fillId="0" borderId="13" xfId="22" applyFont="1" applyFill="1" applyBorder="1" applyAlignment="1">
      <alignment horizontal="center"/>
    </xf>
    <xf numFmtId="175" fontId="23" fillId="0" borderId="11" xfId="0" applyFont="1" applyFill="1" applyBorder="1" applyAlignment="1">
      <alignment horizontal="centerContinuous"/>
    </xf>
    <xf numFmtId="175" fontId="3" fillId="0" borderId="0" xfId="0" applyFont="1" applyFill="1"/>
    <xf numFmtId="175" fontId="3" fillId="0" borderId="36" xfId="0" applyFont="1" applyFill="1" applyBorder="1" applyAlignment="1">
      <alignment horizontal="center"/>
    </xf>
    <xf numFmtId="175" fontId="3" fillId="0" borderId="37" xfId="0" applyFont="1" applyFill="1" applyBorder="1" applyAlignment="1">
      <alignment horizontal="center"/>
    </xf>
    <xf numFmtId="0" fontId="23" fillId="0" borderId="15" xfId="22" applyFont="1" applyFill="1" applyBorder="1" applyAlignment="1">
      <alignment horizontal="center"/>
    </xf>
    <xf numFmtId="175" fontId="3" fillId="0" borderId="8" xfId="0" applyFont="1" applyFill="1" applyBorder="1" applyAlignment="1">
      <alignment horizontal="center"/>
    </xf>
    <xf numFmtId="175" fontId="3" fillId="0" borderId="5" xfId="0" applyFont="1" applyFill="1" applyBorder="1" applyAlignment="1">
      <alignment horizontal="center"/>
    </xf>
    <xf numFmtId="175" fontId="3" fillId="0" borderId="17" xfId="0" applyFont="1" applyFill="1" applyBorder="1" applyAlignment="1">
      <alignment horizontal="center"/>
    </xf>
    <xf numFmtId="175" fontId="4" fillId="0" borderId="38" xfId="0" applyFont="1" applyFill="1" applyBorder="1"/>
    <xf numFmtId="175" fontId="3" fillId="0" borderId="39" xfId="0" quotePrefix="1" applyFont="1" applyFill="1" applyBorder="1" applyAlignment="1">
      <alignment horizontal="center"/>
    </xf>
    <xf numFmtId="0" fontId="31" fillId="0" borderId="8" xfId="22" applyFont="1" applyFill="1" applyBorder="1" applyAlignment="1">
      <alignment horizontal="center"/>
    </xf>
    <xf numFmtId="175" fontId="31" fillId="0" borderId="15" xfId="0" applyFont="1" applyFill="1" applyBorder="1" applyAlignment="1">
      <alignment horizontal="center"/>
    </xf>
    <xf numFmtId="175" fontId="31" fillId="0" borderId="11" xfId="0" applyFont="1" applyFill="1" applyBorder="1" applyAlignment="1">
      <alignment horizontal="center"/>
    </xf>
    <xf numFmtId="17" fontId="4" fillId="0" borderId="13" xfId="0" applyNumberFormat="1" applyFont="1" applyFill="1" applyBorder="1" applyAlignment="1">
      <alignment horizontal="center"/>
    </xf>
    <xf numFmtId="176" fontId="4" fillId="0" borderId="0" xfId="2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39" fontId="4" fillId="0" borderId="0" xfId="1" applyNumberFormat="1" applyFont="1" applyFill="1" applyAlignment="1">
      <alignment horizontal="center"/>
    </xf>
    <xf numFmtId="17" fontId="2" fillId="0" borderId="12" xfId="0" applyNumberFormat="1" applyFont="1" applyFill="1" applyBorder="1" applyAlignment="1">
      <alignment horizontal="center"/>
    </xf>
    <xf numFmtId="4" fontId="2" fillId="0" borderId="12" xfId="2" applyNumberFormat="1" applyFont="1" applyFill="1" applyBorder="1" applyAlignment="1">
      <alignment horizontal="center"/>
    </xf>
    <xf numFmtId="4" fontId="2" fillId="0" borderId="6" xfId="2" applyNumberFormat="1" applyFont="1" applyFill="1" applyBorder="1" applyAlignment="1">
      <alignment horizontal="center"/>
    </xf>
    <xf numFmtId="43" fontId="4" fillId="0" borderId="0" xfId="1" applyFont="1" applyFill="1" applyAlignment="1">
      <alignment horizontal="center"/>
    </xf>
    <xf numFmtId="17" fontId="4" fillId="0" borderId="12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17" fontId="4" fillId="0" borderId="15" xfId="0" applyNumberFormat="1" applyFont="1" applyFill="1" applyBorder="1" applyAlignment="1">
      <alignment horizontal="center"/>
    </xf>
    <xf numFmtId="176" fontId="4" fillId="0" borderId="9" xfId="2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7" fontId="2" fillId="0" borderId="15" xfId="0" applyNumberFormat="1" applyFont="1" applyFill="1" applyBorder="1" applyAlignment="1">
      <alignment horizontal="center"/>
    </xf>
    <xf numFmtId="4" fontId="2" fillId="0" borderId="15" xfId="2" applyNumberFormat="1" applyFont="1" applyFill="1" applyBorder="1" applyAlignment="1">
      <alignment horizontal="center"/>
    </xf>
    <xf numFmtId="4" fontId="2" fillId="0" borderId="10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center"/>
    </xf>
    <xf numFmtId="4" fontId="2" fillId="0" borderId="4" xfId="2" applyNumberFormat="1" applyFont="1" applyFill="1" applyBorder="1" applyAlignment="1">
      <alignment horizontal="center"/>
    </xf>
    <xf numFmtId="43" fontId="4" fillId="0" borderId="0" xfId="1" applyFont="1" applyFill="1"/>
    <xf numFmtId="39" fontId="4" fillId="0" borderId="11" xfId="1" applyNumberFormat="1" applyFont="1" applyFill="1" applyBorder="1" applyAlignment="1">
      <alignment horizontal="center"/>
    </xf>
    <xf numFmtId="175" fontId="4" fillId="0" borderId="11" xfId="0" applyFont="1" applyFill="1" applyBorder="1" applyAlignment="1">
      <alignment horizontal="centerContinuous"/>
    </xf>
    <xf numFmtId="43" fontId="4" fillId="0" borderId="11" xfId="1" applyNumberFormat="1" applyFont="1" applyFill="1" applyBorder="1" applyAlignment="1">
      <alignment horizontal="center"/>
    </xf>
    <xf numFmtId="175" fontId="4" fillId="0" borderId="0" xfId="0" applyFont="1" applyFill="1" applyAlignment="1">
      <alignment horizontal="center"/>
    </xf>
    <xf numFmtId="0" fontId="2" fillId="0" borderId="0" xfId="22" applyFont="1" applyFill="1" applyAlignment="1">
      <alignment horizontal="center"/>
    </xf>
    <xf numFmtId="175" fontId="4" fillId="9" borderId="0" xfId="0" applyFont="1" applyFill="1"/>
    <xf numFmtId="175" fontId="2" fillId="0" borderId="0" xfId="0" applyFont="1" applyFill="1"/>
    <xf numFmtId="175" fontId="2" fillId="0" borderId="0" xfId="0" applyFont="1" applyFill="1" applyAlignment="1">
      <alignment horizontal="center"/>
    </xf>
    <xf numFmtId="0" fontId="4" fillId="0" borderId="0" xfId="22" applyFont="1" applyFill="1" applyAlignment="1">
      <alignment horizontal="center"/>
    </xf>
    <xf numFmtId="175" fontId="2" fillId="0" borderId="11" xfId="0" applyFont="1" applyFill="1" applyBorder="1" applyAlignment="1">
      <alignment horizontal="center"/>
    </xf>
    <xf numFmtId="4" fontId="2" fillId="0" borderId="0" xfId="2" applyNumberFormat="1" applyFont="1" applyFill="1" applyBorder="1" applyAlignment="1">
      <alignment horizontal="center"/>
    </xf>
    <xf numFmtId="175" fontId="4" fillId="0" borderId="0" xfId="0" applyFont="1" applyFill="1" applyAlignment="1">
      <alignment wrapText="1"/>
    </xf>
    <xf numFmtId="180" fontId="4" fillId="0" borderId="0" xfId="0" applyNumberFormat="1" applyFont="1" applyFill="1"/>
    <xf numFmtId="0" fontId="4" fillId="0" borderId="0" xfId="0" applyNumberFormat="1" applyFont="1" applyFill="1"/>
    <xf numFmtId="1" fontId="4" fillId="0" borderId="0" xfId="0" applyNumberFormat="1" applyFont="1" applyFill="1" applyAlignment="1">
      <alignment vertical="top"/>
    </xf>
    <xf numFmtId="184" fontId="0" fillId="0" borderId="0" xfId="0" applyNumberFormat="1" applyFont="1" applyFill="1"/>
    <xf numFmtId="180" fontId="0" fillId="0" borderId="0" xfId="0" applyNumberFormat="1" applyFont="1" applyFill="1" applyBorder="1"/>
    <xf numFmtId="185" fontId="0" fillId="0" borderId="0" xfId="0" applyNumberFormat="1" applyFont="1" applyFill="1" applyBorder="1"/>
    <xf numFmtId="185" fontId="9" fillId="0" borderId="0" xfId="0" applyNumberFormat="1" applyFont="1" applyFill="1"/>
    <xf numFmtId="185" fontId="10" fillId="0" borderId="0" xfId="0" applyNumberFormat="1" applyFont="1" applyFill="1"/>
    <xf numFmtId="185" fontId="0" fillId="0" borderId="0" xfId="0" applyNumberFormat="1" applyFont="1" applyFill="1"/>
    <xf numFmtId="185" fontId="0" fillId="0" borderId="0" xfId="13" applyNumberFormat="1" applyFont="1" applyFill="1"/>
    <xf numFmtId="185" fontId="3" fillId="0" borderId="0" xfId="13" applyNumberFormat="1" applyFont="1" applyFill="1"/>
    <xf numFmtId="175" fontId="24" fillId="0" borderId="0" xfId="0" applyFont="1" applyFill="1" applyAlignment="1">
      <alignment horizontal="centerContinuous"/>
    </xf>
    <xf numFmtId="175" fontId="24" fillId="0" borderId="0" xfId="0" applyFont="1" applyFill="1" applyBorder="1" applyAlignment="1"/>
    <xf numFmtId="9" fontId="24" fillId="0" borderId="0" xfId="13" applyFont="1" applyFill="1" applyAlignment="1">
      <alignment horizontal="center"/>
    </xf>
    <xf numFmtId="178" fontId="24" fillId="0" borderId="0" xfId="0" applyNumberFormat="1" applyFont="1" applyFill="1" applyBorder="1" applyAlignment="1">
      <alignment horizontal="center"/>
    </xf>
    <xf numFmtId="175" fontId="24" fillId="0" borderId="0" xfId="0" applyFont="1" applyFill="1" applyAlignment="1">
      <alignment horizontal="left" vertical="top"/>
    </xf>
    <xf numFmtId="0" fontId="24" fillId="0" borderId="0" xfId="0" applyNumberFormat="1" applyFont="1" applyFill="1" applyBorder="1" applyAlignment="1">
      <alignment horizontal="center"/>
    </xf>
    <xf numFmtId="8" fontId="24" fillId="0" borderId="0" xfId="0" applyNumberFormat="1" applyFont="1" applyFill="1" applyBorder="1" applyAlignment="1">
      <alignment horizontal="center"/>
    </xf>
    <xf numFmtId="175" fontId="29" fillId="0" borderId="0" xfId="0" applyFont="1" applyFill="1" applyBorder="1" applyAlignment="1">
      <alignment horizontal="left" vertical="top"/>
    </xf>
    <xf numFmtId="175" fontId="24" fillId="0" borderId="0" xfId="0" applyFont="1" applyFill="1" applyBorder="1" applyAlignment="1">
      <alignment horizontal="centerContinuous"/>
    </xf>
    <xf numFmtId="175" fontId="12" fillId="0" borderId="0" xfId="0" applyFont="1" applyFill="1" applyBorder="1"/>
    <xf numFmtId="1" fontId="24" fillId="0" borderId="0" xfId="0" applyNumberFormat="1" applyFont="1" applyFill="1" applyBorder="1" applyAlignment="1">
      <alignment horizontal="center"/>
    </xf>
    <xf numFmtId="175" fontId="12" fillId="0" borderId="0" xfId="0" applyFont="1" applyFill="1" applyAlignment="1">
      <alignment horizontal="left" vertical="top"/>
    </xf>
    <xf numFmtId="175" fontId="6" fillId="0" borderId="0" xfId="0" applyFont="1" applyFill="1" applyAlignment="1">
      <alignment horizontal="left"/>
    </xf>
    <xf numFmtId="175" fontId="12" fillId="0" borderId="0" xfId="0" applyFont="1" applyFill="1" applyBorder="1" applyAlignment="1">
      <alignment horizontal="left" vertical="top"/>
    </xf>
    <xf numFmtId="8" fontId="24" fillId="0" borderId="0" xfId="0" applyNumberFormat="1" applyFont="1" applyFill="1" applyBorder="1"/>
    <xf numFmtId="180" fontId="0" fillId="0" borderId="0" xfId="0" applyNumberFormat="1" applyFont="1" applyFill="1"/>
    <xf numFmtId="8" fontId="0" fillId="0" borderId="0" xfId="1" applyNumberFormat="1" applyFont="1" applyFill="1"/>
    <xf numFmtId="175" fontId="0" fillId="0" borderId="12" xfId="0" applyFont="1" applyFill="1" applyBorder="1" applyAlignment="1">
      <alignment horizontal="centerContinuous" wrapText="1"/>
    </xf>
    <xf numFmtId="167" fontId="0" fillId="0" borderId="18" xfId="0" quotePrefix="1" applyNumberFormat="1" applyFont="1" applyFill="1" applyBorder="1" applyAlignment="1">
      <alignment horizontal="center"/>
    </xf>
    <xf numFmtId="175" fontId="0" fillId="0" borderId="0" xfId="0" applyBorder="1"/>
    <xf numFmtId="175" fontId="0" fillId="0" borderId="0" xfId="0" applyFill="1" applyBorder="1"/>
    <xf numFmtId="9" fontId="0" fillId="0" borderId="0" xfId="13" applyNumberFormat="1" applyFont="1" applyFill="1"/>
    <xf numFmtId="175" fontId="3" fillId="10" borderId="8" xfId="0" applyFont="1" applyFill="1" applyBorder="1" applyAlignment="1">
      <alignment horizontal="centerContinuous"/>
    </xf>
    <xf numFmtId="175" fontId="4" fillId="10" borderId="5" xfId="0" applyFont="1" applyFill="1" applyBorder="1" applyAlignment="1">
      <alignment horizontal="centerContinuous"/>
    </xf>
    <xf numFmtId="175" fontId="4" fillId="10" borderId="17" xfId="0" applyFont="1" applyFill="1" applyBorder="1" applyAlignment="1">
      <alignment horizontal="centerContinuous"/>
    </xf>
    <xf numFmtId="175" fontId="4" fillId="0" borderId="4" xfId="0" applyFont="1" applyFill="1" applyBorder="1"/>
    <xf numFmtId="175" fontId="3" fillId="0" borderId="11" xfId="0" applyFont="1" applyFill="1" applyBorder="1" applyAlignment="1">
      <alignment horizontal="centerContinuous" wrapText="1"/>
    </xf>
    <xf numFmtId="175" fontId="4" fillId="0" borderId="12" xfId="0" applyFont="1" applyFill="1" applyBorder="1" applyAlignment="1">
      <alignment horizontal="center"/>
    </xf>
    <xf numFmtId="175" fontId="4" fillId="0" borderId="13" xfId="0" applyFont="1" applyFill="1" applyBorder="1" applyAlignment="1">
      <alignment horizontal="centerContinuous"/>
    </xf>
    <xf numFmtId="175" fontId="4" fillId="0" borderId="6" xfId="0" applyFont="1" applyFill="1" applyBorder="1" applyAlignment="1">
      <alignment horizontal="center"/>
    </xf>
    <xf numFmtId="175" fontId="4" fillId="0" borderId="12" xfId="0" applyFont="1" applyFill="1" applyBorder="1"/>
    <xf numFmtId="17" fontId="4" fillId="0" borderId="12" xfId="0" applyNumberFormat="1" applyFont="1" applyFill="1" applyBorder="1" applyAlignment="1">
      <alignment horizontal="centerContinuous"/>
    </xf>
    <xf numFmtId="17" fontId="4" fillId="0" borderId="7" xfId="0" applyNumberFormat="1" applyFont="1" applyFill="1" applyBorder="1" applyAlignment="1">
      <alignment horizontal="center"/>
    </xf>
    <xf numFmtId="175" fontId="4" fillId="0" borderId="15" xfId="0" applyFont="1" applyFill="1" applyBorder="1"/>
    <xf numFmtId="175" fontId="4" fillId="0" borderId="15" xfId="0" applyFont="1" applyFill="1" applyBorder="1" applyAlignment="1">
      <alignment horizontal="centerContinuous"/>
    </xf>
    <xf numFmtId="175" fontId="4" fillId="0" borderId="16" xfId="0" applyFont="1" applyFill="1" applyBorder="1" applyAlignment="1">
      <alignment horizontal="center"/>
    </xf>
    <xf numFmtId="175" fontId="4" fillId="0" borderId="10" xfId="0" applyFont="1" applyFill="1" applyBorder="1" applyAlignment="1">
      <alignment horizontal="center"/>
    </xf>
    <xf numFmtId="175" fontId="4" fillId="0" borderId="0" xfId="0" quotePrefix="1" applyFont="1" applyFill="1" applyBorder="1" applyAlignment="1">
      <alignment horizontal="center"/>
    </xf>
    <xf numFmtId="175" fontId="4" fillId="0" borderId="13" xfId="0" quotePrefix="1" applyFont="1" applyFill="1" applyBorder="1" applyAlignment="1">
      <alignment horizontal="centerContinuous"/>
    </xf>
    <xf numFmtId="175" fontId="4" fillId="0" borderId="12" xfId="0" quotePrefix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80" fontId="4" fillId="0" borderId="0" xfId="0" applyNumberFormat="1" applyFont="1" applyFill="1" applyBorder="1"/>
    <xf numFmtId="10" fontId="4" fillId="0" borderId="0" xfId="0" applyNumberFormat="1" applyFont="1" applyFill="1" applyAlignment="1">
      <alignment horizontal="center"/>
    </xf>
    <xf numFmtId="175" fontId="4" fillId="0" borderId="0" xfId="0" applyFont="1" applyFill="1" applyAlignment="1">
      <alignment horizontal="right"/>
    </xf>
    <xf numFmtId="3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75" fontId="4" fillId="0" borderId="0" xfId="0" quotePrefix="1" applyFont="1" applyFill="1" applyAlignment="1">
      <alignment horizontal="right"/>
    </xf>
    <xf numFmtId="0" fontId="4" fillId="0" borderId="0" xfId="8" applyFont="1"/>
    <xf numFmtId="179" fontId="4" fillId="0" borderId="0" xfId="0" applyNumberFormat="1" applyFont="1" applyFill="1"/>
    <xf numFmtId="175" fontId="4" fillId="0" borderId="7" xfId="0" applyFont="1" applyFill="1" applyBorder="1" applyAlignment="1">
      <alignment horizontal="center" wrapText="1"/>
    </xf>
    <xf numFmtId="175" fontId="4" fillId="0" borderId="0" xfId="0" quotePrefix="1" applyFont="1" applyFill="1"/>
    <xf numFmtId="175" fontId="0" fillId="0" borderId="8" xfId="0" applyFont="1" applyFill="1" applyBorder="1" applyAlignment="1">
      <alignment horizontal="center"/>
    </xf>
    <xf numFmtId="175" fontId="0" fillId="0" borderId="5" xfId="0" applyFont="1" applyFill="1" applyBorder="1" applyAlignment="1">
      <alignment horizontal="center"/>
    </xf>
    <xf numFmtId="175" fontId="0" fillId="0" borderId="17" xfId="0" applyFont="1" applyFill="1" applyBorder="1" applyAlignment="1">
      <alignment horizontal="center"/>
    </xf>
    <xf numFmtId="175" fontId="0" fillId="0" borderId="0" xfId="9" applyFont="1" applyFill="1" applyAlignment="1">
      <alignment horizontal="left" wrapText="1"/>
    </xf>
  </cellXfs>
  <cellStyles count="23">
    <cellStyle name="_x0013_" xfId="21"/>
    <cellStyle name="Comma" xfId="1" builtinId="3"/>
    <cellStyle name="Currency" xfId="2" builtinId="4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176" xfId="20"/>
    <cellStyle name="Normal 2" xfId="17"/>
    <cellStyle name="Normal_CG27 Official Base Case 03-31-05" xfId="22"/>
    <cellStyle name="Normal_DRR AC Study - Utah Valley - 53 MW 90 CF (2.28.2005)" xfId="7"/>
    <cellStyle name="Normal_INF_06_03_07" xfId="19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Normal_WY AC 2009 - AC Study (Wind Study)_2009 08 11" xfId="18"/>
    <cellStyle name="Password" xfId="12"/>
    <cellStyle name="Percent" xfId="13" builtinId="5"/>
    <cellStyle name="Unprot" xfId="14"/>
    <cellStyle name="Unprot$" xfId="15"/>
    <cellStyle name="Unprotect" xfId="16"/>
  </cellStyles>
  <dxfs count="1"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4%20May%20-%20Sch%2037%20Update\Petition_2015%2001%2005\UT%20Sch%2037%202014%20-%20Appendix%203%20-1%20CONF%20-%20L&amp;R%20%20Study%20CONF%20_2014%2005%200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3%20May%20-%20Sch%2037%20Update\Scenario\Preliminary%20and%20Draft%20Versions\UT%20Sch%2037%202013%20-%202a%20-%20L&amp;R%20%20Study%20_2013%2005%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4%20May%20-%20Sch%2037%20Update\Petition_2015%2001%2005\UT%20Sch%2037%202014%20-%20AC%20Study%20_2014%2005%2002%20OFPC%201403_LowCO2_Updated%20for%20Reconsider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4%20May%20-%20Sch%2037%20Update\Petition_2015%2001%2005\UT%20Sch%2037%202014%20-%202a%20-%20L&amp;R%20%20Study%20_2014%2005%2004%201403%20OFPC%20Low%20CO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PV%20Shaping%20(1).zip\PV%20Shaping\UT%20Sch%2037%202014%20-%20Appendix%204a%20-%20GRID%20AC%20Study%20CONF%20_2014%2005%200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PV%20Shaping%20(1).zip\PV%20Shaping\UT%20Sch%2037%202014%20-%20Appendix%204b%20-%20GRID%20AC%20Study%20CONF%20_2014%2005%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file"/>
      <sheetName val="L&amp;R"/>
      <sheetName val="Check LTC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on off peak hours"/>
    </sheetNames>
    <sheetDataSet>
      <sheetData sheetId="0" refreshError="1"/>
      <sheetData sheetId="1">
        <row r="22">
          <cell r="B22" t="str">
            <v>Year</v>
          </cell>
          <cell r="C22" t="str">
            <v>Peak</v>
          </cell>
          <cell r="E22" t="str">
            <v>Jan</v>
          </cell>
          <cell r="F22" t="str">
            <v>Feb</v>
          </cell>
          <cell r="G22" t="str">
            <v>Mar</v>
          </cell>
          <cell r="H22" t="str">
            <v>Apr</v>
          </cell>
          <cell r="I22" t="str">
            <v>May</v>
          </cell>
          <cell r="J22" t="str">
            <v>Jun</v>
          </cell>
          <cell r="K22" t="str">
            <v>Jul</v>
          </cell>
          <cell r="L22" t="str">
            <v>Aug</v>
          </cell>
          <cell r="M22" t="str">
            <v>Sep</v>
          </cell>
          <cell r="N22" t="str">
            <v>Oct</v>
          </cell>
          <cell r="O22" t="str">
            <v>Nov</v>
          </cell>
          <cell r="P22" t="str">
            <v>Dec</v>
          </cell>
        </row>
        <row r="23">
          <cell r="B23">
            <v>2014</v>
          </cell>
          <cell r="C23">
            <v>-12.974508724786801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-12.974508724786801</v>
          </cell>
          <cell r="L23">
            <v>-51.558689938914767</v>
          </cell>
          <cell r="M23">
            <v>205.06445301535518</v>
          </cell>
          <cell r="N23">
            <v>577.41620081536871</v>
          </cell>
          <cell r="O23">
            <v>1222.6162347043978</v>
          </cell>
          <cell r="P23">
            <v>1652.9633678895416</v>
          </cell>
        </row>
        <row r="24">
          <cell r="B24">
            <v>2015</v>
          </cell>
          <cell r="C24">
            <v>-346.80136187951746</v>
          </cell>
          <cell r="E24">
            <v>1870.820149252077</v>
          </cell>
          <cell r="F24">
            <v>1635.1626254853632</v>
          </cell>
          <cell r="G24">
            <v>-753.49854632231859</v>
          </cell>
          <cell r="H24">
            <v>-212.66498353527356</v>
          </cell>
          <cell r="I24">
            <v>-733.69376774099078</v>
          </cell>
          <cell r="J24">
            <v>-881.60455658101819</v>
          </cell>
          <cell r="K24">
            <v>-346.80136187951746</v>
          </cell>
          <cell r="L24">
            <v>-272.09879281138484</v>
          </cell>
          <cell r="M24">
            <v>255.38614712752747</v>
          </cell>
          <cell r="N24">
            <v>618.51206959294609</v>
          </cell>
          <cell r="O24">
            <v>1655.3471698745384</v>
          </cell>
          <cell r="P24">
            <v>1974.5595618652205</v>
          </cell>
        </row>
        <row r="25">
          <cell r="B25">
            <v>2016</v>
          </cell>
          <cell r="C25">
            <v>-426.07310671642477</v>
          </cell>
          <cell r="E25">
            <v>2065.2417583965398</v>
          </cell>
          <cell r="F25">
            <v>1853.1470638046837</v>
          </cell>
          <cell r="G25">
            <v>-925.289180224093</v>
          </cell>
          <cell r="H25">
            <v>-149.2697895436055</v>
          </cell>
          <cell r="I25">
            <v>-123.29907358614099</v>
          </cell>
          <cell r="J25">
            <v>-848.45789751727273</v>
          </cell>
          <cell r="K25">
            <v>-426.07310671642477</v>
          </cell>
          <cell r="L25">
            <v>-326.7896802605855</v>
          </cell>
          <cell r="M25">
            <v>136.23310558965289</v>
          </cell>
          <cell r="N25">
            <v>372.52012620568235</v>
          </cell>
          <cell r="O25">
            <v>1440.8054917350937</v>
          </cell>
          <cell r="P25">
            <v>1816.3934904691873</v>
          </cell>
        </row>
        <row r="26">
          <cell r="B26">
            <v>2017</v>
          </cell>
          <cell r="C26">
            <v>-488.96348407154727</v>
          </cell>
          <cell r="E26">
            <v>1987.5467879289845</v>
          </cell>
          <cell r="F26">
            <v>2193.9353072038366</v>
          </cell>
          <cell r="G26">
            <v>-1008.0256133040452</v>
          </cell>
          <cell r="H26">
            <v>213.27374518868191</v>
          </cell>
          <cell r="I26">
            <v>-166.67899845001813</v>
          </cell>
          <cell r="J26">
            <v>-810.94279772446373</v>
          </cell>
          <cell r="K26">
            <v>-488.96348407154727</v>
          </cell>
          <cell r="L26">
            <v>-406.14715680080451</v>
          </cell>
          <cell r="M26">
            <v>-527.72646024406845</v>
          </cell>
          <cell r="N26">
            <v>369.4845970143611</v>
          </cell>
          <cell r="O26">
            <v>1385.9724031277292</v>
          </cell>
          <cell r="P26">
            <v>1754.4323864283945</v>
          </cell>
        </row>
        <row r="27">
          <cell r="B27">
            <v>2018</v>
          </cell>
          <cell r="C27">
            <v>-576.63063225949668</v>
          </cell>
          <cell r="E27">
            <v>1928.4803618129986</v>
          </cell>
          <cell r="F27">
            <v>2078.6824925305218</v>
          </cell>
          <cell r="G27">
            <v>-787.42778992033504</v>
          </cell>
          <cell r="H27">
            <v>-402.35172194156712</v>
          </cell>
          <cell r="I27">
            <v>-875.00280189791579</v>
          </cell>
          <cell r="J27">
            <v>-954.75580603593539</v>
          </cell>
          <cell r="K27">
            <v>-576.63063225949668</v>
          </cell>
          <cell r="L27">
            <v>-452.94441624204109</v>
          </cell>
          <cell r="M27">
            <v>-112.14274173848321</v>
          </cell>
          <cell r="N27">
            <v>732.22952161979197</v>
          </cell>
          <cell r="O27">
            <v>1190.2156947044921</v>
          </cell>
          <cell r="P27">
            <v>1614.9790141619667</v>
          </cell>
        </row>
        <row r="28">
          <cell r="B28">
            <v>2019</v>
          </cell>
          <cell r="C28">
            <v>-687.31638770250561</v>
          </cell>
          <cell r="E28">
            <v>1838.5977319730791</v>
          </cell>
          <cell r="F28">
            <v>2033.494224965576</v>
          </cell>
          <cell r="G28">
            <v>-893.3919168487671</v>
          </cell>
          <cell r="H28">
            <v>-513.73906919291267</v>
          </cell>
          <cell r="I28">
            <v>-989.24703227524003</v>
          </cell>
          <cell r="J28">
            <v>-1049.5156586482385</v>
          </cell>
          <cell r="K28">
            <v>-687.31638770250561</v>
          </cell>
          <cell r="L28">
            <v>-615.82356881537191</v>
          </cell>
          <cell r="M28">
            <v>-217.42791584179179</v>
          </cell>
          <cell r="N28">
            <v>617.31217924279849</v>
          </cell>
          <cell r="O28">
            <v>1182.5842217971672</v>
          </cell>
          <cell r="P28">
            <v>1595.5054299429248</v>
          </cell>
        </row>
        <row r="29">
          <cell r="B29">
            <v>2020</v>
          </cell>
          <cell r="C29">
            <v>-895.05505800885226</v>
          </cell>
          <cell r="E29">
            <v>1680.4083911103005</v>
          </cell>
          <cell r="F29">
            <v>1943.7873580472128</v>
          </cell>
          <cell r="G29">
            <v>-1166.0930331315051</v>
          </cell>
          <cell r="H29">
            <v>-383.07336879938532</v>
          </cell>
          <cell r="I29">
            <v>-758.12362530887299</v>
          </cell>
          <cell r="J29">
            <v>-1263.9801109151558</v>
          </cell>
          <cell r="K29">
            <v>-895.05505800885226</v>
          </cell>
          <cell r="L29">
            <v>-842.95053063206319</v>
          </cell>
          <cell r="M29">
            <v>-299.00950878719311</v>
          </cell>
          <cell r="N29">
            <v>186.98748758732671</v>
          </cell>
          <cell r="O29">
            <v>1205.045643649257</v>
          </cell>
          <cell r="P29">
            <v>1509.752439013514</v>
          </cell>
        </row>
        <row r="30">
          <cell r="B30">
            <v>2021</v>
          </cell>
          <cell r="C30">
            <v>-694.56808507671212</v>
          </cell>
          <cell r="E30">
            <v>1441.2567689298282</v>
          </cell>
          <cell r="F30">
            <v>1665.6086817392991</v>
          </cell>
          <cell r="G30">
            <v>-1387.9365133263573</v>
          </cell>
          <cell r="H30">
            <v>-649.91972747254135</v>
          </cell>
          <cell r="I30">
            <v>-218.33034116511067</v>
          </cell>
          <cell r="J30">
            <v>-1112.0027752878489</v>
          </cell>
          <cell r="K30">
            <v>-694.56808507671212</v>
          </cell>
          <cell r="L30">
            <v>-664.95481492836257</v>
          </cell>
          <cell r="M30">
            <v>-109.14013644646786</v>
          </cell>
          <cell r="N30">
            <v>-572.61671188244532</v>
          </cell>
          <cell r="O30">
            <v>396.58906508409871</v>
          </cell>
          <cell r="P30">
            <v>738.46150147560127</v>
          </cell>
        </row>
        <row r="31">
          <cell r="B31">
            <v>2022</v>
          </cell>
          <cell r="C31">
            <v>-810.57498433074215</v>
          </cell>
          <cell r="E31">
            <v>817.84663314212207</v>
          </cell>
          <cell r="F31">
            <v>1092.7298915431215</v>
          </cell>
          <cell r="G31">
            <v>-1569.1989656828498</v>
          </cell>
          <cell r="H31">
            <v>-742.42457277057304</v>
          </cell>
          <cell r="I31">
            <v>-235.29737274475661</v>
          </cell>
          <cell r="J31">
            <v>-1185.7842575623695</v>
          </cell>
          <cell r="K31">
            <v>-810.57498433074215</v>
          </cell>
          <cell r="L31">
            <v>-716.94622855237571</v>
          </cell>
          <cell r="M31">
            <v>-260.70312796338715</v>
          </cell>
          <cell r="N31">
            <v>-813.61467141445905</v>
          </cell>
          <cell r="O31">
            <v>318.09964086294588</v>
          </cell>
          <cell r="P31">
            <v>633.82385326104111</v>
          </cell>
        </row>
        <row r="32">
          <cell r="B32">
            <v>2023</v>
          </cell>
          <cell r="C32">
            <v>-810.57498433074215</v>
          </cell>
          <cell r="E32">
            <v>756.291171191991</v>
          </cell>
          <cell r="F32">
            <v>1060.8482586227512</v>
          </cell>
          <cell r="G32">
            <v>-1445.5939968165089</v>
          </cell>
          <cell r="H32">
            <v>-1003.4320869273333</v>
          </cell>
          <cell r="I32">
            <v>-951.82195091371852</v>
          </cell>
          <cell r="J32">
            <v>-1293.6101847624109</v>
          </cell>
          <cell r="K32">
            <v>-906.62905298991438</v>
          </cell>
          <cell r="L32">
            <v>-815.72309372340158</v>
          </cell>
          <cell r="M32">
            <v>-387.84475195130807</v>
          </cell>
          <cell r="N32">
            <v>-408.75074988240141</v>
          </cell>
          <cell r="O32">
            <v>141.08453694690786</v>
          </cell>
          <cell r="P32">
            <v>522.90323704032892</v>
          </cell>
        </row>
        <row r="33">
          <cell r="B33">
            <v>2024</v>
          </cell>
          <cell r="C33">
            <v>-948.11775018015362</v>
          </cell>
          <cell r="E33">
            <v>707.52441546826105</v>
          </cell>
          <cell r="F33">
            <v>970.15838290869488</v>
          </cell>
          <cell r="G33">
            <v>-1453.4924648103083</v>
          </cell>
          <cell r="H33">
            <v>-1052.4051617328498</v>
          </cell>
          <cell r="I33">
            <v>-1043.3621107869167</v>
          </cell>
          <cell r="J33">
            <v>-1335.7960024929755</v>
          </cell>
          <cell r="K33">
            <v>-948.11775018015362</v>
          </cell>
          <cell r="L33">
            <v>-866.1757451762237</v>
          </cell>
          <cell r="M33">
            <v>-446.06993742156158</v>
          </cell>
          <cell r="N33">
            <v>-610.33004054132232</v>
          </cell>
          <cell r="O33">
            <v>38.271796454522928</v>
          </cell>
          <cell r="P33">
            <v>441.27540379205709</v>
          </cell>
        </row>
        <row r="34">
          <cell r="B34">
            <v>2025</v>
          </cell>
          <cell r="C34">
            <v>-1152.1304580518627</v>
          </cell>
          <cell r="E34">
            <v>496.44455740088239</v>
          </cell>
          <cell r="F34">
            <v>800.5366163637367</v>
          </cell>
          <cell r="G34">
            <v>-1621.7569756014063</v>
          </cell>
          <cell r="H34">
            <v>-1052.4367744377432</v>
          </cell>
          <cell r="I34">
            <v>-1262.6180846573618</v>
          </cell>
          <cell r="J34">
            <v>-1565.9632528961008</v>
          </cell>
          <cell r="K34">
            <v>-1152.1304580518627</v>
          </cell>
          <cell r="L34">
            <v>-1075.7166126163252</v>
          </cell>
          <cell r="M34">
            <v>-485.77327855473703</v>
          </cell>
          <cell r="N34">
            <v>-597.48596216487306</v>
          </cell>
          <cell r="O34">
            <v>-86.413007756222271</v>
          </cell>
          <cell r="P34">
            <v>338.51801421067177</v>
          </cell>
        </row>
        <row r="35">
          <cell r="B35">
            <v>2026</v>
          </cell>
          <cell r="C35">
            <v>-1250.8316576038931</v>
          </cell>
          <cell r="E35">
            <v>430.45011420708556</v>
          </cell>
          <cell r="F35">
            <v>709.99243007247514</v>
          </cell>
          <cell r="G35">
            <v>-1948.9202462503074</v>
          </cell>
          <cell r="H35">
            <v>-1132.1348503299255</v>
          </cell>
          <cell r="I35">
            <v>-1039.2676678716218</v>
          </cell>
          <cell r="J35">
            <v>-1647.6348080865</v>
          </cell>
          <cell r="K35">
            <v>-1250.8316576038931</v>
          </cell>
          <cell r="L35">
            <v>-1180.4436307731403</v>
          </cell>
          <cell r="M35">
            <v>-610.48324941010992</v>
          </cell>
          <cell r="N35">
            <v>-1060.0914942664665</v>
          </cell>
          <cell r="O35">
            <v>-62.610203517953323</v>
          </cell>
          <cell r="P35">
            <v>232.13139166008466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">
          <cell r="C15">
            <v>41275</v>
          </cell>
          <cell r="D15">
            <v>41306</v>
          </cell>
          <cell r="E15">
            <v>41334</v>
          </cell>
          <cell r="F15">
            <v>41365</v>
          </cell>
          <cell r="G15">
            <v>41395</v>
          </cell>
          <cell r="H15">
            <v>41426</v>
          </cell>
          <cell r="I15">
            <v>41456</v>
          </cell>
          <cell r="J15">
            <v>41487</v>
          </cell>
          <cell r="K15">
            <v>41518</v>
          </cell>
          <cell r="L15">
            <v>41548</v>
          </cell>
          <cell r="M15">
            <v>41579</v>
          </cell>
          <cell r="N15">
            <v>41609</v>
          </cell>
          <cell r="O15">
            <v>41640</v>
          </cell>
          <cell r="P15">
            <v>41671</v>
          </cell>
          <cell r="Q15">
            <v>41699</v>
          </cell>
          <cell r="R15">
            <v>41730</v>
          </cell>
          <cell r="S15">
            <v>41760</v>
          </cell>
          <cell r="T15">
            <v>41791</v>
          </cell>
          <cell r="U15">
            <v>41821</v>
          </cell>
          <cell r="V15">
            <v>41852</v>
          </cell>
          <cell r="W15">
            <v>41883</v>
          </cell>
          <cell r="X15">
            <v>41913</v>
          </cell>
          <cell r="Y15">
            <v>41944</v>
          </cell>
          <cell r="Z15">
            <v>41974</v>
          </cell>
          <cell r="AA15">
            <v>42005</v>
          </cell>
          <cell r="AB15">
            <v>42036</v>
          </cell>
          <cell r="AC15">
            <v>42064</v>
          </cell>
          <cell r="AD15">
            <v>42095</v>
          </cell>
          <cell r="AE15">
            <v>42125</v>
          </cell>
          <cell r="AF15">
            <v>42156</v>
          </cell>
          <cell r="AG15">
            <v>42186</v>
          </cell>
          <cell r="AH15">
            <v>42217</v>
          </cell>
          <cell r="AI15">
            <v>42248</v>
          </cell>
          <cell r="AJ15">
            <v>42278</v>
          </cell>
          <cell r="AK15">
            <v>42309</v>
          </cell>
          <cell r="AL15">
            <v>42339</v>
          </cell>
          <cell r="AM15">
            <v>42370</v>
          </cell>
          <cell r="AN15">
            <v>42401</v>
          </cell>
          <cell r="AO15">
            <v>42430</v>
          </cell>
          <cell r="AP15">
            <v>42461</v>
          </cell>
          <cell r="AQ15">
            <v>42491</v>
          </cell>
          <cell r="AR15">
            <v>42522</v>
          </cell>
          <cell r="AS15">
            <v>42552</v>
          </cell>
          <cell r="AT15">
            <v>42583</v>
          </cell>
          <cell r="AU15">
            <v>42614</v>
          </cell>
          <cell r="AV15">
            <v>42644</v>
          </cell>
          <cell r="AW15">
            <v>42675</v>
          </cell>
          <cell r="AX15">
            <v>42705</v>
          </cell>
          <cell r="AY15">
            <v>42736</v>
          </cell>
          <cell r="AZ15">
            <v>42767</v>
          </cell>
          <cell r="BA15">
            <v>42795</v>
          </cell>
          <cell r="BB15">
            <v>42826</v>
          </cell>
          <cell r="BC15">
            <v>42856</v>
          </cell>
          <cell r="BD15">
            <v>42887</v>
          </cell>
          <cell r="BE15">
            <v>42917</v>
          </cell>
          <cell r="BF15">
            <v>42948</v>
          </cell>
          <cell r="BG15">
            <v>42979</v>
          </cell>
          <cell r="BH15">
            <v>43009</v>
          </cell>
          <cell r="BI15">
            <v>43040</v>
          </cell>
          <cell r="BJ15">
            <v>43070</v>
          </cell>
          <cell r="BK15">
            <v>43101</v>
          </cell>
          <cell r="BL15">
            <v>43132</v>
          </cell>
          <cell r="BM15">
            <v>43160</v>
          </cell>
          <cell r="BN15">
            <v>43191</v>
          </cell>
          <cell r="BO15">
            <v>43221</v>
          </cell>
          <cell r="BP15">
            <v>43252</v>
          </cell>
          <cell r="BQ15">
            <v>43282</v>
          </cell>
          <cell r="BR15">
            <v>43313</v>
          </cell>
          <cell r="BS15">
            <v>43344</v>
          </cell>
          <cell r="BT15">
            <v>43374</v>
          </cell>
          <cell r="BU15">
            <v>43405</v>
          </cell>
          <cell r="BV15">
            <v>43435</v>
          </cell>
          <cell r="BW15">
            <v>43466</v>
          </cell>
          <cell r="BX15">
            <v>43497</v>
          </cell>
          <cell r="BY15">
            <v>43525</v>
          </cell>
          <cell r="BZ15">
            <v>43556</v>
          </cell>
          <cell r="CA15">
            <v>43586</v>
          </cell>
          <cell r="CB15">
            <v>43617</v>
          </cell>
          <cell r="CC15">
            <v>43647</v>
          </cell>
          <cell r="CD15">
            <v>43678</v>
          </cell>
          <cell r="CE15">
            <v>43709</v>
          </cell>
          <cell r="CF15">
            <v>43739</v>
          </cell>
          <cell r="CG15">
            <v>43770</v>
          </cell>
          <cell r="CH15">
            <v>43800</v>
          </cell>
          <cell r="CI15">
            <v>43831</v>
          </cell>
          <cell r="CJ15">
            <v>43862</v>
          </cell>
          <cell r="CK15">
            <v>43891</v>
          </cell>
          <cell r="CL15">
            <v>43922</v>
          </cell>
          <cell r="CM15">
            <v>43952</v>
          </cell>
          <cell r="CN15">
            <v>43983</v>
          </cell>
          <cell r="CO15">
            <v>44013</v>
          </cell>
          <cell r="CP15">
            <v>44044</v>
          </cell>
          <cell r="CQ15">
            <v>44075</v>
          </cell>
          <cell r="CR15">
            <v>44105</v>
          </cell>
          <cell r="CS15">
            <v>44136</v>
          </cell>
          <cell r="CT15">
            <v>44166</v>
          </cell>
          <cell r="CU15">
            <v>44197</v>
          </cell>
          <cell r="CV15">
            <v>44228</v>
          </cell>
          <cell r="CW15">
            <v>44256</v>
          </cell>
          <cell r="CX15">
            <v>44287</v>
          </cell>
          <cell r="CY15">
            <v>44317</v>
          </cell>
          <cell r="CZ15">
            <v>44348</v>
          </cell>
          <cell r="DA15">
            <v>44378</v>
          </cell>
          <cell r="DB15">
            <v>44409</v>
          </cell>
          <cell r="DC15">
            <v>44440</v>
          </cell>
          <cell r="DD15">
            <v>44470</v>
          </cell>
          <cell r="DE15">
            <v>44501</v>
          </cell>
          <cell r="DF15">
            <v>44531</v>
          </cell>
          <cell r="DG15">
            <v>44562</v>
          </cell>
          <cell r="DH15">
            <v>44593</v>
          </cell>
          <cell r="DI15">
            <v>44621</v>
          </cell>
          <cell r="DJ15">
            <v>44652</v>
          </cell>
          <cell r="DK15">
            <v>44682</v>
          </cell>
          <cell r="DL15">
            <v>44713</v>
          </cell>
          <cell r="DM15">
            <v>44743</v>
          </cell>
          <cell r="DN15">
            <v>44774</v>
          </cell>
          <cell r="DO15">
            <v>44805</v>
          </cell>
          <cell r="DP15">
            <v>44835</v>
          </cell>
          <cell r="DQ15">
            <v>44866</v>
          </cell>
          <cell r="DR15">
            <v>44896</v>
          </cell>
          <cell r="DS15">
            <v>44927</v>
          </cell>
          <cell r="DT15">
            <v>44958</v>
          </cell>
          <cell r="DU15">
            <v>44986</v>
          </cell>
          <cell r="DV15">
            <v>45017</v>
          </cell>
          <cell r="DW15">
            <v>45047</v>
          </cell>
          <cell r="DX15">
            <v>45078</v>
          </cell>
          <cell r="DY15">
            <v>45108</v>
          </cell>
          <cell r="DZ15">
            <v>45139</v>
          </cell>
          <cell r="EA15">
            <v>45170</v>
          </cell>
          <cell r="EB15">
            <v>45200</v>
          </cell>
          <cell r="EC15">
            <v>45231</v>
          </cell>
          <cell r="ED15">
            <v>45261</v>
          </cell>
        </row>
        <row r="16">
          <cell r="C16">
            <v>416</v>
          </cell>
          <cell r="D16">
            <v>384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400</v>
          </cell>
          <cell r="AF16">
            <v>416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400</v>
          </cell>
          <cell r="AN16">
            <v>400</v>
          </cell>
          <cell r="AO16">
            <v>432</v>
          </cell>
          <cell r="AP16">
            <v>416</v>
          </cell>
          <cell r="AQ16">
            <v>400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416</v>
          </cell>
          <cell r="AY16">
            <v>400</v>
          </cell>
          <cell r="AZ16">
            <v>384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416</v>
          </cell>
          <cell r="BZ16">
            <v>416</v>
          </cell>
          <cell r="CA16">
            <v>416</v>
          </cell>
          <cell r="CB16">
            <v>400</v>
          </cell>
          <cell r="CC16">
            <v>416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400</v>
          </cell>
          <cell r="CK16">
            <v>416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432</v>
          </cell>
          <cell r="CS16">
            <v>384</v>
          </cell>
          <cell r="CT16">
            <v>416</v>
          </cell>
          <cell r="CU16">
            <v>400</v>
          </cell>
          <cell r="CV16">
            <v>384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400</v>
          </cell>
          <cell r="DW16">
            <v>416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400</v>
          </cell>
        </row>
        <row r="17">
          <cell r="C17">
            <v>328</v>
          </cell>
          <cell r="D17">
            <v>288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344</v>
          </cell>
          <cell r="AF17">
            <v>304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344</v>
          </cell>
          <cell r="AN17">
            <v>296</v>
          </cell>
          <cell r="AO17">
            <v>312</v>
          </cell>
          <cell r="AP17">
            <v>304</v>
          </cell>
          <cell r="AQ17">
            <v>344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328</v>
          </cell>
          <cell r="AY17">
            <v>344</v>
          </cell>
          <cell r="AZ17">
            <v>288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328</v>
          </cell>
          <cell r="BZ17">
            <v>304</v>
          </cell>
          <cell r="CA17">
            <v>328</v>
          </cell>
          <cell r="CB17">
            <v>320</v>
          </cell>
          <cell r="CC17">
            <v>328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296</v>
          </cell>
          <cell r="CK17">
            <v>328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312</v>
          </cell>
          <cell r="CS17">
            <v>336</v>
          </cell>
          <cell r="CT17">
            <v>328</v>
          </cell>
          <cell r="CU17">
            <v>344</v>
          </cell>
          <cell r="CV17">
            <v>288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320</v>
          </cell>
          <cell r="DW17">
            <v>328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696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696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328</v>
          </cell>
          <cell r="D19">
            <v>288</v>
          </cell>
          <cell r="E19">
            <v>327</v>
          </cell>
          <cell r="F19">
            <v>304</v>
          </cell>
          <cell r="G19">
            <v>328</v>
          </cell>
          <cell r="H19">
            <v>320</v>
          </cell>
          <cell r="I19">
            <v>328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328</v>
          </cell>
          <cell r="W19">
            <v>320</v>
          </cell>
          <cell r="X19">
            <v>312</v>
          </cell>
          <cell r="Y19">
            <v>337</v>
          </cell>
          <cell r="Z19">
            <v>328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344</v>
          </cell>
          <cell r="AF19">
            <v>304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344</v>
          </cell>
          <cell r="AN19">
            <v>296</v>
          </cell>
          <cell r="AO19">
            <v>311</v>
          </cell>
          <cell r="AP19">
            <v>304</v>
          </cell>
          <cell r="AQ19">
            <v>344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328</v>
          </cell>
          <cell r="AW19">
            <v>321</v>
          </cell>
          <cell r="AX19">
            <v>328</v>
          </cell>
          <cell r="AY19">
            <v>344</v>
          </cell>
          <cell r="AZ19">
            <v>288</v>
          </cell>
          <cell r="BA19">
            <v>311</v>
          </cell>
          <cell r="BB19">
            <v>320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344</v>
          </cell>
          <cell r="BK19">
            <v>328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336</v>
          </cell>
          <cell r="BT19">
            <v>312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327</v>
          </cell>
          <cell r="BZ19">
            <v>304</v>
          </cell>
          <cell r="CA19">
            <v>328</v>
          </cell>
          <cell r="CB19">
            <v>320</v>
          </cell>
          <cell r="CC19">
            <v>328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296</v>
          </cell>
          <cell r="CK19">
            <v>327</v>
          </cell>
          <cell r="CL19">
            <v>304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312</v>
          </cell>
          <cell r="CS19">
            <v>337</v>
          </cell>
          <cell r="CT19">
            <v>328</v>
          </cell>
          <cell r="CU19">
            <v>344</v>
          </cell>
          <cell r="CV19">
            <v>288</v>
          </cell>
          <cell r="CW19">
            <v>311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328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320</v>
          </cell>
          <cell r="DW19">
            <v>328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696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696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Wind"/>
      <sheetName val="Tariff Page Solar Fixed"/>
      <sheetName val="Tariff Page Solar Tracking"/>
      <sheetName val="OFPC Source"/>
      <sheetName val="Compare-Internal 1"/>
      <sheetName val="High Level Brief 1"/>
      <sheetName val="Compare-Internal 2"/>
      <sheetName val="High Level Brief 2"/>
      <sheetName val="Reconsideration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C24">
            <v>2</v>
          </cell>
        </row>
      </sheetData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D4">
            <v>0.85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1">
          <cell r="M1" t="str">
            <v>UT Sch 37 2014 - 2a - L&amp;R  Study _2014 05 04 1403 OFPC Low CO2.xlsm</v>
          </cell>
        </row>
        <row r="7">
          <cell r="D7" t="str">
            <v>Ut Sch 37 - 05a - Base Case _2014 05 04 (L&amp;R)</v>
          </cell>
        </row>
      </sheetData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>
        <row r="8">
          <cell r="A8" t="str">
            <v>REQUIREMENTS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Contract (HLH)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41275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Avoided Costs"/>
      <sheetName val="Delta"/>
      <sheetName val="NPC"/>
      <sheetName val="BASE"/>
      <sheetName val="IRP Wind"/>
      <sheetName val="FuelAllocation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MacroBuilder"/>
      <sheetName val="NPC Version Log"/>
      <sheetName val="E-W Assignments"/>
      <sheetName val="L&amp;R (Monthly) (2)"/>
    </sheetNames>
    <sheetDataSet>
      <sheetData sheetId="0" refreshError="1"/>
      <sheetData sheetId="1" refreshError="1">
        <row r="4"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2014</v>
          </cell>
          <cell r="D7">
            <v>34.711438118053543</v>
          </cell>
          <cell r="E7">
            <v>59.373887232227602</v>
          </cell>
          <cell r="F7">
            <v>37.134353340056634</v>
          </cell>
          <cell r="G7">
            <v>30.658070687217016</v>
          </cell>
          <cell r="H7">
            <v>24.952776795173044</v>
          </cell>
          <cell r="I7">
            <v>21.989065433873069</v>
          </cell>
          <cell r="J7">
            <v>30.301705963456982</v>
          </cell>
          <cell r="K7">
            <v>38.495848631025645</v>
          </cell>
          <cell r="L7">
            <v>29.110631666121382</v>
          </cell>
          <cell r="M7">
            <v>26.93687427577072</v>
          </cell>
          <cell r="N7">
            <v>30.253941082687426</v>
          </cell>
          <cell r="O7">
            <v>27.04105920774802</v>
          </cell>
        </row>
        <row r="8">
          <cell r="B8">
            <v>2015</v>
          </cell>
          <cell r="D8">
            <v>35.937883668721362</v>
          </cell>
          <cell r="E8">
            <v>36.376491595192682</v>
          </cell>
          <cell r="F8">
            <v>42.071071804637313</v>
          </cell>
          <cell r="G8">
            <v>27.060638593234536</v>
          </cell>
          <cell r="H8">
            <v>24.520552599942814</v>
          </cell>
          <cell r="I8">
            <v>26.379491736762638</v>
          </cell>
          <cell r="J8">
            <v>34.359630708380415</v>
          </cell>
          <cell r="K8">
            <v>36.647635305632825</v>
          </cell>
          <cell r="L8">
            <v>31.928413685376032</v>
          </cell>
          <cell r="M8">
            <v>29.167882065529064</v>
          </cell>
          <cell r="N8">
            <v>31.108322738682229</v>
          </cell>
          <cell r="O8">
            <v>36.055655722027666</v>
          </cell>
        </row>
        <row r="9">
          <cell r="B9">
            <v>2016</v>
          </cell>
          <cell r="D9">
            <v>30.525194710116551</v>
          </cell>
          <cell r="E9">
            <v>33.30530407224493</v>
          </cell>
          <cell r="F9">
            <v>34.788745430300153</v>
          </cell>
          <cell r="G9">
            <v>28.246918305655321</v>
          </cell>
          <cell r="H9">
            <v>24.766123282628996</v>
          </cell>
          <cell r="I9">
            <v>24.802551685631688</v>
          </cell>
          <cell r="J9">
            <v>33.189617036567419</v>
          </cell>
          <cell r="K9">
            <v>36.407001183410323</v>
          </cell>
          <cell r="L9">
            <v>30.165837325275771</v>
          </cell>
          <cell r="M9">
            <v>28.88849411786644</v>
          </cell>
          <cell r="N9">
            <v>25.084762839213429</v>
          </cell>
          <cell r="O9">
            <v>32.439755180794542</v>
          </cell>
        </row>
        <row r="10">
          <cell r="B10">
            <v>2017</v>
          </cell>
          <cell r="D10">
            <v>29.882569777392732</v>
          </cell>
          <cell r="E10">
            <v>33.258596479001319</v>
          </cell>
          <cell r="F10">
            <v>34.308454645677436</v>
          </cell>
          <cell r="G10">
            <v>28.052636340771699</v>
          </cell>
          <cell r="H10">
            <v>26.594503860353864</v>
          </cell>
          <cell r="I10">
            <v>26.0829038706277</v>
          </cell>
          <cell r="J10">
            <v>35.113903721842554</v>
          </cell>
          <cell r="K10">
            <v>38.524465829230124</v>
          </cell>
          <cell r="L10">
            <v>33.559973114257055</v>
          </cell>
          <cell r="M10">
            <v>29.730057413968186</v>
          </cell>
          <cell r="N10">
            <v>30.353280094212128</v>
          </cell>
          <cell r="O10">
            <v>31.169594998020798</v>
          </cell>
        </row>
        <row r="11">
          <cell r="B11">
            <v>2018</v>
          </cell>
          <cell r="D11">
            <v>31.075108367773474</v>
          </cell>
          <cell r="E11">
            <v>31.957723527503688</v>
          </cell>
          <cell r="F11">
            <v>35.684698636337153</v>
          </cell>
          <cell r="G11">
            <v>30.918929822413872</v>
          </cell>
          <cell r="H11">
            <v>28.602939104416997</v>
          </cell>
          <cell r="I11">
            <v>28.618490489824779</v>
          </cell>
          <cell r="J11">
            <v>37.91831314160779</v>
          </cell>
          <cell r="K11">
            <v>41.258499352461712</v>
          </cell>
          <cell r="L11">
            <v>33.93204981572098</v>
          </cell>
          <cell r="M11">
            <v>33.515487850287187</v>
          </cell>
          <cell r="N11">
            <v>39.403977721966804</v>
          </cell>
          <cell r="O11">
            <v>32.983157214550403</v>
          </cell>
        </row>
        <row r="12">
          <cell r="B12">
            <v>2019</v>
          </cell>
          <cell r="D12">
            <v>33.113796920313312</v>
          </cell>
          <cell r="E12">
            <v>34.082442851754884</v>
          </cell>
          <cell r="F12">
            <v>36.465733661502597</v>
          </cell>
          <cell r="G12">
            <v>34.515712459418509</v>
          </cell>
          <cell r="H12">
            <v>30.407429856843045</v>
          </cell>
          <cell r="I12">
            <v>30.267854665906892</v>
          </cell>
          <cell r="J12">
            <v>39.906447466562994</v>
          </cell>
          <cell r="K12">
            <v>43.349064695218239</v>
          </cell>
          <cell r="L12">
            <v>36.378748990535321</v>
          </cell>
          <cell r="M12">
            <v>36.576477788865404</v>
          </cell>
          <cell r="N12">
            <v>35.053980247183809</v>
          </cell>
          <cell r="O12">
            <v>35.598310627672141</v>
          </cell>
        </row>
        <row r="13">
          <cell r="B13">
            <v>2020</v>
          </cell>
          <cell r="D13">
            <v>38.524641630005455</v>
          </cell>
          <cell r="E13">
            <v>36.681307086134439</v>
          </cell>
          <cell r="F13">
            <v>38.33954683781792</v>
          </cell>
          <cell r="G13">
            <v>37.693768727373744</v>
          </cell>
          <cell r="H13">
            <v>34.283690399267982</v>
          </cell>
          <cell r="I13">
            <v>36.528284479263753</v>
          </cell>
          <cell r="J13">
            <v>46.118239694104723</v>
          </cell>
          <cell r="K13">
            <v>46.031051282460488</v>
          </cell>
          <cell r="L13">
            <v>40.763812433899275</v>
          </cell>
          <cell r="M13">
            <v>37.622226672379242</v>
          </cell>
          <cell r="N13">
            <v>37.928383280444478</v>
          </cell>
          <cell r="O13">
            <v>36.945107823506156</v>
          </cell>
        </row>
        <row r="14">
          <cell r="B14">
            <v>2021</v>
          </cell>
          <cell r="D14">
            <v>39.807654860375386</v>
          </cell>
          <cell r="E14">
            <v>41.685868149481358</v>
          </cell>
          <cell r="F14">
            <v>40.621667487799158</v>
          </cell>
          <cell r="G14">
            <v>39.455154014937577</v>
          </cell>
          <cell r="H14">
            <v>37.82145221591076</v>
          </cell>
          <cell r="I14">
            <v>39.641154329871966</v>
          </cell>
          <cell r="J14">
            <v>46.653762015616223</v>
          </cell>
          <cell r="K14">
            <v>46.964928623601317</v>
          </cell>
          <cell r="L14">
            <v>43.104193730250827</v>
          </cell>
          <cell r="M14">
            <v>41.569675271128936</v>
          </cell>
          <cell r="N14">
            <v>44.724908349137337</v>
          </cell>
          <cell r="O14">
            <v>44.856009342994099</v>
          </cell>
        </row>
        <row r="15">
          <cell r="B15">
            <v>2022</v>
          </cell>
          <cell r="D15">
            <v>42.750653922637945</v>
          </cell>
          <cell r="E15">
            <v>41.97415858643307</v>
          </cell>
          <cell r="F15">
            <v>42.526046430143296</v>
          </cell>
          <cell r="G15">
            <v>39.140701079716287</v>
          </cell>
          <cell r="H15">
            <v>38.645816120693603</v>
          </cell>
          <cell r="I15">
            <v>41.800467893920008</v>
          </cell>
          <cell r="J15">
            <v>48.277988398339481</v>
          </cell>
          <cell r="K15">
            <v>47.695197923088905</v>
          </cell>
          <cell r="L15">
            <v>43.402221532149447</v>
          </cell>
          <cell r="M15">
            <v>42.209440841686018</v>
          </cell>
          <cell r="N15">
            <v>42.745416880684594</v>
          </cell>
          <cell r="O15">
            <v>44.971186395341988</v>
          </cell>
        </row>
        <row r="16">
          <cell r="B16">
            <v>2023</v>
          </cell>
          <cell r="D16">
            <v>43.887187522477518</v>
          </cell>
          <cell r="E16">
            <v>43.409913552924991</v>
          </cell>
          <cell r="F16">
            <v>43.174649045632414</v>
          </cell>
          <cell r="G16">
            <v>41.310596519286435</v>
          </cell>
          <cell r="H16">
            <v>40.255377018772144</v>
          </cell>
          <cell r="I16">
            <v>42.600930524054498</v>
          </cell>
          <cell r="J16">
            <v>49.688676815023342</v>
          </cell>
          <cell r="K16">
            <v>49.151929403961667</v>
          </cell>
          <cell r="L16">
            <v>43.26958293750468</v>
          </cell>
          <cell r="M16">
            <v>43.775253756720851</v>
          </cell>
          <cell r="N16">
            <v>45.519154481941626</v>
          </cell>
          <cell r="O16">
            <v>47.876191666666216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Avoided Costs"/>
      <sheetName val="Delta"/>
      <sheetName val="NPC"/>
      <sheetName val="BASE"/>
      <sheetName val="IRP Wind"/>
      <sheetName val="FuelAllocation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MacroBuilder"/>
      <sheetName val="E-W Assignments"/>
      <sheetName val="L&amp;R (Monthly) (2)"/>
    </sheetNames>
    <sheetDataSet>
      <sheetData sheetId="0" refreshError="1"/>
      <sheetData sheetId="1" refreshError="1">
        <row r="4"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2024</v>
          </cell>
          <cell r="D7">
            <v>46.349905698926698</v>
          </cell>
          <cell r="E7">
            <v>45.871396860630178</v>
          </cell>
          <cell r="F7">
            <v>45.302427853499687</v>
          </cell>
          <cell r="G7">
            <v>42.866007086113093</v>
          </cell>
          <cell r="H7">
            <v>41.189462236559358</v>
          </cell>
          <cell r="I7">
            <v>44.054159319450456</v>
          </cell>
          <cell r="J7">
            <v>52.07935329301543</v>
          </cell>
          <cell r="K7">
            <v>53.031657612904588</v>
          </cell>
          <cell r="L7">
            <v>45.765764245837929</v>
          </cell>
          <cell r="M7">
            <v>46.330410318553291</v>
          </cell>
          <cell r="N7">
            <v>47.02964870694197</v>
          </cell>
          <cell r="O7">
            <v>48.331040403226851</v>
          </cell>
        </row>
        <row r="8">
          <cell r="B8">
            <v>2025</v>
          </cell>
          <cell r="D8">
            <v>49.676321900535818</v>
          </cell>
          <cell r="E8">
            <v>48.592422946431633</v>
          </cell>
          <cell r="F8">
            <v>46.982895752687448</v>
          </cell>
          <cell r="G8">
            <v>44.072134013892047</v>
          </cell>
          <cell r="H8">
            <v>43.478546629032941</v>
          </cell>
          <cell r="I8">
            <v>46.756004944447845</v>
          </cell>
          <cell r="J8">
            <v>54.972026448917163</v>
          </cell>
          <cell r="K8">
            <v>56.294723002684691</v>
          </cell>
          <cell r="L8">
            <v>49.403988412498599</v>
          </cell>
          <cell r="M8">
            <v>47.84721409409277</v>
          </cell>
          <cell r="N8">
            <v>49.177842659718458</v>
          </cell>
          <cell r="O8">
            <v>50.615206354840467</v>
          </cell>
        </row>
        <row r="9">
          <cell r="B9">
            <v>2026</v>
          </cell>
          <cell r="D9">
            <v>51.370240154573992</v>
          </cell>
          <cell r="E9">
            <v>50.365011380954336</v>
          </cell>
          <cell r="F9">
            <v>48.476385309138607</v>
          </cell>
          <cell r="G9">
            <v>46.802835443048842</v>
          </cell>
          <cell r="H9">
            <v>45.153886819891234</v>
          </cell>
          <cell r="I9">
            <v>49.368580022222467</v>
          </cell>
          <cell r="J9">
            <v>57.530869302421969</v>
          </cell>
          <cell r="K9">
            <v>59.108752966391783</v>
          </cell>
          <cell r="L9">
            <v>52.080368083334633</v>
          </cell>
          <cell r="M9">
            <v>49.618458229836115</v>
          </cell>
          <cell r="N9">
            <v>51.119395020827653</v>
          </cell>
          <cell r="O9">
            <v>53.347759806452899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9"/>
  <sheetViews>
    <sheetView view="pageBreakPreview" zoomScale="60" zoomScaleNormal="100" workbookViewId="0">
      <selection activeCell="B73" sqref="B73"/>
    </sheetView>
  </sheetViews>
  <sheetFormatPr defaultColWidth="10.6640625" defaultRowHeight="12.75" x14ac:dyDescent="0.2"/>
  <cols>
    <col min="1" max="1" width="1.83203125" style="50" customWidth="1"/>
    <col min="2" max="2" width="8.6640625" style="50" customWidth="1"/>
    <col min="3" max="3" width="30.6640625" style="50" customWidth="1"/>
    <col min="4" max="4" width="8.33203125" style="50" hidden="1" customWidth="1"/>
    <col min="5" max="18" width="8.33203125" style="50" customWidth="1"/>
    <col min="19" max="25" width="0" style="50" hidden="1" customWidth="1"/>
    <col min="26" max="26" width="1.83203125" style="50" customWidth="1"/>
    <col min="27" max="16384" width="10.6640625" style="50"/>
  </cols>
  <sheetData>
    <row r="1" spans="2:29" ht="15.75" x14ac:dyDescent="0.25">
      <c r="B1" s="49" t="s">
        <v>75</v>
      </c>
      <c r="C1" s="49"/>
      <c r="D1" s="49"/>
      <c r="E1" s="49"/>
      <c r="F1" s="49"/>
      <c r="G1" s="49"/>
      <c r="H1" s="49"/>
      <c r="I1" s="49"/>
      <c r="J1" s="49"/>
      <c r="K1" s="49"/>
      <c r="L1" s="244"/>
      <c r="M1" s="244"/>
      <c r="N1" s="244"/>
      <c r="O1" s="244"/>
      <c r="P1" s="244"/>
      <c r="Q1" s="244"/>
      <c r="R1" s="244"/>
    </row>
    <row r="2" spans="2:29" ht="15.75" x14ac:dyDescent="0.25">
      <c r="B2" s="219" t="s">
        <v>137</v>
      </c>
      <c r="C2" s="49"/>
      <c r="D2" s="49"/>
      <c r="E2" s="49"/>
      <c r="F2" s="49"/>
      <c r="G2" s="49"/>
      <c r="H2" s="49"/>
      <c r="I2" s="49"/>
      <c r="J2" s="49"/>
      <c r="K2" s="49"/>
      <c r="L2" s="244"/>
      <c r="M2" s="244"/>
      <c r="N2" s="244"/>
      <c r="O2" s="244"/>
      <c r="P2" s="244"/>
      <c r="Q2" s="244"/>
      <c r="R2" s="244"/>
    </row>
    <row r="3" spans="2:29" ht="15.75" x14ac:dyDescent="0.25">
      <c r="B3" s="220" t="s">
        <v>151</v>
      </c>
      <c r="C3" s="49"/>
      <c r="D3" s="49"/>
      <c r="E3" s="49"/>
      <c r="F3" s="49"/>
      <c r="G3" s="49"/>
      <c r="H3" s="49"/>
      <c r="I3" s="49"/>
      <c r="J3" s="49"/>
      <c r="K3" s="49"/>
      <c r="L3" s="244"/>
      <c r="M3" s="244"/>
      <c r="N3" s="244"/>
      <c r="O3" s="244"/>
      <c r="P3" s="244"/>
      <c r="Q3" s="244"/>
      <c r="R3" s="244"/>
    </row>
    <row r="5" spans="2:29" customFormat="1" ht="15.75" customHeight="1" x14ac:dyDescent="0.25">
      <c r="B5" s="269"/>
      <c r="C5" s="270"/>
      <c r="D5" s="271" t="s">
        <v>194</v>
      </c>
      <c r="E5" s="271" t="s">
        <v>194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308"/>
      <c r="T5" s="272"/>
      <c r="U5" s="272"/>
      <c r="V5" s="272"/>
      <c r="W5" s="272"/>
      <c r="X5" s="309" t="s">
        <v>254</v>
      </c>
      <c r="Y5" s="310"/>
      <c r="AC5" s="311"/>
    </row>
    <row r="6" spans="2:29" customFormat="1" ht="15.75" x14ac:dyDescent="0.25">
      <c r="B6" s="273"/>
      <c r="C6" s="274" t="s">
        <v>195</v>
      </c>
      <c r="D6" s="275">
        <v>2013</v>
      </c>
      <c r="E6" s="276">
        <v>2014</v>
      </c>
      <c r="F6" s="276">
        <v>2015</v>
      </c>
      <c r="G6" s="276">
        <v>2016</v>
      </c>
      <c r="H6" s="276">
        <v>2017</v>
      </c>
      <c r="I6" s="276">
        <v>2018</v>
      </c>
      <c r="J6" s="276">
        <v>2019</v>
      </c>
      <c r="K6" s="276">
        <v>2020</v>
      </c>
      <c r="L6" s="276">
        <v>2021</v>
      </c>
      <c r="M6" s="276">
        <v>2022</v>
      </c>
      <c r="N6" s="276">
        <v>2023</v>
      </c>
      <c r="O6" s="276">
        <v>2024</v>
      </c>
      <c r="P6" s="276">
        <v>2025</v>
      </c>
      <c r="Q6" s="276">
        <v>2026</v>
      </c>
      <c r="R6" s="276">
        <v>2027</v>
      </c>
      <c r="S6" s="312">
        <v>2028</v>
      </c>
      <c r="T6" s="276">
        <v>2029</v>
      </c>
      <c r="U6" s="276">
        <v>2030</v>
      </c>
      <c r="V6" s="276">
        <v>2031</v>
      </c>
      <c r="W6" s="276">
        <v>2032</v>
      </c>
      <c r="X6" s="313" t="s">
        <v>255</v>
      </c>
      <c r="Y6" s="313" t="s">
        <v>256</v>
      </c>
    </row>
    <row r="7" spans="2:29" customFormat="1" hidden="1" x14ac:dyDescent="0.2">
      <c r="B7" s="277" t="s">
        <v>196</v>
      </c>
      <c r="C7" s="278" t="s">
        <v>197</v>
      </c>
      <c r="D7" s="279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80"/>
      <c r="T7" s="280"/>
      <c r="U7" s="280"/>
      <c r="V7" s="280"/>
      <c r="W7" s="281"/>
      <c r="X7" s="279"/>
      <c r="Y7" s="281"/>
    </row>
    <row r="8" spans="2:29" customFormat="1" ht="15.75" hidden="1" x14ac:dyDescent="0.25">
      <c r="B8" s="282"/>
      <c r="C8" s="283" t="s">
        <v>198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0</v>
      </c>
      <c r="O8" s="284">
        <v>0</v>
      </c>
      <c r="P8" s="284">
        <v>0</v>
      </c>
      <c r="Q8" s="284">
        <v>0</v>
      </c>
      <c r="R8" s="284">
        <v>0</v>
      </c>
      <c r="S8" s="314">
        <v>0</v>
      </c>
      <c r="T8" s="284">
        <v>0</v>
      </c>
      <c r="U8" s="284">
        <v>0</v>
      </c>
      <c r="V8" s="284">
        <v>-43.36</v>
      </c>
      <c r="W8" s="284">
        <v>0</v>
      </c>
      <c r="X8" s="284">
        <v>0</v>
      </c>
      <c r="Y8" s="284">
        <v>-43.36</v>
      </c>
    </row>
    <row r="9" spans="2:29" customFormat="1" ht="15.75" hidden="1" x14ac:dyDescent="0.25">
      <c r="B9" s="282"/>
      <c r="C9" s="283" t="s">
        <v>199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v>0</v>
      </c>
      <c r="O9" s="284">
        <v>0</v>
      </c>
      <c r="P9" s="284">
        <v>0</v>
      </c>
      <c r="Q9" s="284">
        <v>0</v>
      </c>
      <c r="R9" s="284">
        <v>0</v>
      </c>
      <c r="S9" s="314">
        <v>0</v>
      </c>
      <c r="T9" s="284">
        <v>0</v>
      </c>
      <c r="U9" s="284">
        <v>0</v>
      </c>
      <c r="V9" s="284">
        <v>-30.42</v>
      </c>
      <c r="W9" s="284">
        <v>0</v>
      </c>
      <c r="X9" s="284">
        <v>0</v>
      </c>
      <c r="Y9" s="284">
        <v>-30.42</v>
      </c>
    </row>
    <row r="10" spans="2:29" customFormat="1" ht="15.75" hidden="1" x14ac:dyDescent="0.25">
      <c r="B10" s="282"/>
      <c r="C10" s="283" t="s">
        <v>200</v>
      </c>
      <c r="D10" s="284">
        <v>0</v>
      </c>
      <c r="E10" s="284">
        <v>0</v>
      </c>
      <c r="F10" s="284">
        <v>-67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31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-67</v>
      </c>
      <c r="Y10" s="284">
        <v>-67</v>
      </c>
    </row>
    <row r="11" spans="2:29" customFormat="1" ht="15.75" hidden="1" x14ac:dyDescent="0.25">
      <c r="B11" s="282"/>
      <c r="C11" s="283" t="s">
        <v>201</v>
      </c>
      <c r="D11" s="284">
        <v>0</v>
      </c>
      <c r="E11" s="284">
        <v>0</v>
      </c>
      <c r="F11" s="284">
        <v>-105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31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-105</v>
      </c>
      <c r="Y11" s="284">
        <v>-105</v>
      </c>
    </row>
    <row r="12" spans="2:29" customFormat="1" ht="15.75" hidden="1" x14ac:dyDescent="0.25">
      <c r="B12" s="282"/>
      <c r="C12" s="283" t="s">
        <v>202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-387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31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-387</v>
      </c>
      <c r="Y12" s="284">
        <v>-387</v>
      </c>
    </row>
    <row r="13" spans="2:29" customFormat="1" ht="15.75" hidden="1" x14ac:dyDescent="0.25">
      <c r="B13" s="282"/>
      <c r="C13" s="283" t="s">
        <v>203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314">
        <v>-106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-106</v>
      </c>
    </row>
    <row r="14" spans="2:29" customFormat="1" ht="15.75" hidden="1" x14ac:dyDescent="0.25">
      <c r="B14" s="282"/>
      <c r="C14" s="283" t="s">
        <v>204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  <c r="Q14" s="284">
        <v>0</v>
      </c>
      <c r="R14" s="284">
        <v>0</v>
      </c>
      <c r="S14" s="314">
        <v>-106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-106</v>
      </c>
    </row>
    <row r="15" spans="2:29" customFormat="1" ht="15.75" hidden="1" x14ac:dyDescent="0.25">
      <c r="B15" s="282"/>
      <c r="C15" s="283" t="s">
        <v>205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314">
        <v>-220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-220</v>
      </c>
    </row>
    <row r="16" spans="2:29" customFormat="1" ht="15.75" hidden="1" x14ac:dyDescent="0.25">
      <c r="B16" s="282"/>
      <c r="C16" s="283" t="s">
        <v>206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314">
        <v>-328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-328</v>
      </c>
    </row>
    <row r="17" spans="2:25" customFormat="1" ht="15.75" hidden="1" x14ac:dyDescent="0.25">
      <c r="B17" s="282"/>
      <c r="C17" s="283" t="s">
        <v>207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314">
        <v>0</v>
      </c>
      <c r="T17" s="284">
        <v>0</v>
      </c>
      <c r="U17" s="284">
        <v>-157.52000000000001</v>
      </c>
      <c r="V17" s="284">
        <v>0</v>
      </c>
      <c r="W17" s="284">
        <v>0</v>
      </c>
      <c r="X17" s="284">
        <v>0</v>
      </c>
      <c r="Y17" s="284">
        <v>-157.52000000000001</v>
      </c>
    </row>
    <row r="18" spans="2:25" customFormat="1" ht="15.75" hidden="1" x14ac:dyDescent="0.25">
      <c r="B18" s="282"/>
      <c r="C18" s="283" t="s">
        <v>208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314">
        <v>0</v>
      </c>
      <c r="T18" s="284">
        <v>0</v>
      </c>
      <c r="U18" s="284">
        <v>-205.39</v>
      </c>
      <c r="V18" s="284">
        <v>0</v>
      </c>
      <c r="W18" s="284">
        <v>0</v>
      </c>
      <c r="X18" s="284">
        <v>0</v>
      </c>
      <c r="Y18" s="284">
        <v>-205.39</v>
      </c>
    </row>
    <row r="19" spans="2:25" customFormat="1" ht="15.75" hidden="1" x14ac:dyDescent="0.25">
      <c r="B19" s="282"/>
      <c r="C19" s="283" t="s">
        <v>209</v>
      </c>
      <c r="D19" s="284">
        <v>0</v>
      </c>
      <c r="E19" s="284">
        <v>0</v>
      </c>
      <c r="F19" s="284">
        <v>-330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31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-330</v>
      </c>
      <c r="Y19" s="284">
        <v>-330</v>
      </c>
    </row>
    <row r="20" spans="2:25" customFormat="1" ht="15.75" hidden="1" x14ac:dyDescent="0.25">
      <c r="B20" s="285"/>
      <c r="C20" s="286" t="s">
        <v>210</v>
      </c>
      <c r="D20" s="287">
        <v>0</v>
      </c>
      <c r="E20" s="287">
        <v>0</v>
      </c>
      <c r="F20" s="287">
        <v>0</v>
      </c>
      <c r="G20" s="287">
        <v>0</v>
      </c>
      <c r="H20" s="287">
        <v>0</v>
      </c>
      <c r="I20" s="287">
        <v>387</v>
      </c>
      <c r="J20" s="287">
        <v>0</v>
      </c>
      <c r="K20" s="287">
        <v>0</v>
      </c>
      <c r="L20" s="287">
        <v>0</v>
      </c>
      <c r="M20" s="287">
        <v>0</v>
      </c>
      <c r="N20" s="287">
        <v>0</v>
      </c>
      <c r="O20" s="287">
        <v>0</v>
      </c>
      <c r="P20" s="287">
        <v>0</v>
      </c>
      <c r="Q20" s="287">
        <v>0</v>
      </c>
      <c r="R20" s="287">
        <v>0</v>
      </c>
      <c r="S20" s="315">
        <v>0</v>
      </c>
      <c r="T20" s="287">
        <v>0</v>
      </c>
      <c r="U20" s="287">
        <v>0</v>
      </c>
      <c r="V20" s="287">
        <v>0</v>
      </c>
      <c r="W20" s="287">
        <v>0</v>
      </c>
      <c r="X20" s="284">
        <v>387</v>
      </c>
      <c r="Y20" s="284">
        <v>387</v>
      </c>
    </row>
    <row r="21" spans="2:25" customFormat="1" ht="15.75" hidden="1" x14ac:dyDescent="0.25">
      <c r="B21" s="285"/>
      <c r="C21" s="286" t="s">
        <v>211</v>
      </c>
      <c r="D21" s="287">
        <v>0</v>
      </c>
      <c r="E21" s="287">
        <v>0</v>
      </c>
      <c r="F21" s="287">
        <v>337.9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  <c r="O21" s="287">
        <v>0</v>
      </c>
      <c r="P21" s="287">
        <v>0</v>
      </c>
      <c r="Q21" s="287">
        <v>0</v>
      </c>
      <c r="R21" s="287">
        <v>0</v>
      </c>
      <c r="S21" s="315">
        <v>0</v>
      </c>
      <c r="T21" s="287">
        <v>0</v>
      </c>
      <c r="U21" s="287">
        <v>-337.9</v>
      </c>
      <c r="V21" s="287">
        <v>0</v>
      </c>
      <c r="W21" s="287">
        <v>0</v>
      </c>
      <c r="X21" s="284">
        <v>337.9</v>
      </c>
      <c r="Y21" s="284">
        <v>0</v>
      </c>
    </row>
    <row r="22" spans="2:25" customFormat="1" x14ac:dyDescent="0.2">
      <c r="B22" s="277" t="s">
        <v>196</v>
      </c>
      <c r="C22" s="278" t="s">
        <v>212</v>
      </c>
      <c r="D22" s="279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1"/>
      <c r="S22" s="280"/>
      <c r="T22" s="280"/>
      <c r="U22" s="280"/>
      <c r="V22" s="280"/>
      <c r="W22" s="281"/>
      <c r="X22" s="316"/>
      <c r="Y22" s="317"/>
    </row>
    <row r="23" spans="2:25" customFormat="1" ht="15.75" x14ac:dyDescent="0.25">
      <c r="B23" s="285"/>
      <c r="C23" s="286" t="s">
        <v>213</v>
      </c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  <c r="O23" s="287">
        <v>0</v>
      </c>
      <c r="P23" s="287">
        <v>0</v>
      </c>
      <c r="Q23" s="287">
        <v>0</v>
      </c>
      <c r="R23" s="287">
        <v>0</v>
      </c>
      <c r="S23" s="315">
        <v>0</v>
      </c>
      <c r="T23" s="287">
        <v>0</v>
      </c>
      <c r="U23" s="287">
        <v>661</v>
      </c>
      <c r="V23" s="287">
        <v>0</v>
      </c>
      <c r="W23" s="287">
        <v>0</v>
      </c>
      <c r="X23" s="284">
        <v>0</v>
      </c>
      <c r="Y23" s="284">
        <v>661</v>
      </c>
    </row>
    <row r="24" spans="2:25" customFormat="1" ht="15.75" x14ac:dyDescent="0.25">
      <c r="B24" s="285"/>
      <c r="C24" s="286" t="s">
        <v>214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7">
        <v>0</v>
      </c>
      <c r="M24" s="287">
        <v>0</v>
      </c>
      <c r="N24" s="287">
        <v>0</v>
      </c>
      <c r="O24" s="287">
        <v>0</v>
      </c>
      <c r="P24" s="287">
        <v>0</v>
      </c>
      <c r="Q24" s="287">
        <v>0</v>
      </c>
      <c r="R24" s="287">
        <v>0</v>
      </c>
      <c r="S24" s="315">
        <v>0</v>
      </c>
      <c r="T24" s="287">
        <v>0</v>
      </c>
      <c r="U24" s="287">
        <v>368</v>
      </c>
      <c r="V24" s="287">
        <v>0</v>
      </c>
      <c r="W24" s="287">
        <v>0</v>
      </c>
      <c r="X24" s="284">
        <v>0</v>
      </c>
      <c r="Y24" s="284">
        <v>368</v>
      </c>
    </row>
    <row r="25" spans="2:25" customFormat="1" ht="15.75" x14ac:dyDescent="0.25">
      <c r="B25" s="285"/>
      <c r="C25" s="286" t="s">
        <v>215</v>
      </c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  <c r="O25" s="287">
        <v>0</v>
      </c>
      <c r="P25" s="287">
        <v>0</v>
      </c>
      <c r="Q25" s="287">
        <v>0</v>
      </c>
      <c r="R25" s="288">
        <v>423</v>
      </c>
      <c r="S25" s="315">
        <v>834</v>
      </c>
      <c r="T25" s="287">
        <v>0</v>
      </c>
      <c r="U25" s="287">
        <v>0</v>
      </c>
      <c r="V25" s="287">
        <v>0</v>
      </c>
      <c r="W25" s="287">
        <v>0</v>
      </c>
      <c r="X25" s="284">
        <v>0</v>
      </c>
      <c r="Y25" s="284">
        <v>1257</v>
      </c>
    </row>
    <row r="26" spans="2:25" customFormat="1" ht="15.75" x14ac:dyDescent="0.25">
      <c r="B26" s="285"/>
      <c r="C26" s="286" t="s">
        <v>216</v>
      </c>
      <c r="D26" s="287">
        <v>0</v>
      </c>
      <c r="E26" s="287">
        <v>645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  <c r="M26" s="287">
        <v>0</v>
      </c>
      <c r="N26" s="287">
        <v>0</v>
      </c>
      <c r="O26" s="287">
        <v>0</v>
      </c>
      <c r="P26" s="287">
        <v>0</v>
      </c>
      <c r="Q26" s="287">
        <v>0</v>
      </c>
      <c r="R26" s="287">
        <v>0</v>
      </c>
      <c r="S26" s="315">
        <v>0</v>
      </c>
      <c r="T26" s="287">
        <v>0</v>
      </c>
      <c r="U26" s="287">
        <v>0</v>
      </c>
      <c r="V26" s="287">
        <v>0</v>
      </c>
      <c r="W26" s="287">
        <v>0</v>
      </c>
      <c r="X26" s="284">
        <v>645</v>
      </c>
      <c r="Y26" s="284">
        <v>645</v>
      </c>
    </row>
    <row r="27" spans="2:25" customFormat="1" ht="15.75" hidden="1" x14ac:dyDescent="0.25">
      <c r="B27" s="285"/>
      <c r="C27" s="286" t="s">
        <v>217</v>
      </c>
      <c r="D27" s="289">
        <v>1.8</v>
      </c>
      <c r="E27" s="289">
        <v>0</v>
      </c>
      <c r="F27" s="289">
        <v>0</v>
      </c>
      <c r="G27" s="284">
        <v>0</v>
      </c>
      <c r="H27" s="289">
        <v>0</v>
      </c>
      <c r="I27" s="289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31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1.8</v>
      </c>
      <c r="Y27" s="284">
        <v>1.8</v>
      </c>
    </row>
    <row r="28" spans="2:25" customFormat="1" ht="16.5" hidden="1" thickBot="1" x14ac:dyDescent="0.3">
      <c r="B28" s="285"/>
      <c r="C28" s="290" t="s">
        <v>218</v>
      </c>
      <c r="D28" s="287">
        <v>0</v>
      </c>
      <c r="E28" s="287">
        <v>0</v>
      </c>
      <c r="F28" s="287">
        <v>0</v>
      </c>
      <c r="G28" s="287">
        <v>0</v>
      </c>
      <c r="H28" s="287">
        <v>0</v>
      </c>
      <c r="I28" s="287">
        <v>0</v>
      </c>
      <c r="J28" s="287">
        <v>0</v>
      </c>
      <c r="K28" s="287">
        <v>0</v>
      </c>
      <c r="L28" s="287">
        <v>0</v>
      </c>
      <c r="M28" s="287">
        <v>0</v>
      </c>
      <c r="N28" s="287">
        <v>0</v>
      </c>
      <c r="O28" s="287">
        <v>184</v>
      </c>
      <c r="P28" s="287">
        <v>296</v>
      </c>
      <c r="Q28" s="287">
        <v>0</v>
      </c>
      <c r="R28" s="287">
        <v>0</v>
      </c>
      <c r="S28" s="315">
        <v>0</v>
      </c>
      <c r="T28" s="287">
        <v>0</v>
      </c>
      <c r="U28" s="287">
        <v>0</v>
      </c>
      <c r="V28" s="287">
        <v>0</v>
      </c>
      <c r="W28" s="287">
        <v>0</v>
      </c>
      <c r="X28" s="284">
        <v>0</v>
      </c>
      <c r="Y28" s="284">
        <v>480</v>
      </c>
    </row>
    <row r="29" spans="2:25" customFormat="1" ht="15.75" x14ac:dyDescent="0.25">
      <c r="B29" s="285"/>
      <c r="C29" s="286" t="s">
        <v>219</v>
      </c>
      <c r="D29" s="287">
        <v>0</v>
      </c>
      <c r="E29" s="287">
        <v>0</v>
      </c>
      <c r="F29" s="287">
        <v>0</v>
      </c>
      <c r="G29" s="287">
        <v>0</v>
      </c>
      <c r="H29" s="287">
        <v>0</v>
      </c>
      <c r="I29" s="287">
        <v>0</v>
      </c>
      <c r="J29" s="287">
        <v>0</v>
      </c>
      <c r="K29" s="287">
        <v>0</v>
      </c>
      <c r="L29" s="287">
        <v>0</v>
      </c>
      <c r="M29" s="287">
        <v>0</v>
      </c>
      <c r="N29" s="287">
        <v>0</v>
      </c>
      <c r="O29" s="287">
        <v>184</v>
      </c>
      <c r="P29" s="287">
        <v>296</v>
      </c>
      <c r="Q29" s="287">
        <v>0</v>
      </c>
      <c r="R29" s="287">
        <v>0</v>
      </c>
      <c r="S29" s="315">
        <v>0</v>
      </c>
      <c r="T29" s="287">
        <v>0</v>
      </c>
      <c r="U29" s="287">
        <v>0</v>
      </c>
      <c r="V29" s="287">
        <v>0</v>
      </c>
      <c r="W29" s="287">
        <v>0</v>
      </c>
      <c r="X29" s="284">
        <v>0</v>
      </c>
      <c r="Y29" s="284">
        <v>480</v>
      </c>
    </row>
    <row r="30" spans="2:25" customFormat="1" ht="15.75" x14ac:dyDescent="0.25">
      <c r="B30" s="296"/>
      <c r="C30" s="286" t="s">
        <v>220</v>
      </c>
      <c r="D30" s="292">
        <v>0.16</v>
      </c>
      <c r="E30" s="292">
        <v>0.16</v>
      </c>
      <c r="F30" s="292">
        <v>0.16</v>
      </c>
      <c r="G30" s="292">
        <v>0.16</v>
      </c>
      <c r="H30" s="292">
        <v>0.16</v>
      </c>
      <c r="I30" s="292">
        <v>0.16</v>
      </c>
      <c r="J30" s="292">
        <v>0.16</v>
      </c>
      <c r="K30" s="292">
        <v>0.16</v>
      </c>
      <c r="L30" s="292">
        <v>0.16</v>
      </c>
      <c r="M30" s="292">
        <v>0.16</v>
      </c>
      <c r="N30" s="292">
        <v>0.16</v>
      </c>
      <c r="O30" s="292">
        <v>0.16</v>
      </c>
      <c r="P30" s="292">
        <v>0.16</v>
      </c>
      <c r="Q30" s="292">
        <v>0.16</v>
      </c>
      <c r="R30" s="292">
        <v>0.16</v>
      </c>
      <c r="S30" s="318">
        <v>0.16</v>
      </c>
      <c r="T30" s="292">
        <v>0.16</v>
      </c>
      <c r="U30" s="292">
        <v>0.16</v>
      </c>
      <c r="V30" s="292">
        <v>0.16</v>
      </c>
      <c r="W30" s="292">
        <v>0.16</v>
      </c>
      <c r="X30" s="289">
        <v>1.5999999999999999</v>
      </c>
      <c r="Y30" s="289">
        <v>3.2000000000000006</v>
      </c>
    </row>
    <row r="31" spans="2:25" customFormat="1" ht="15.75" x14ac:dyDescent="0.25">
      <c r="B31" s="296"/>
      <c r="C31" s="286" t="s">
        <v>221</v>
      </c>
      <c r="D31" s="292">
        <v>0.36</v>
      </c>
      <c r="E31" s="292">
        <v>0.36</v>
      </c>
      <c r="F31" s="292">
        <v>0.36</v>
      </c>
      <c r="G31" s="292">
        <v>0.36</v>
      </c>
      <c r="H31" s="292">
        <v>0.36</v>
      </c>
      <c r="I31" s="292">
        <v>0.36</v>
      </c>
      <c r="J31" s="292">
        <v>0.36</v>
      </c>
      <c r="K31" s="292">
        <v>0.36</v>
      </c>
      <c r="L31" s="292">
        <v>0.36</v>
      </c>
      <c r="M31" s="292">
        <v>0.36</v>
      </c>
      <c r="N31" s="292">
        <v>0.36</v>
      </c>
      <c r="O31" s="292">
        <v>0.36</v>
      </c>
      <c r="P31" s="292">
        <v>0.36</v>
      </c>
      <c r="Q31" s="292">
        <v>0.36</v>
      </c>
      <c r="R31" s="292">
        <v>0.36</v>
      </c>
      <c r="S31" s="318">
        <v>0.36</v>
      </c>
      <c r="T31" s="292">
        <v>0.36</v>
      </c>
      <c r="U31" s="292">
        <v>0.36</v>
      </c>
      <c r="V31" s="292">
        <v>0.36</v>
      </c>
      <c r="W31" s="292">
        <v>0.36</v>
      </c>
      <c r="X31" s="289">
        <v>3.5999999999999992</v>
      </c>
      <c r="Y31" s="289">
        <v>7.200000000000002</v>
      </c>
    </row>
    <row r="32" spans="2:25" customFormat="1" ht="16.5" hidden="1" thickBot="1" x14ac:dyDescent="0.3">
      <c r="B32" s="285"/>
      <c r="C32" s="290" t="s">
        <v>222</v>
      </c>
      <c r="D32" s="287">
        <v>0</v>
      </c>
      <c r="E32" s="287">
        <v>0</v>
      </c>
      <c r="F32" s="287">
        <v>0</v>
      </c>
      <c r="G32" s="287">
        <v>0</v>
      </c>
      <c r="H32" s="287">
        <v>0</v>
      </c>
      <c r="I32" s="287">
        <v>0</v>
      </c>
      <c r="J32" s="287">
        <v>0</v>
      </c>
      <c r="K32" s="287">
        <v>0</v>
      </c>
      <c r="L32" s="287">
        <v>0</v>
      </c>
      <c r="M32" s="287">
        <v>0</v>
      </c>
      <c r="N32" s="287">
        <v>0</v>
      </c>
      <c r="O32" s="287">
        <v>0</v>
      </c>
      <c r="P32" s="287">
        <v>1.02</v>
      </c>
      <c r="Q32" s="287">
        <v>0</v>
      </c>
      <c r="R32" s="287">
        <v>0</v>
      </c>
      <c r="S32" s="315">
        <v>0</v>
      </c>
      <c r="T32" s="287">
        <v>0</v>
      </c>
      <c r="U32" s="287">
        <v>0</v>
      </c>
      <c r="V32" s="287">
        <v>0</v>
      </c>
      <c r="W32" s="287">
        <v>0</v>
      </c>
      <c r="X32" s="284">
        <v>0</v>
      </c>
      <c r="Y32" s="284">
        <v>1.02</v>
      </c>
    </row>
    <row r="33" spans="2:25" customFormat="1" ht="16.5" hidden="1" thickBot="1" x14ac:dyDescent="0.3">
      <c r="B33" s="285"/>
      <c r="C33" s="290" t="s">
        <v>223</v>
      </c>
      <c r="D33" s="287">
        <v>0</v>
      </c>
      <c r="E33" s="287">
        <v>0</v>
      </c>
      <c r="F33" s="287">
        <v>0</v>
      </c>
      <c r="G33" s="287">
        <v>0</v>
      </c>
      <c r="H33" s="287">
        <v>0</v>
      </c>
      <c r="I33" s="287">
        <v>0</v>
      </c>
      <c r="J33" s="287">
        <v>0</v>
      </c>
      <c r="K33" s="287">
        <v>0</v>
      </c>
      <c r="L33" s="287">
        <v>0</v>
      </c>
      <c r="M33" s="287">
        <v>0</v>
      </c>
      <c r="N33" s="287">
        <v>0</v>
      </c>
      <c r="O33" s="287">
        <v>0</v>
      </c>
      <c r="P33" s="287">
        <v>0</v>
      </c>
      <c r="Q33" s="287">
        <v>73.66</v>
      </c>
      <c r="R33" s="287">
        <v>0</v>
      </c>
      <c r="S33" s="315">
        <v>0</v>
      </c>
      <c r="T33" s="287">
        <v>0</v>
      </c>
      <c r="U33" s="287">
        <v>0</v>
      </c>
      <c r="V33" s="287">
        <v>0</v>
      </c>
      <c r="W33" s="287">
        <v>0</v>
      </c>
      <c r="X33" s="284">
        <v>0</v>
      </c>
      <c r="Y33" s="284">
        <v>73.66</v>
      </c>
    </row>
    <row r="34" spans="2:25" customFormat="1" ht="16.5" hidden="1" thickBot="1" x14ac:dyDescent="0.3">
      <c r="B34" s="285"/>
      <c r="C34" s="290" t="s">
        <v>224</v>
      </c>
      <c r="D34" s="287">
        <v>0</v>
      </c>
      <c r="E34" s="287">
        <v>0</v>
      </c>
      <c r="F34" s="287">
        <v>0</v>
      </c>
      <c r="G34" s="287">
        <v>0</v>
      </c>
      <c r="H34" s="287">
        <v>0</v>
      </c>
      <c r="I34" s="287">
        <v>0</v>
      </c>
      <c r="J34" s="287">
        <v>0</v>
      </c>
      <c r="K34" s="287">
        <v>0</v>
      </c>
      <c r="L34" s="287">
        <v>0</v>
      </c>
      <c r="M34" s="287">
        <v>0</v>
      </c>
      <c r="N34" s="287">
        <v>0</v>
      </c>
      <c r="O34" s="292">
        <v>0</v>
      </c>
      <c r="P34" s="287">
        <v>0.18</v>
      </c>
      <c r="Q34" s="287">
        <v>0</v>
      </c>
      <c r="R34" s="287">
        <v>0</v>
      </c>
      <c r="S34" s="315">
        <v>0</v>
      </c>
      <c r="T34" s="287">
        <v>0</v>
      </c>
      <c r="U34" s="287">
        <v>0</v>
      </c>
      <c r="V34" s="287">
        <v>0</v>
      </c>
      <c r="W34" s="287">
        <v>0</v>
      </c>
      <c r="X34" s="284">
        <v>0</v>
      </c>
      <c r="Y34" s="284">
        <v>0.18</v>
      </c>
    </row>
    <row r="35" spans="2:25" customFormat="1" ht="16.5" hidden="1" thickBot="1" x14ac:dyDescent="0.3">
      <c r="B35" s="285"/>
      <c r="C35" s="290" t="s">
        <v>225</v>
      </c>
      <c r="D35" s="287">
        <v>0</v>
      </c>
      <c r="E35" s="287">
        <v>0</v>
      </c>
      <c r="F35" s="287">
        <v>0</v>
      </c>
      <c r="G35" s="287">
        <v>0</v>
      </c>
      <c r="H35" s="287">
        <v>0</v>
      </c>
      <c r="I35" s="287">
        <v>0</v>
      </c>
      <c r="J35" s="287">
        <v>0</v>
      </c>
      <c r="K35" s="287">
        <v>0</v>
      </c>
      <c r="L35" s="287">
        <v>0</v>
      </c>
      <c r="M35" s="287">
        <v>0</v>
      </c>
      <c r="N35" s="287">
        <v>0</v>
      </c>
      <c r="O35" s="292">
        <v>0</v>
      </c>
      <c r="P35" s="292">
        <v>0.18</v>
      </c>
      <c r="Q35" s="287">
        <v>0</v>
      </c>
      <c r="R35" s="287">
        <v>0</v>
      </c>
      <c r="S35" s="315">
        <v>0</v>
      </c>
      <c r="T35" s="287">
        <v>0</v>
      </c>
      <c r="U35" s="287">
        <v>0</v>
      </c>
      <c r="V35" s="287">
        <v>0</v>
      </c>
      <c r="W35" s="287">
        <v>0</v>
      </c>
      <c r="X35" s="284">
        <v>0</v>
      </c>
      <c r="Y35" s="284">
        <v>0.18</v>
      </c>
    </row>
    <row r="36" spans="2:25" customFormat="1" ht="15.75" x14ac:dyDescent="0.25">
      <c r="B36" s="285"/>
      <c r="C36" s="286" t="s">
        <v>226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0</v>
      </c>
      <c r="M36" s="287">
        <v>0</v>
      </c>
      <c r="N36" s="287">
        <v>0</v>
      </c>
      <c r="O36" s="287">
        <v>0</v>
      </c>
      <c r="P36" s="287">
        <v>1.38</v>
      </c>
      <c r="Q36" s="287">
        <v>73.66</v>
      </c>
      <c r="R36" s="287">
        <v>0</v>
      </c>
      <c r="S36" s="315">
        <v>0</v>
      </c>
      <c r="T36" s="287">
        <v>0</v>
      </c>
      <c r="U36" s="287">
        <v>0</v>
      </c>
      <c r="V36" s="287">
        <v>0</v>
      </c>
      <c r="W36" s="287">
        <v>0</v>
      </c>
      <c r="X36" s="284">
        <v>0</v>
      </c>
      <c r="Y36" s="284">
        <v>75.039999999999992</v>
      </c>
    </row>
    <row r="37" spans="2:25" customFormat="1" ht="16.5" hidden="1" thickBot="1" x14ac:dyDescent="0.3">
      <c r="B37" s="285"/>
      <c r="C37" s="290" t="s">
        <v>227</v>
      </c>
      <c r="D37" s="287">
        <v>2.5300000000000002</v>
      </c>
      <c r="E37" s="287">
        <v>2.6100000000000003</v>
      </c>
      <c r="F37" s="287">
        <v>2.6900000000000004</v>
      </c>
      <c r="G37" s="287">
        <v>2.81</v>
      </c>
      <c r="H37" s="287">
        <v>2.83</v>
      </c>
      <c r="I37" s="287">
        <v>2.66</v>
      </c>
      <c r="J37" s="287">
        <v>2.67</v>
      </c>
      <c r="K37" s="287">
        <v>2.56</v>
      </c>
      <c r="L37" s="287">
        <v>2.6700000000000004</v>
      </c>
      <c r="M37" s="287">
        <v>3.59</v>
      </c>
      <c r="N37" s="287">
        <v>2.61</v>
      </c>
      <c r="O37" s="287">
        <v>2.64</v>
      </c>
      <c r="P37" s="287">
        <v>2.65</v>
      </c>
      <c r="Q37" s="287">
        <v>3.0400000000000005</v>
      </c>
      <c r="R37" s="287">
        <v>2.2799999999999998</v>
      </c>
      <c r="S37" s="315">
        <v>2.02</v>
      </c>
      <c r="T37" s="287">
        <v>2.0300000000000002</v>
      </c>
      <c r="U37" s="287">
        <v>1.8700000000000003</v>
      </c>
      <c r="V37" s="287">
        <v>1.93</v>
      </c>
      <c r="W37" s="287">
        <v>2.73</v>
      </c>
      <c r="X37" s="287">
        <v>27.620000000000005</v>
      </c>
      <c r="Y37" s="287">
        <v>51.42</v>
      </c>
    </row>
    <row r="38" spans="2:25" customFormat="1" ht="16.5" hidden="1" thickBot="1" x14ac:dyDescent="0.3">
      <c r="B38" s="285"/>
      <c r="C38" s="290" t="s">
        <v>228</v>
      </c>
      <c r="D38" s="287">
        <v>62.519999999999996</v>
      </c>
      <c r="E38" s="287">
        <v>55.349999999999994</v>
      </c>
      <c r="F38" s="287">
        <v>50.34</v>
      </c>
      <c r="G38" s="287">
        <v>47.86</v>
      </c>
      <c r="H38" s="287">
        <v>48.81</v>
      </c>
      <c r="I38" s="287">
        <v>46.67</v>
      </c>
      <c r="J38" s="287">
        <v>43.93</v>
      </c>
      <c r="K38" s="287">
        <v>39.39</v>
      </c>
      <c r="L38" s="287">
        <v>40.200000000000003</v>
      </c>
      <c r="M38" s="287">
        <v>39.089999999999996</v>
      </c>
      <c r="N38" s="287">
        <v>30.419999999999995</v>
      </c>
      <c r="O38" s="287">
        <v>32.89</v>
      </c>
      <c r="P38" s="287">
        <v>29.52</v>
      </c>
      <c r="Q38" s="287">
        <v>27.94</v>
      </c>
      <c r="R38" s="287">
        <v>26.17</v>
      </c>
      <c r="S38" s="315">
        <v>24.67</v>
      </c>
      <c r="T38" s="287">
        <v>23.15</v>
      </c>
      <c r="U38" s="287">
        <v>21.61</v>
      </c>
      <c r="V38" s="287">
        <v>20.86</v>
      </c>
      <c r="W38" s="287">
        <v>20.079999999999998</v>
      </c>
      <c r="X38" s="287">
        <v>474.15999999999997</v>
      </c>
      <c r="Y38" s="287">
        <v>731.47</v>
      </c>
    </row>
    <row r="39" spans="2:25" customFormat="1" ht="16.5" hidden="1" thickBot="1" x14ac:dyDescent="0.3">
      <c r="B39" s="285"/>
      <c r="C39" s="290" t="s">
        <v>229</v>
      </c>
      <c r="D39" s="287">
        <v>3.4299999999999997</v>
      </c>
      <c r="E39" s="287">
        <v>3.8599999999999994</v>
      </c>
      <c r="F39" s="287">
        <v>4.54</v>
      </c>
      <c r="G39" s="287">
        <v>5.0599999999999996</v>
      </c>
      <c r="H39" s="287">
        <v>5.5</v>
      </c>
      <c r="I39" s="287">
        <v>5.9499999999999993</v>
      </c>
      <c r="J39" s="287">
        <v>6.16</v>
      </c>
      <c r="K39" s="287">
        <v>6.21</v>
      </c>
      <c r="L39" s="287">
        <v>6.65</v>
      </c>
      <c r="M39" s="287">
        <v>7.0399999999999991</v>
      </c>
      <c r="N39" s="287">
        <v>6.1999999999999993</v>
      </c>
      <c r="O39" s="287">
        <v>6.47</v>
      </c>
      <c r="P39" s="287">
        <v>6.3299999999999992</v>
      </c>
      <c r="Q39" s="287">
        <v>6.41</v>
      </c>
      <c r="R39" s="287">
        <v>6.68</v>
      </c>
      <c r="S39" s="315">
        <v>6.51</v>
      </c>
      <c r="T39" s="287">
        <v>6.68</v>
      </c>
      <c r="U39" s="287">
        <v>6.83</v>
      </c>
      <c r="V39" s="287">
        <v>6.98</v>
      </c>
      <c r="W39" s="287">
        <v>7.379999999999999</v>
      </c>
      <c r="X39" s="319">
        <v>54.4</v>
      </c>
      <c r="Y39" s="319">
        <v>120.86999999999998</v>
      </c>
    </row>
    <row r="40" spans="2:25" customFormat="1" ht="15.75" x14ac:dyDescent="0.25">
      <c r="B40" s="285"/>
      <c r="C40" s="286" t="s">
        <v>230</v>
      </c>
      <c r="D40" s="287">
        <v>68.47999999999999</v>
      </c>
      <c r="E40" s="287">
        <v>61.819999999999993</v>
      </c>
      <c r="F40" s="287">
        <v>57.57</v>
      </c>
      <c r="G40" s="287">
        <v>55.730000000000004</v>
      </c>
      <c r="H40" s="287">
        <v>57.14</v>
      </c>
      <c r="I40" s="287">
        <v>55.28</v>
      </c>
      <c r="J40" s="287">
        <v>52.760000000000005</v>
      </c>
      <c r="K40" s="287">
        <v>48.160000000000004</v>
      </c>
      <c r="L40" s="287">
        <v>49.52</v>
      </c>
      <c r="M40" s="287">
        <v>49.719999999999992</v>
      </c>
      <c r="N40" s="287">
        <v>39.22999999999999</v>
      </c>
      <c r="O40" s="287">
        <v>42</v>
      </c>
      <c r="P40" s="287">
        <v>38.5</v>
      </c>
      <c r="Q40" s="287">
        <v>37.39</v>
      </c>
      <c r="R40" s="287">
        <v>35.130000000000003</v>
      </c>
      <c r="S40" s="315">
        <v>33.200000000000003</v>
      </c>
      <c r="T40" s="287">
        <v>31.86</v>
      </c>
      <c r="U40" s="287">
        <v>30.310000000000002</v>
      </c>
      <c r="V40" s="287">
        <v>29.77</v>
      </c>
      <c r="W40" s="287">
        <v>30.189999999999998</v>
      </c>
      <c r="X40" s="284">
        <v>556.17999999999995</v>
      </c>
      <c r="Y40" s="284">
        <v>903.76</v>
      </c>
    </row>
    <row r="41" spans="2:25" customFormat="1" ht="15.75" x14ac:dyDescent="0.25">
      <c r="B41" s="285"/>
      <c r="C41" s="286" t="s">
        <v>231</v>
      </c>
      <c r="D41" s="287">
        <v>7.109</v>
      </c>
      <c r="E41" s="287">
        <v>10.965</v>
      </c>
      <c r="F41" s="287">
        <v>14.19</v>
      </c>
      <c r="G41" s="287">
        <v>16.405000000000001</v>
      </c>
      <c r="H41" s="287">
        <v>16.952000000000002</v>
      </c>
      <c r="I41" s="287">
        <v>13.114000000000001</v>
      </c>
      <c r="J41" s="287">
        <v>13.114000000000001</v>
      </c>
      <c r="K41" s="287">
        <v>13.114000000000001</v>
      </c>
      <c r="L41" s="287">
        <v>13.114000000000001</v>
      </c>
      <c r="M41" s="287">
        <v>13.114000000000001</v>
      </c>
      <c r="N41" s="287">
        <v>13.114000000000001</v>
      </c>
      <c r="O41" s="287">
        <v>13.114000000000001</v>
      </c>
      <c r="P41" s="287">
        <v>13.114000000000001</v>
      </c>
      <c r="Q41" s="287">
        <v>13.114000000000001</v>
      </c>
      <c r="R41" s="287">
        <v>13.114000000000001</v>
      </c>
      <c r="S41" s="315">
        <v>13.114000000000001</v>
      </c>
      <c r="T41" s="287">
        <v>13.114000000000001</v>
      </c>
      <c r="U41" s="287">
        <v>13.114000000000001</v>
      </c>
      <c r="V41" s="287">
        <v>13.114000000000001</v>
      </c>
      <c r="W41" s="287">
        <v>13.114000000000001</v>
      </c>
      <c r="X41" s="284">
        <v>131.191</v>
      </c>
      <c r="Y41" s="284">
        <v>262.33100000000002</v>
      </c>
    </row>
    <row r="42" spans="2:25" customFormat="1" ht="15.75" x14ac:dyDescent="0.25">
      <c r="B42" s="285"/>
      <c r="C42" s="286" t="s">
        <v>232</v>
      </c>
      <c r="D42" s="287">
        <v>0</v>
      </c>
      <c r="E42" s="287">
        <v>0</v>
      </c>
      <c r="F42" s="287">
        <v>0</v>
      </c>
      <c r="G42" s="287">
        <v>0</v>
      </c>
      <c r="H42" s="287">
        <v>0</v>
      </c>
      <c r="I42" s="287">
        <v>0</v>
      </c>
      <c r="J42" s="287">
        <v>0.49199999999999999</v>
      </c>
      <c r="K42" s="287">
        <v>1.7350000000000001</v>
      </c>
      <c r="L42" s="287">
        <v>2.3660000000000001</v>
      </c>
      <c r="M42" s="287">
        <v>2.3660000000000001</v>
      </c>
      <c r="N42" s="287">
        <v>2.3660000000000001</v>
      </c>
      <c r="O42" s="287">
        <v>2.3660000000000001</v>
      </c>
      <c r="P42" s="287">
        <v>2.3660000000000001</v>
      </c>
      <c r="Q42" s="287">
        <v>2.3660000000000001</v>
      </c>
      <c r="R42" s="287">
        <v>2.3660000000000001</v>
      </c>
      <c r="S42" s="315">
        <v>2.3660000000000001</v>
      </c>
      <c r="T42" s="287">
        <v>2.3660000000000001</v>
      </c>
      <c r="U42" s="287">
        <v>2.3660000000000001</v>
      </c>
      <c r="V42" s="287">
        <v>2.3660000000000001</v>
      </c>
      <c r="W42" s="287">
        <v>2.3660000000000001</v>
      </c>
      <c r="X42" s="284">
        <v>6.9589999999999996</v>
      </c>
      <c r="Y42" s="284">
        <v>30.618999999999996</v>
      </c>
    </row>
    <row r="43" spans="2:25" customFormat="1" ht="15.75" x14ac:dyDescent="0.25">
      <c r="B43" s="285"/>
      <c r="C43" s="291" t="s">
        <v>233</v>
      </c>
      <c r="D43" s="287">
        <v>0</v>
      </c>
      <c r="E43" s="287">
        <v>0</v>
      </c>
      <c r="F43" s="287">
        <v>0</v>
      </c>
      <c r="G43" s="287">
        <v>0</v>
      </c>
      <c r="H43" s="287">
        <v>0</v>
      </c>
      <c r="I43" s="287">
        <v>56</v>
      </c>
      <c r="J43" s="287">
        <v>152</v>
      </c>
      <c r="K43" s="287">
        <v>89</v>
      </c>
      <c r="L43" s="287">
        <v>0</v>
      </c>
      <c r="M43" s="287">
        <v>0</v>
      </c>
      <c r="N43" s="287">
        <v>38</v>
      </c>
      <c r="O43" s="287">
        <v>130</v>
      </c>
      <c r="P43" s="287">
        <v>300</v>
      </c>
      <c r="Q43" s="287">
        <v>300</v>
      </c>
      <c r="R43" s="287">
        <v>105</v>
      </c>
      <c r="S43" s="315">
        <v>194</v>
      </c>
      <c r="T43" s="287">
        <v>300</v>
      </c>
      <c r="U43" s="287">
        <v>129</v>
      </c>
      <c r="V43" s="287">
        <v>167</v>
      </c>
      <c r="W43" s="287">
        <v>300</v>
      </c>
      <c r="X43" s="320">
        <v>29.7</v>
      </c>
      <c r="Y43" s="284">
        <v>113</v>
      </c>
    </row>
    <row r="44" spans="2:25" customFormat="1" x14ac:dyDescent="0.2">
      <c r="B44" s="277" t="s">
        <v>234</v>
      </c>
      <c r="C44" s="278" t="s">
        <v>212</v>
      </c>
      <c r="D44" s="279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1"/>
      <c r="S44" s="280"/>
      <c r="T44" s="280"/>
      <c r="U44" s="280"/>
      <c r="V44" s="280"/>
      <c r="W44" s="281"/>
      <c r="X44" s="279"/>
      <c r="Y44" s="317"/>
    </row>
    <row r="45" spans="2:25" customFormat="1" ht="15.75" x14ac:dyDescent="0.25">
      <c r="B45" s="294"/>
      <c r="C45" s="295" t="s">
        <v>214</v>
      </c>
      <c r="D45" s="287">
        <v>0</v>
      </c>
      <c r="E45" s="287">
        <v>0</v>
      </c>
      <c r="F45" s="287">
        <v>0</v>
      </c>
      <c r="G45" s="287">
        <v>0</v>
      </c>
      <c r="H45" s="287">
        <v>0</v>
      </c>
      <c r="I45" s="287">
        <v>0</v>
      </c>
      <c r="J45" s="287">
        <v>0</v>
      </c>
      <c r="K45" s="287">
        <v>0</v>
      </c>
      <c r="L45" s="287">
        <v>0</v>
      </c>
      <c r="M45" s="287">
        <v>0</v>
      </c>
      <c r="N45" s="287">
        <v>0</v>
      </c>
      <c r="O45" s="287">
        <v>0</v>
      </c>
      <c r="P45" s="287">
        <v>0</v>
      </c>
      <c r="Q45" s="287">
        <v>0</v>
      </c>
      <c r="R45" s="287">
        <v>0</v>
      </c>
      <c r="S45" s="315">
        <v>0</v>
      </c>
      <c r="T45" s="287">
        <v>0</v>
      </c>
      <c r="U45" s="287">
        <v>0</v>
      </c>
      <c r="V45" s="287">
        <v>420</v>
      </c>
      <c r="W45" s="287">
        <v>0</v>
      </c>
      <c r="X45" s="284">
        <v>0</v>
      </c>
      <c r="Y45" s="284">
        <v>420</v>
      </c>
    </row>
    <row r="46" spans="2:25" customFormat="1" ht="15.75" hidden="1" x14ac:dyDescent="0.25">
      <c r="B46" s="285"/>
      <c r="C46" s="295" t="s">
        <v>217</v>
      </c>
      <c r="D46" s="287">
        <v>12</v>
      </c>
      <c r="E46" s="287">
        <v>0</v>
      </c>
      <c r="F46" s="292">
        <v>0</v>
      </c>
      <c r="G46" s="287">
        <v>0</v>
      </c>
      <c r="H46" s="287">
        <v>0</v>
      </c>
      <c r="I46" s="287">
        <v>0</v>
      </c>
      <c r="J46" s="292">
        <v>0</v>
      </c>
      <c r="K46" s="292">
        <v>0</v>
      </c>
      <c r="L46" s="287">
        <v>0</v>
      </c>
      <c r="M46" s="287">
        <v>0</v>
      </c>
      <c r="N46" s="287">
        <v>0</v>
      </c>
      <c r="O46" s="284">
        <v>0</v>
      </c>
      <c r="P46" s="284">
        <v>0</v>
      </c>
      <c r="Q46" s="284">
        <v>0</v>
      </c>
      <c r="R46" s="284">
        <v>0</v>
      </c>
      <c r="S46" s="314">
        <v>0</v>
      </c>
      <c r="T46" s="284">
        <v>0</v>
      </c>
      <c r="U46" s="284">
        <v>0</v>
      </c>
      <c r="V46" s="284">
        <v>0</v>
      </c>
      <c r="W46" s="284">
        <v>0</v>
      </c>
      <c r="X46" s="284">
        <v>12</v>
      </c>
      <c r="Y46" s="284">
        <v>12</v>
      </c>
    </row>
    <row r="47" spans="2:25" customFormat="1" ht="15.75" x14ac:dyDescent="0.25">
      <c r="B47" s="296"/>
      <c r="C47" s="286" t="s">
        <v>220</v>
      </c>
      <c r="D47" s="292">
        <v>0.55000000000000004</v>
      </c>
      <c r="E47" s="292">
        <v>0.55000000000000004</v>
      </c>
      <c r="F47" s="292">
        <v>0.55000000000000004</v>
      </c>
      <c r="G47" s="292">
        <v>0.55000000000000004</v>
      </c>
      <c r="H47" s="292">
        <v>0.55000000000000004</v>
      </c>
      <c r="I47" s="292">
        <v>0.55000000000000004</v>
      </c>
      <c r="J47" s="292">
        <v>0.55000000000000004</v>
      </c>
      <c r="K47" s="292">
        <v>0.55000000000000004</v>
      </c>
      <c r="L47" s="292">
        <v>0.55000000000000004</v>
      </c>
      <c r="M47" s="292">
        <v>0.55000000000000004</v>
      </c>
      <c r="N47" s="292">
        <v>0.55000000000000004</v>
      </c>
      <c r="O47" s="292">
        <v>0.55000000000000004</v>
      </c>
      <c r="P47" s="292">
        <v>0.55000000000000004</v>
      </c>
      <c r="Q47" s="292">
        <v>0.55000000000000004</v>
      </c>
      <c r="R47" s="292">
        <v>0.55000000000000004</v>
      </c>
      <c r="S47" s="318">
        <v>0.55000000000000004</v>
      </c>
      <c r="T47" s="292">
        <v>0.55000000000000004</v>
      </c>
      <c r="U47" s="292">
        <v>0.55000000000000004</v>
      </c>
      <c r="V47" s="292">
        <v>0.55000000000000004</v>
      </c>
      <c r="W47" s="292">
        <v>0.55000000000000004</v>
      </c>
      <c r="X47" s="289">
        <v>5.4999999999999991</v>
      </c>
      <c r="Y47" s="289">
        <v>11.000000000000002</v>
      </c>
    </row>
    <row r="48" spans="2:25" customFormat="1" ht="16.5" hidden="1" thickBot="1" x14ac:dyDescent="0.3">
      <c r="B48" s="285"/>
      <c r="C48" s="290" t="s">
        <v>235</v>
      </c>
      <c r="D48" s="287">
        <v>0</v>
      </c>
      <c r="E48" s="287">
        <v>0</v>
      </c>
      <c r="F48" s="287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287">
        <v>0</v>
      </c>
      <c r="O48" s="287">
        <v>0</v>
      </c>
      <c r="P48" s="287">
        <v>0</v>
      </c>
      <c r="Q48" s="287">
        <v>43.769999999999996</v>
      </c>
      <c r="R48" s="287">
        <v>0</v>
      </c>
      <c r="S48" s="315">
        <v>0</v>
      </c>
      <c r="T48" s="287">
        <v>0</v>
      </c>
      <c r="U48" s="287">
        <v>0</v>
      </c>
      <c r="V48" s="287">
        <v>0</v>
      </c>
      <c r="W48" s="287">
        <v>0</v>
      </c>
      <c r="X48" s="284">
        <v>0</v>
      </c>
      <c r="Y48" s="284">
        <v>43.769999999999996</v>
      </c>
    </row>
    <row r="49" spans="2:25" customFormat="1" ht="16.5" hidden="1" thickBot="1" x14ac:dyDescent="0.3">
      <c r="B49" s="285"/>
      <c r="C49" s="290" t="s">
        <v>236</v>
      </c>
      <c r="D49" s="287">
        <v>0</v>
      </c>
      <c r="E49" s="287">
        <v>0</v>
      </c>
      <c r="F49" s="287">
        <v>0</v>
      </c>
      <c r="G49" s="287">
        <v>0</v>
      </c>
      <c r="H49" s="287">
        <v>0</v>
      </c>
      <c r="I49" s="287">
        <v>0</v>
      </c>
      <c r="J49" s="287">
        <v>0</v>
      </c>
      <c r="K49" s="287">
        <v>0</v>
      </c>
      <c r="L49" s="287">
        <v>0</v>
      </c>
      <c r="M49" s="287">
        <v>0</v>
      </c>
      <c r="N49" s="287">
        <v>0</v>
      </c>
      <c r="O49" s="287">
        <v>0</v>
      </c>
      <c r="P49" s="287">
        <v>2.78</v>
      </c>
      <c r="Q49" s="287">
        <v>0</v>
      </c>
      <c r="R49" s="287">
        <v>0</v>
      </c>
      <c r="S49" s="315">
        <v>0</v>
      </c>
      <c r="T49" s="287">
        <v>0</v>
      </c>
      <c r="U49" s="287">
        <v>0</v>
      </c>
      <c r="V49" s="287">
        <v>0</v>
      </c>
      <c r="W49" s="287">
        <v>0</v>
      </c>
      <c r="X49" s="284">
        <v>0</v>
      </c>
      <c r="Y49" s="284">
        <v>2.78</v>
      </c>
    </row>
    <row r="50" spans="2:25" customFormat="1" ht="16.5" hidden="1" thickBot="1" x14ac:dyDescent="0.3">
      <c r="B50" s="285"/>
      <c r="C50" s="290" t="s">
        <v>237</v>
      </c>
      <c r="D50" s="287">
        <v>0</v>
      </c>
      <c r="E50" s="287">
        <v>0</v>
      </c>
      <c r="F50" s="287">
        <v>0</v>
      </c>
      <c r="G50" s="287">
        <v>0</v>
      </c>
      <c r="H50" s="287">
        <v>0</v>
      </c>
      <c r="I50" s="287">
        <v>0</v>
      </c>
      <c r="J50" s="287">
        <v>0</v>
      </c>
      <c r="K50" s="287">
        <v>0</v>
      </c>
      <c r="L50" s="287">
        <v>0</v>
      </c>
      <c r="M50" s="287">
        <v>0</v>
      </c>
      <c r="N50" s="287">
        <v>0</v>
      </c>
      <c r="O50" s="287">
        <v>0</v>
      </c>
      <c r="P50" s="287">
        <v>0</v>
      </c>
      <c r="Q50" s="287">
        <v>4.46</v>
      </c>
      <c r="R50" s="287">
        <v>0</v>
      </c>
      <c r="S50" s="315">
        <v>0</v>
      </c>
      <c r="T50" s="287">
        <v>0</v>
      </c>
      <c r="U50" s="287">
        <v>0</v>
      </c>
      <c r="V50" s="287">
        <v>0</v>
      </c>
      <c r="W50" s="287">
        <v>0</v>
      </c>
      <c r="X50" s="284">
        <v>0</v>
      </c>
      <c r="Y50" s="284">
        <v>4.46</v>
      </c>
    </row>
    <row r="51" spans="2:25" customFormat="1" ht="16.5" hidden="1" thickBot="1" x14ac:dyDescent="0.3">
      <c r="B51" s="285"/>
      <c r="C51" s="290" t="s">
        <v>238</v>
      </c>
      <c r="D51" s="287">
        <v>0</v>
      </c>
      <c r="E51" s="287">
        <v>0</v>
      </c>
      <c r="F51" s="287">
        <v>0</v>
      </c>
      <c r="G51" s="287">
        <v>0</v>
      </c>
      <c r="H51" s="287">
        <v>0</v>
      </c>
      <c r="I51" s="287">
        <v>0</v>
      </c>
      <c r="J51" s="287">
        <v>0</v>
      </c>
      <c r="K51" s="287">
        <v>0</v>
      </c>
      <c r="L51" s="287">
        <v>0</v>
      </c>
      <c r="M51" s="287">
        <v>0</v>
      </c>
      <c r="N51" s="287">
        <v>0</v>
      </c>
      <c r="O51" s="287">
        <v>0</v>
      </c>
      <c r="P51" s="287">
        <v>0.87</v>
      </c>
      <c r="Q51" s="287">
        <v>0</v>
      </c>
      <c r="R51" s="287">
        <v>0</v>
      </c>
      <c r="S51" s="315">
        <v>0</v>
      </c>
      <c r="T51" s="287">
        <v>0</v>
      </c>
      <c r="U51" s="287">
        <v>0</v>
      </c>
      <c r="V51" s="287">
        <v>0</v>
      </c>
      <c r="W51" s="287">
        <v>0</v>
      </c>
      <c r="X51" s="320">
        <v>0</v>
      </c>
      <c r="Y51" s="320">
        <v>0.87</v>
      </c>
    </row>
    <row r="52" spans="2:25" customFormat="1" ht="15.75" x14ac:dyDescent="0.25">
      <c r="B52" s="285"/>
      <c r="C52" s="286" t="s">
        <v>239</v>
      </c>
      <c r="D52" s="287">
        <v>0</v>
      </c>
      <c r="E52" s="287">
        <v>0</v>
      </c>
      <c r="F52" s="287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3.65</v>
      </c>
      <c r="Q52" s="287">
        <v>48.23</v>
      </c>
      <c r="R52" s="287">
        <v>0</v>
      </c>
      <c r="S52" s="315">
        <v>0</v>
      </c>
      <c r="T52" s="287">
        <v>0</v>
      </c>
      <c r="U52" s="287">
        <v>0</v>
      </c>
      <c r="V52" s="287">
        <v>0</v>
      </c>
      <c r="W52" s="287">
        <v>0</v>
      </c>
      <c r="X52" s="284">
        <v>0</v>
      </c>
      <c r="Y52" s="284">
        <v>51.879999999999995</v>
      </c>
    </row>
    <row r="53" spans="2:25" customFormat="1" ht="16.5" hidden="1" thickBot="1" x14ac:dyDescent="0.3">
      <c r="B53" s="296"/>
      <c r="C53" s="290" t="s">
        <v>240</v>
      </c>
      <c r="D53" s="287">
        <v>0.94</v>
      </c>
      <c r="E53" s="287">
        <v>0.97</v>
      </c>
      <c r="F53" s="287">
        <v>1</v>
      </c>
      <c r="G53" s="287">
        <v>0.98000000000000009</v>
      </c>
      <c r="H53" s="287">
        <v>1.01</v>
      </c>
      <c r="I53" s="287">
        <v>0.87</v>
      </c>
      <c r="J53" s="287">
        <v>0.81000000000000016</v>
      </c>
      <c r="K53" s="287">
        <v>0.78000000000000014</v>
      </c>
      <c r="L53" s="287">
        <v>0.93</v>
      </c>
      <c r="M53" s="287">
        <v>0.96000000000000008</v>
      </c>
      <c r="N53" s="287">
        <v>0.76000000000000023</v>
      </c>
      <c r="O53" s="287">
        <v>0.76000000000000023</v>
      </c>
      <c r="P53" s="287">
        <v>0.76000000000000023</v>
      </c>
      <c r="Q53" s="287">
        <v>0.78</v>
      </c>
      <c r="R53" s="287">
        <v>0.82000000000000006</v>
      </c>
      <c r="S53" s="315">
        <v>0.74</v>
      </c>
      <c r="T53" s="287">
        <v>0.71</v>
      </c>
      <c r="U53" s="287">
        <v>0.71</v>
      </c>
      <c r="V53" s="287">
        <v>0.69</v>
      </c>
      <c r="W53" s="287">
        <v>0.74</v>
      </c>
      <c r="X53" s="287">
        <v>9.2500000000000018</v>
      </c>
      <c r="Y53" s="287">
        <v>16.720000000000002</v>
      </c>
    </row>
    <row r="54" spans="2:25" customFormat="1" ht="16.5" hidden="1" thickBot="1" x14ac:dyDescent="0.3">
      <c r="B54" s="285"/>
      <c r="C54" s="290" t="s">
        <v>241</v>
      </c>
      <c r="D54" s="287">
        <v>35.35</v>
      </c>
      <c r="E54" s="287">
        <v>40.340000000000003</v>
      </c>
      <c r="F54" s="287">
        <v>32.619999999999997</v>
      </c>
      <c r="G54" s="287">
        <v>31.91</v>
      </c>
      <c r="H54" s="287">
        <v>29.49</v>
      </c>
      <c r="I54" s="287">
        <v>26.05</v>
      </c>
      <c r="J54" s="287">
        <v>22.109999999999996</v>
      </c>
      <c r="K54" s="287">
        <v>18.850000000000001</v>
      </c>
      <c r="L54" s="287">
        <v>17.440000000000001</v>
      </c>
      <c r="M54" s="287">
        <v>17.34</v>
      </c>
      <c r="N54" s="287">
        <v>19.419999999999998</v>
      </c>
      <c r="O54" s="287">
        <v>19.220000000000002</v>
      </c>
      <c r="P54" s="287">
        <v>22.22</v>
      </c>
      <c r="Q54" s="287">
        <v>21.549999999999997</v>
      </c>
      <c r="R54" s="287">
        <v>17.330000000000002</v>
      </c>
      <c r="S54" s="315">
        <v>18.47</v>
      </c>
      <c r="T54" s="287">
        <v>18.850000000000001</v>
      </c>
      <c r="U54" s="287">
        <v>18.47</v>
      </c>
      <c r="V54" s="287">
        <v>18.850000000000001</v>
      </c>
      <c r="W54" s="287">
        <v>22.049999999999997</v>
      </c>
      <c r="X54" s="287">
        <v>271.5</v>
      </c>
      <c r="Y54" s="287">
        <v>467.93000000000012</v>
      </c>
    </row>
    <row r="55" spans="2:25" customFormat="1" ht="16.5" hidden="1" thickBot="1" x14ac:dyDescent="0.3">
      <c r="B55" s="285"/>
      <c r="C55" s="290" t="s">
        <v>242</v>
      </c>
      <c r="D55" s="287">
        <v>7.3000000000000007</v>
      </c>
      <c r="E55" s="287">
        <v>7.1499999999999995</v>
      </c>
      <c r="F55" s="287">
        <v>7.0200000000000005</v>
      </c>
      <c r="G55" s="287">
        <v>6.8800000000000008</v>
      </c>
      <c r="H55" s="287">
        <v>7.1000000000000005</v>
      </c>
      <c r="I55" s="287">
        <v>6.1900000000000013</v>
      </c>
      <c r="J55" s="287">
        <v>6.080000000000001</v>
      </c>
      <c r="K55" s="287">
        <v>5.9499999999999993</v>
      </c>
      <c r="L55" s="287">
        <v>6.01</v>
      </c>
      <c r="M55" s="287">
        <v>5.9899999999999993</v>
      </c>
      <c r="N55" s="287">
        <v>4.41</v>
      </c>
      <c r="O55" s="287">
        <v>4.3099999999999996</v>
      </c>
      <c r="P55" s="287">
        <v>4.07</v>
      </c>
      <c r="Q55" s="287">
        <v>4.1899999999999995</v>
      </c>
      <c r="R55" s="287">
        <v>4.0699999999999994</v>
      </c>
      <c r="S55" s="315">
        <v>3.2099999999999991</v>
      </c>
      <c r="T55" s="287">
        <v>3.1199999999999992</v>
      </c>
      <c r="U55" s="287">
        <v>2.9499999999999997</v>
      </c>
      <c r="V55" s="287">
        <v>2.9499999999999997</v>
      </c>
      <c r="W55" s="287">
        <v>2.8899999999999997</v>
      </c>
      <c r="X55" s="319">
        <v>65.67</v>
      </c>
      <c r="Y55" s="319">
        <v>101.84</v>
      </c>
    </row>
    <row r="56" spans="2:25" customFormat="1" ht="15.75" x14ac:dyDescent="0.25">
      <c r="B56" s="285"/>
      <c r="C56" s="286" t="s">
        <v>243</v>
      </c>
      <c r="D56" s="287">
        <v>43.59</v>
      </c>
      <c r="E56" s="287">
        <v>48.46</v>
      </c>
      <c r="F56" s="287">
        <v>40.64</v>
      </c>
      <c r="G56" s="287">
        <v>39.770000000000003</v>
      </c>
      <c r="H56" s="287">
        <v>37.6</v>
      </c>
      <c r="I56" s="287">
        <v>33.11</v>
      </c>
      <c r="J56" s="287">
        <v>28.999999999999996</v>
      </c>
      <c r="K56" s="287">
        <v>25.580000000000002</v>
      </c>
      <c r="L56" s="287">
        <v>24.380000000000003</v>
      </c>
      <c r="M56" s="287">
        <v>24.29</v>
      </c>
      <c r="N56" s="287">
        <v>24.59</v>
      </c>
      <c r="O56" s="287">
        <v>24.290000000000003</v>
      </c>
      <c r="P56" s="287">
        <v>27.05</v>
      </c>
      <c r="Q56" s="287">
        <v>26.519999999999996</v>
      </c>
      <c r="R56" s="287">
        <v>22.220000000000002</v>
      </c>
      <c r="S56" s="315">
        <v>22.419999999999995</v>
      </c>
      <c r="T56" s="287">
        <v>22.68</v>
      </c>
      <c r="U56" s="287">
        <v>22.13</v>
      </c>
      <c r="V56" s="287">
        <v>22.490000000000002</v>
      </c>
      <c r="W56" s="287">
        <v>25.679999999999996</v>
      </c>
      <c r="X56" s="284">
        <v>346.42</v>
      </c>
      <c r="Y56" s="284">
        <v>586.49</v>
      </c>
    </row>
    <row r="57" spans="2:25" customFormat="1" ht="15.75" hidden="1" x14ac:dyDescent="0.25">
      <c r="B57" s="296"/>
      <c r="C57" s="286" t="s">
        <v>244</v>
      </c>
      <c r="D57" s="293">
        <v>1.45</v>
      </c>
      <c r="E57" s="292">
        <v>1</v>
      </c>
      <c r="F57" s="292">
        <v>0</v>
      </c>
      <c r="G57" s="287">
        <v>0</v>
      </c>
      <c r="H57" s="287">
        <v>0</v>
      </c>
      <c r="I57" s="287">
        <v>0</v>
      </c>
      <c r="J57" s="287">
        <v>0</v>
      </c>
      <c r="K57" s="287">
        <v>0</v>
      </c>
      <c r="L57" s="287">
        <v>0</v>
      </c>
      <c r="M57" s="287">
        <v>0</v>
      </c>
      <c r="N57" s="287">
        <v>0</v>
      </c>
      <c r="O57" s="287">
        <v>0</v>
      </c>
      <c r="P57" s="287">
        <v>0</v>
      </c>
      <c r="Q57" s="287">
        <v>0</v>
      </c>
      <c r="R57" s="287">
        <v>0</v>
      </c>
      <c r="S57" s="315">
        <v>0</v>
      </c>
      <c r="T57" s="287">
        <v>0</v>
      </c>
      <c r="U57" s="287">
        <v>0</v>
      </c>
      <c r="V57" s="287">
        <v>0</v>
      </c>
      <c r="W57" s="287">
        <v>0</v>
      </c>
      <c r="X57" s="284">
        <v>2.4500000000000002</v>
      </c>
      <c r="Y57" s="284">
        <v>2.4500000000000002</v>
      </c>
    </row>
    <row r="58" spans="2:25" customFormat="1" ht="15.75" hidden="1" x14ac:dyDescent="0.25">
      <c r="B58" s="296"/>
      <c r="C58" s="286" t="s">
        <v>245</v>
      </c>
      <c r="D58" s="292">
        <v>1</v>
      </c>
      <c r="E58" s="292">
        <v>5</v>
      </c>
      <c r="F58" s="292">
        <v>1.7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0</v>
      </c>
      <c r="M58" s="292">
        <v>0</v>
      </c>
      <c r="N58" s="292">
        <v>0</v>
      </c>
      <c r="O58" s="292">
        <v>0</v>
      </c>
      <c r="P58" s="292">
        <v>0</v>
      </c>
      <c r="Q58" s="292">
        <v>0</v>
      </c>
      <c r="R58" s="292">
        <v>0</v>
      </c>
      <c r="S58" s="318">
        <v>0</v>
      </c>
      <c r="T58" s="292">
        <v>0</v>
      </c>
      <c r="U58" s="292">
        <v>0</v>
      </c>
      <c r="V58" s="292">
        <v>0</v>
      </c>
      <c r="W58" s="292">
        <v>0</v>
      </c>
      <c r="X58" s="289">
        <v>7.7</v>
      </c>
      <c r="Y58" s="289">
        <v>7.7</v>
      </c>
    </row>
    <row r="59" spans="2:25" customFormat="1" ht="15.75" x14ac:dyDescent="0.25">
      <c r="B59" s="285"/>
      <c r="C59" s="286" t="s">
        <v>246</v>
      </c>
      <c r="D59" s="287">
        <v>0</v>
      </c>
      <c r="E59" s="287">
        <v>0</v>
      </c>
      <c r="F59" s="287">
        <v>0</v>
      </c>
      <c r="G59" s="287">
        <v>0</v>
      </c>
      <c r="H59" s="287">
        <v>0</v>
      </c>
      <c r="I59" s="287">
        <v>0</v>
      </c>
      <c r="J59" s="287">
        <v>0</v>
      </c>
      <c r="K59" s="287">
        <v>297</v>
      </c>
      <c r="L59" s="287">
        <v>297</v>
      </c>
      <c r="M59" s="287">
        <v>223</v>
      </c>
      <c r="N59" s="287">
        <v>297</v>
      </c>
      <c r="O59" s="287">
        <v>297</v>
      </c>
      <c r="P59" s="287">
        <v>297</v>
      </c>
      <c r="Q59" s="287">
        <v>297</v>
      </c>
      <c r="R59" s="287">
        <v>297</v>
      </c>
      <c r="S59" s="315">
        <v>297</v>
      </c>
      <c r="T59" s="287">
        <v>297</v>
      </c>
      <c r="U59" s="287">
        <v>297</v>
      </c>
      <c r="V59" s="287">
        <v>297</v>
      </c>
      <c r="W59" s="287">
        <v>297</v>
      </c>
      <c r="X59" s="284">
        <v>81.7</v>
      </c>
      <c r="Y59" s="284">
        <v>189.35</v>
      </c>
    </row>
    <row r="60" spans="2:25" customFormat="1" ht="15.75" x14ac:dyDescent="0.25">
      <c r="B60" s="285"/>
      <c r="C60" s="286" t="s">
        <v>247</v>
      </c>
      <c r="D60" s="287">
        <v>10</v>
      </c>
      <c r="E60" s="287">
        <v>100</v>
      </c>
      <c r="F60" s="287">
        <v>100</v>
      </c>
      <c r="G60" s="287">
        <v>100</v>
      </c>
      <c r="H60" s="287">
        <v>100</v>
      </c>
      <c r="I60" s="287">
        <v>100</v>
      </c>
      <c r="J60" s="287">
        <v>100</v>
      </c>
      <c r="K60" s="287">
        <v>100</v>
      </c>
      <c r="L60" s="287">
        <v>100</v>
      </c>
      <c r="M60" s="287">
        <v>100</v>
      </c>
      <c r="N60" s="287">
        <v>100</v>
      </c>
      <c r="O60" s="287">
        <v>100</v>
      </c>
      <c r="P60" s="287">
        <v>100</v>
      </c>
      <c r="Q60" s="287">
        <v>100</v>
      </c>
      <c r="R60" s="287">
        <v>100</v>
      </c>
      <c r="S60" s="315">
        <v>100</v>
      </c>
      <c r="T60" s="287">
        <v>100</v>
      </c>
      <c r="U60" s="287">
        <v>100</v>
      </c>
      <c r="V60" s="287">
        <v>100</v>
      </c>
      <c r="W60" s="287">
        <v>100</v>
      </c>
      <c r="X60" s="284">
        <v>91</v>
      </c>
      <c r="Y60" s="284">
        <v>95.5</v>
      </c>
    </row>
    <row r="61" spans="2:25" customFormat="1" ht="15.75" x14ac:dyDescent="0.25">
      <c r="B61" s="296"/>
      <c r="C61" s="286" t="s">
        <v>248</v>
      </c>
      <c r="D61" s="287">
        <v>245</v>
      </c>
      <c r="E61" s="287">
        <v>345</v>
      </c>
      <c r="F61" s="287">
        <v>400</v>
      </c>
      <c r="G61" s="287">
        <v>400</v>
      </c>
      <c r="H61" s="287">
        <v>400</v>
      </c>
      <c r="I61" s="287">
        <v>400</v>
      </c>
      <c r="J61" s="287">
        <v>400</v>
      </c>
      <c r="K61" s="287">
        <v>400</v>
      </c>
      <c r="L61" s="287">
        <v>400</v>
      </c>
      <c r="M61" s="287">
        <v>400</v>
      </c>
      <c r="N61" s="287">
        <v>400</v>
      </c>
      <c r="O61" s="287">
        <v>400</v>
      </c>
      <c r="P61" s="287">
        <v>400</v>
      </c>
      <c r="Q61" s="287">
        <v>400</v>
      </c>
      <c r="R61" s="287">
        <v>400</v>
      </c>
      <c r="S61" s="315">
        <v>400</v>
      </c>
      <c r="T61" s="287">
        <v>400</v>
      </c>
      <c r="U61" s="287">
        <v>400</v>
      </c>
      <c r="V61" s="287">
        <v>400</v>
      </c>
      <c r="W61" s="287">
        <v>400</v>
      </c>
      <c r="X61" s="284">
        <v>379</v>
      </c>
      <c r="Y61" s="284">
        <v>389.5</v>
      </c>
    </row>
    <row r="62" spans="2:25" customFormat="1" ht="15.75" x14ac:dyDescent="0.25">
      <c r="B62" s="297"/>
      <c r="C62" s="298" t="s">
        <v>249</v>
      </c>
      <c r="D62" s="287">
        <v>0</v>
      </c>
      <c r="E62" s="287">
        <v>0</v>
      </c>
      <c r="F62" s="287">
        <v>83</v>
      </c>
      <c r="G62" s="287">
        <v>201</v>
      </c>
      <c r="H62" s="287">
        <v>331</v>
      </c>
      <c r="I62" s="287">
        <v>375</v>
      </c>
      <c r="J62" s="287">
        <v>375</v>
      </c>
      <c r="K62" s="287">
        <v>375</v>
      </c>
      <c r="L62" s="287">
        <v>245</v>
      </c>
      <c r="M62" s="287">
        <v>375</v>
      </c>
      <c r="N62" s="287">
        <v>375</v>
      </c>
      <c r="O62" s="287">
        <v>375</v>
      </c>
      <c r="P62" s="287">
        <v>375</v>
      </c>
      <c r="Q62" s="287">
        <v>375</v>
      </c>
      <c r="R62" s="287">
        <v>375</v>
      </c>
      <c r="S62" s="315">
        <v>375</v>
      </c>
      <c r="T62" s="287">
        <v>375</v>
      </c>
      <c r="U62" s="287">
        <v>375</v>
      </c>
      <c r="V62" s="287">
        <v>174</v>
      </c>
      <c r="W62" s="287">
        <v>180</v>
      </c>
      <c r="X62" s="284">
        <v>236</v>
      </c>
      <c r="Y62" s="284">
        <v>285.7</v>
      </c>
    </row>
    <row r="63" spans="2:25" customFormat="1" ht="17.25" hidden="1" thickTop="1" thickBot="1" x14ac:dyDescent="0.3">
      <c r="B63" s="299"/>
      <c r="C63" s="300" t="s">
        <v>197</v>
      </c>
      <c r="D63" s="301">
        <v>0</v>
      </c>
      <c r="E63" s="301">
        <v>0</v>
      </c>
      <c r="F63" s="301">
        <v>-164.10000000000002</v>
      </c>
      <c r="G63" s="301">
        <v>0</v>
      </c>
      <c r="H63" s="301">
        <v>0</v>
      </c>
      <c r="I63" s="301">
        <v>0</v>
      </c>
      <c r="J63" s="301">
        <v>0</v>
      </c>
      <c r="K63" s="301">
        <v>0</v>
      </c>
      <c r="L63" s="301">
        <v>0</v>
      </c>
      <c r="M63" s="301">
        <v>0</v>
      </c>
      <c r="N63" s="301">
        <v>0</v>
      </c>
      <c r="O63" s="301">
        <v>0</v>
      </c>
      <c r="P63" s="301">
        <v>0</v>
      </c>
      <c r="Q63" s="301">
        <v>0</v>
      </c>
      <c r="R63" s="301">
        <v>0</v>
      </c>
      <c r="S63" s="321">
        <v>-760</v>
      </c>
      <c r="T63" s="321">
        <v>0</v>
      </c>
      <c r="U63" s="321">
        <v>-700.81</v>
      </c>
      <c r="V63" s="321">
        <v>-73.78</v>
      </c>
      <c r="W63" s="321">
        <v>0</v>
      </c>
      <c r="X63" s="322"/>
      <c r="Y63" s="322"/>
    </row>
    <row r="64" spans="2:25" customFormat="1" ht="16.5" hidden="1" thickTop="1" x14ac:dyDescent="0.25">
      <c r="B64" s="299"/>
      <c r="C64" s="302" t="s">
        <v>250</v>
      </c>
      <c r="D64" s="303">
        <v>136.49899999999997</v>
      </c>
      <c r="E64" s="303">
        <v>773.31500000000028</v>
      </c>
      <c r="F64" s="303">
        <v>115.16999999999999</v>
      </c>
      <c r="G64" s="303">
        <v>112.97500000000001</v>
      </c>
      <c r="H64" s="303">
        <v>112.76199999999996</v>
      </c>
      <c r="I64" s="303">
        <v>102.57399999999993</v>
      </c>
      <c r="J64" s="303">
        <v>96.435999999999908</v>
      </c>
      <c r="K64" s="303">
        <v>89.658999999999878</v>
      </c>
      <c r="L64" s="303">
        <v>90.449999999999903</v>
      </c>
      <c r="M64" s="303">
        <v>90.559999999999945</v>
      </c>
      <c r="N64" s="303">
        <v>80.370000000000061</v>
      </c>
      <c r="O64" s="303">
        <v>266.83999999999986</v>
      </c>
      <c r="P64" s="303">
        <v>383.13000000000005</v>
      </c>
      <c r="Q64" s="303">
        <v>202.34999999999985</v>
      </c>
      <c r="R64" s="303">
        <v>496.9</v>
      </c>
      <c r="S64" s="303">
        <v>906.17</v>
      </c>
      <c r="T64" s="303">
        <v>71.090000000000103</v>
      </c>
      <c r="U64" s="303">
        <v>1097.99</v>
      </c>
      <c r="V64" s="303">
        <v>488.80999999999995</v>
      </c>
      <c r="W64" s="303">
        <v>72.419999999999973</v>
      </c>
      <c r="X64" s="323"/>
      <c r="Y64" s="323"/>
    </row>
    <row r="65" spans="2:25" customFormat="1" ht="15.75" hidden="1" x14ac:dyDescent="0.25">
      <c r="B65" s="304"/>
      <c r="C65" s="305" t="s">
        <v>251</v>
      </c>
      <c r="D65" s="306">
        <v>255</v>
      </c>
      <c r="E65" s="306">
        <v>445</v>
      </c>
      <c r="F65" s="306">
        <v>583</v>
      </c>
      <c r="G65" s="306">
        <v>701</v>
      </c>
      <c r="H65" s="306">
        <v>831</v>
      </c>
      <c r="I65" s="306">
        <v>931</v>
      </c>
      <c r="J65" s="306">
        <v>1027</v>
      </c>
      <c r="K65" s="306">
        <v>1261</v>
      </c>
      <c r="L65" s="306">
        <v>1042</v>
      </c>
      <c r="M65" s="306">
        <v>1098</v>
      </c>
      <c r="N65" s="306">
        <v>1210</v>
      </c>
      <c r="O65" s="306">
        <v>1302</v>
      </c>
      <c r="P65" s="306">
        <v>1472</v>
      </c>
      <c r="Q65" s="306">
        <v>1472</v>
      </c>
      <c r="R65" s="306">
        <v>1277</v>
      </c>
      <c r="S65" s="306">
        <v>1366</v>
      </c>
      <c r="T65" s="306">
        <v>1472</v>
      </c>
      <c r="U65" s="306">
        <v>1301</v>
      </c>
      <c r="V65" s="306">
        <v>1138</v>
      </c>
      <c r="W65" s="306">
        <v>1277</v>
      </c>
      <c r="X65" s="323"/>
      <c r="Y65" s="323"/>
    </row>
    <row r="66" spans="2:25" customFormat="1" ht="15.75" hidden="1" x14ac:dyDescent="0.25">
      <c r="B66" s="304"/>
      <c r="C66" s="305" t="s">
        <v>252</v>
      </c>
      <c r="D66" s="306">
        <v>391.49899999999997</v>
      </c>
      <c r="E66" s="306">
        <v>1218.3150000000003</v>
      </c>
      <c r="F66" s="306">
        <v>698.17</v>
      </c>
      <c r="G66" s="306">
        <v>813.97500000000002</v>
      </c>
      <c r="H66" s="306">
        <v>943.76199999999994</v>
      </c>
      <c r="I66" s="306">
        <v>1033.5739999999998</v>
      </c>
      <c r="J66" s="306">
        <v>1123.4359999999999</v>
      </c>
      <c r="K66" s="306">
        <v>1350.6589999999999</v>
      </c>
      <c r="L66" s="306">
        <v>1132.4499999999998</v>
      </c>
      <c r="M66" s="306">
        <v>1188.56</v>
      </c>
      <c r="N66" s="306">
        <v>1290.3700000000001</v>
      </c>
      <c r="O66" s="306">
        <v>1568.84</v>
      </c>
      <c r="P66" s="306">
        <v>1855.13</v>
      </c>
      <c r="Q66" s="306">
        <v>1674.35</v>
      </c>
      <c r="R66" s="306">
        <v>1773.9</v>
      </c>
      <c r="S66" s="306">
        <v>2272.17</v>
      </c>
      <c r="T66" s="306">
        <v>1543.0900000000001</v>
      </c>
      <c r="U66" s="306">
        <v>2398.9899999999998</v>
      </c>
      <c r="V66" s="306">
        <v>1626.81</v>
      </c>
      <c r="W66" s="306">
        <v>1349.42</v>
      </c>
      <c r="X66" s="323"/>
      <c r="Y66" s="323"/>
    </row>
    <row r="67" spans="2:25" customFormat="1" ht="15.75" x14ac:dyDescent="0.25">
      <c r="B67" s="304"/>
      <c r="C67" s="307" t="s">
        <v>253</v>
      </c>
      <c r="D67" s="52"/>
      <c r="E67" s="52"/>
      <c r="F67" s="52"/>
      <c r="G67" s="52"/>
      <c r="H67" s="52"/>
      <c r="I67" s="52"/>
      <c r="J67" s="52"/>
      <c r="K67" s="225"/>
      <c r="L67" s="245"/>
      <c r="M67" s="245"/>
      <c r="N67" s="245"/>
      <c r="O67" s="225"/>
      <c r="P67" s="225"/>
      <c r="Q67" s="225"/>
      <c r="R67" s="245"/>
      <c r="S67" s="245"/>
      <c r="T67" s="245"/>
      <c r="U67" s="245"/>
      <c r="V67" s="324"/>
      <c r="W67" s="324"/>
      <c r="X67" s="323"/>
      <c r="Y67" s="323"/>
    </row>
    <row r="69" spans="2:25" x14ac:dyDescent="0.2">
      <c r="C69" s="245" t="s">
        <v>273</v>
      </c>
    </row>
  </sheetData>
  <conditionalFormatting sqref="B5:C5">
    <cfRule type="expression" dxfId="0" priority="1" stopIfTrue="1">
      <formula>ROUND($H$368,0)&lt;&gt;0</formula>
    </cfRule>
  </conditionalFormatting>
  <printOptions horizontalCentered="1"/>
  <pageMargins left="0.25" right="0.25" top="0.75" bottom="0.75" header="0.3" footer="0.3"/>
  <pageSetup scale="96" fitToHeight="0" orientation="landscape" r:id="rId1"/>
  <headerFooter alignWithMargins="0">
    <oddFooter>&amp;L&amp;8NPC Group - &amp;F   ( &amp;A )&amp;C &amp;R 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5"/>
  <sheetViews>
    <sheetView zoomScaleNormal="100" workbookViewId="0">
      <selection activeCell="B1" sqref="B1"/>
    </sheetView>
  </sheetViews>
  <sheetFormatPr defaultColWidth="8.83203125" defaultRowHeight="12.75" x14ac:dyDescent="0.2"/>
  <cols>
    <col min="1" max="1" width="2.1640625" style="56" customWidth="1"/>
    <col min="2" max="2" width="22" style="56" customWidth="1"/>
    <col min="3" max="6" width="16.33203125" style="56" customWidth="1"/>
    <col min="7" max="7" width="2.1640625" style="56" customWidth="1"/>
    <col min="8" max="8" width="10" style="56" customWidth="1"/>
    <col min="9" max="16384" width="8.83203125" style="56"/>
  </cols>
  <sheetData>
    <row r="1" spans="2:6" ht="15.75" x14ac:dyDescent="0.25">
      <c r="B1" s="24" t="s">
        <v>109</v>
      </c>
      <c r="C1" s="33"/>
      <c r="D1" s="33"/>
      <c r="E1" s="33"/>
      <c r="F1" s="33"/>
    </row>
    <row r="2" spans="2:6" ht="15.75" x14ac:dyDescent="0.25">
      <c r="B2" s="24" t="s">
        <v>115</v>
      </c>
      <c r="C2" s="33"/>
      <c r="D2" s="33"/>
      <c r="E2" s="33"/>
      <c r="F2" s="33"/>
    </row>
    <row r="3" spans="2:6" ht="15.75" x14ac:dyDescent="0.25">
      <c r="B3" s="24" t="s">
        <v>40</v>
      </c>
      <c r="C3" s="129"/>
      <c r="D3" s="129"/>
      <c r="E3" s="129"/>
      <c r="F3" s="129"/>
    </row>
    <row r="4" spans="2:6" ht="15.75" x14ac:dyDescent="0.25">
      <c r="B4" s="24"/>
      <c r="C4" s="129"/>
      <c r="D4" s="129"/>
      <c r="E4" s="129"/>
      <c r="F4" s="129"/>
    </row>
    <row r="5" spans="2:6" x14ac:dyDescent="0.2">
      <c r="B5" s="25"/>
      <c r="C5" s="35" t="s">
        <v>110</v>
      </c>
      <c r="D5" s="35"/>
      <c r="E5" s="35"/>
      <c r="F5" s="35"/>
    </row>
    <row r="6" spans="2:6" x14ac:dyDescent="0.2">
      <c r="B6" s="45" t="s">
        <v>2</v>
      </c>
      <c r="C6" s="35" t="s">
        <v>111</v>
      </c>
      <c r="D6" s="35"/>
      <c r="E6" s="35" t="s">
        <v>112</v>
      </c>
      <c r="F6" s="35"/>
    </row>
    <row r="7" spans="2:6" x14ac:dyDescent="0.2">
      <c r="B7" s="130"/>
      <c r="C7" s="35" t="s">
        <v>113</v>
      </c>
      <c r="D7" s="35" t="s">
        <v>114</v>
      </c>
      <c r="E7" s="35" t="s">
        <v>113</v>
      </c>
      <c r="F7" s="35" t="s">
        <v>114</v>
      </c>
    </row>
    <row r="8" spans="2:6" x14ac:dyDescent="0.2">
      <c r="C8" s="30" t="s">
        <v>22</v>
      </c>
      <c r="D8" s="30" t="s">
        <v>23</v>
      </c>
      <c r="E8" s="30" t="s">
        <v>24</v>
      </c>
      <c r="F8" s="30" t="s">
        <v>25</v>
      </c>
    </row>
    <row r="9" spans="2:6" x14ac:dyDescent="0.2">
      <c r="C9" s="131"/>
      <c r="D9" s="131"/>
      <c r="E9" s="131"/>
      <c r="F9" s="131"/>
    </row>
    <row r="10" spans="2:6" x14ac:dyDescent="0.2">
      <c r="B10" s="132">
        <f>'Tables 3 to 6'!$B$13</f>
        <v>2014</v>
      </c>
      <c r="C10" s="133">
        <v>41.38</v>
      </c>
      <c r="D10" s="133">
        <v>45.54</v>
      </c>
      <c r="E10" s="133">
        <v>28.96</v>
      </c>
      <c r="F10" s="133">
        <v>34.159999999999997</v>
      </c>
    </row>
    <row r="11" spans="2:6" x14ac:dyDescent="0.2">
      <c r="B11" s="132">
        <f>B10+1</f>
        <v>2015</v>
      </c>
      <c r="C11" s="133">
        <v>38.69</v>
      </c>
      <c r="D11" s="133">
        <v>40.75</v>
      </c>
      <c r="E11" s="133">
        <v>27.75</v>
      </c>
      <c r="F11" s="133">
        <v>30.13</v>
      </c>
    </row>
    <row r="12" spans="2:6" x14ac:dyDescent="0.2">
      <c r="B12" s="132">
        <f t="shared" ref="B12:B34" si="0">B11+1</f>
        <v>2016</v>
      </c>
      <c r="C12" s="133">
        <v>38.06</v>
      </c>
      <c r="D12" s="133">
        <v>40.5</v>
      </c>
      <c r="E12" s="133">
        <v>28.31</v>
      </c>
      <c r="F12" s="133">
        <v>30.13</v>
      </c>
    </row>
    <row r="13" spans="2:6" x14ac:dyDescent="0.2">
      <c r="B13" s="132">
        <f t="shared" si="0"/>
        <v>2017</v>
      </c>
      <c r="C13" s="133">
        <v>40.06</v>
      </c>
      <c r="D13" s="133">
        <v>42.5</v>
      </c>
      <c r="E13" s="133">
        <v>30.06</v>
      </c>
      <c r="F13" s="133">
        <v>31.88</v>
      </c>
    </row>
    <row r="14" spans="2:6" x14ac:dyDescent="0.2">
      <c r="B14" s="132">
        <f t="shared" si="0"/>
        <v>2018</v>
      </c>
      <c r="C14" s="133">
        <v>42.56</v>
      </c>
      <c r="D14" s="133">
        <v>45</v>
      </c>
      <c r="E14" s="133">
        <v>32.06</v>
      </c>
      <c r="F14" s="133">
        <v>33.880000000000003</v>
      </c>
    </row>
    <row r="15" spans="2:6" x14ac:dyDescent="0.2">
      <c r="B15" s="132">
        <f t="shared" si="0"/>
        <v>2019</v>
      </c>
      <c r="C15" s="133">
        <v>44.81</v>
      </c>
      <c r="D15" s="133">
        <v>47</v>
      </c>
      <c r="E15" s="133">
        <v>34.31</v>
      </c>
      <c r="F15" s="133">
        <v>35.880000000000003</v>
      </c>
    </row>
    <row r="16" spans="2:6" x14ac:dyDescent="0.2">
      <c r="B16" s="132">
        <f t="shared" si="0"/>
        <v>2020</v>
      </c>
      <c r="C16" s="133">
        <v>47.05</v>
      </c>
      <c r="D16" s="133">
        <v>48.91</v>
      </c>
      <c r="E16" s="133">
        <v>37.590000000000003</v>
      </c>
      <c r="F16" s="133">
        <v>40.36</v>
      </c>
    </row>
    <row r="17" spans="2:6" x14ac:dyDescent="0.2">
      <c r="B17" s="132">
        <f t="shared" si="0"/>
        <v>2021</v>
      </c>
      <c r="C17" s="133">
        <v>47.93</v>
      </c>
      <c r="D17" s="133">
        <v>49.46</v>
      </c>
      <c r="E17" s="133">
        <v>40.340000000000003</v>
      </c>
      <c r="F17" s="133">
        <v>45.07</v>
      </c>
    </row>
    <row r="18" spans="2:6" x14ac:dyDescent="0.2">
      <c r="B18" s="132">
        <f t="shared" si="0"/>
        <v>2022</v>
      </c>
      <c r="C18" s="133">
        <v>49.43</v>
      </c>
      <c r="D18" s="133">
        <v>50.71</v>
      </c>
      <c r="E18" s="133">
        <v>41.87</v>
      </c>
      <c r="F18" s="133">
        <v>47.21</v>
      </c>
    </row>
    <row r="19" spans="2:6" x14ac:dyDescent="0.2">
      <c r="B19" s="132">
        <f t="shared" si="0"/>
        <v>2023</v>
      </c>
      <c r="C19" s="133">
        <v>51.32</v>
      </c>
      <c r="D19" s="133">
        <v>52.34</v>
      </c>
      <c r="E19" s="133">
        <v>43.42</v>
      </c>
      <c r="F19" s="133">
        <v>48.89</v>
      </c>
    </row>
    <row r="20" spans="2:6" x14ac:dyDescent="0.2">
      <c r="B20" s="132">
        <f t="shared" si="0"/>
        <v>2024</v>
      </c>
      <c r="C20" s="133">
        <v>53.32</v>
      </c>
      <c r="D20" s="133">
        <v>54.36</v>
      </c>
      <c r="E20" s="133">
        <v>45.26</v>
      </c>
      <c r="F20" s="133">
        <v>50.66</v>
      </c>
    </row>
    <row r="21" spans="2:6" x14ac:dyDescent="0.2">
      <c r="B21" s="132">
        <f t="shared" si="0"/>
        <v>2025</v>
      </c>
      <c r="C21" s="133">
        <v>55</v>
      </c>
      <c r="D21" s="133">
        <v>55.74</v>
      </c>
      <c r="E21" s="133">
        <v>46.57</v>
      </c>
      <c r="F21" s="133">
        <v>51.79</v>
      </c>
    </row>
    <row r="22" spans="2:6" x14ac:dyDescent="0.2">
      <c r="B22" s="132">
        <f t="shared" si="0"/>
        <v>2026</v>
      </c>
      <c r="C22" s="133">
        <v>56.78</v>
      </c>
      <c r="D22" s="133">
        <v>57.47</v>
      </c>
      <c r="E22" s="133">
        <v>48.19</v>
      </c>
      <c r="F22" s="133">
        <v>53.64</v>
      </c>
    </row>
    <row r="23" spans="2:6" x14ac:dyDescent="0.2">
      <c r="B23" s="132">
        <f t="shared" si="0"/>
        <v>2027</v>
      </c>
      <c r="C23" s="133">
        <v>58.68</v>
      </c>
      <c r="D23" s="133">
        <v>59.93</v>
      </c>
      <c r="E23" s="133">
        <v>49.99</v>
      </c>
      <c r="F23" s="133">
        <v>55.76</v>
      </c>
    </row>
    <row r="24" spans="2:6" x14ac:dyDescent="0.2">
      <c r="B24" s="132">
        <f t="shared" si="0"/>
        <v>2028</v>
      </c>
      <c r="C24" s="133">
        <v>61.11</v>
      </c>
      <c r="D24" s="133">
        <v>61.87</v>
      </c>
      <c r="E24" s="133">
        <v>52.1</v>
      </c>
      <c r="F24" s="133">
        <v>57.56</v>
      </c>
    </row>
    <row r="25" spans="2:6" x14ac:dyDescent="0.2">
      <c r="B25" s="132">
        <f t="shared" si="0"/>
        <v>2029</v>
      </c>
      <c r="C25" s="133">
        <v>63.52</v>
      </c>
      <c r="D25" s="133">
        <v>64.540000000000006</v>
      </c>
      <c r="E25" s="133">
        <v>54.23</v>
      </c>
      <c r="F25" s="133">
        <v>60.01</v>
      </c>
    </row>
    <row r="26" spans="2:6" x14ac:dyDescent="0.2">
      <c r="B26" s="132">
        <f t="shared" si="0"/>
        <v>2030</v>
      </c>
      <c r="C26" s="133">
        <v>65.959999999999994</v>
      </c>
      <c r="D26" s="133">
        <v>67.150000000000006</v>
      </c>
      <c r="E26" s="133">
        <v>56.53</v>
      </c>
      <c r="F26" s="133">
        <v>62.34</v>
      </c>
    </row>
    <row r="27" spans="2:6" x14ac:dyDescent="0.2">
      <c r="B27" s="132">
        <f t="shared" si="0"/>
        <v>2031</v>
      </c>
      <c r="C27" s="133">
        <v>67.06</v>
      </c>
      <c r="D27" s="133">
        <v>68.48</v>
      </c>
      <c r="E27" s="133">
        <v>57.72</v>
      </c>
      <c r="F27" s="133">
        <v>63.49</v>
      </c>
    </row>
    <row r="28" spans="2:6" x14ac:dyDescent="0.2">
      <c r="B28" s="132">
        <f t="shared" si="0"/>
        <v>2032</v>
      </c>
      <c r="C28" s="133">
        <v>68.319999999999993</v>
      </c>
      <c r="D28" s="133">
        <v>69.739999999999995</v>
      </c>
      <c r="E28" s="133">
        <v>59.06</v>
      </c>
      <c r="F28" s="133">
        <v>64.819999999999993</v>
      </c>
    </row>
    <row r="29" spans="2:6" x14ac:dyDescent="0.2">
      <c r="B29" s="132">
        <f t="shared" si="0"/>
        <v>2033</v>
      </c>
      <c r="C29" s="133">
        <v>69.459999999999994</v>
      </c>
      <c r="D29" s="133">
        <v>71.31</v>
      </c>
      <c r="E29" s="133">
        <v>60.43</v>
      </c>
      <c r="F29" s="133">
        <v>66.17</v>
      </c>
    </row>
    <row r="30" spans="2:6" x14ac:dyDescent="0.2">
      <c r="B30" s="132">
        <f t="shared" si="0"/>
        <v>2034</v>
      </c>
      <c r="C30" s="133">
        <v>70.59</v>
      </c>
      <c r="D30" s="133">
        <v>72.64</v>
      </c>
      <c r="E30" s="133">
        <v>61.63</v>
      </c>
      <c r="F30" s="133">
        <v>67.260000000000005</v>
      </c>
    </row>
    <row r="31" spans="2:6" x14ac:dyDescent="0.2">
      <c r="B31" s="132">
        <f t="shared" si="0"/>
        <v>2035</v>
      </c>
      <c r="C31" s="133">
        <v>71.91</v>
      </c>
      <c r="D31" s="133">
        <v>74.33</v>
      </c>
      <c r="E31" s="133">
        <v>62.97</v>
      </c>
      <c r="F31" s="133">
        <v>68.709999999999994</v>
      </c>
    </row>
    <row r="32" spans="2:6" x14ac:dyDescent="0.2">
      <c r="B32" s="132">
        <f t="shared" si="0"/>
        <v>2036</v>
      </c>
      <c r="C32" s="133">
        <v>73.37</v>
      </c>
      <c r="D32" s="133">
        <v>76.13</v>
      </c>
      <c r="E32" s="133">
        <v>64.47</v>
      </c>
      <c r="F32" s="133">
        <v>70.180000000000007</v>
      </c>
    </row>
    <row r="33" spans="2:6" x14ac:dyDescent="0.2">
      <c r="B33" s="132">
        <f t="shared" si="0"/>
        <v>2037</v>
      </c>
      <c r="C33" s="133">
        <v>74.59</v>
      </c>
      <c r="D33" s="133">
        <v>77.510000000000005</v>
      </c>
      <c r="E33" s="133">
        <v>65.8</v>
      </c>
      <c r="F33" s="133">
        <v>71.430000000000007</v>
      </c>
    </row>
    <row r="34" spans="2:6" x14ac:dyDescent="0.2">
      <c r="B34" s="132">
        <f t="shared" si="0"/>
        <v>2038</v>
      </c>
      <c r="C34" s="133">
        <v>75.989999999999995</v>
      </c>
      <c r="D34" s="133">
        <v>79.03</v>
      </c>
      <c r="E34" s="133">
        <v>67.760000000000005</v>
      </c>
      <c r="F34" s="133">
        <v>73</v>
      </c>
    </row>
    <row r="36" spans="2:6" x14ac:dyDescent="0.2">
      <c r="B36" s="47" t="s">
        <v>101</v>
      </c>
    </row>
    <row r="37" spans="2:6" ht="25.5" customHeight="1" x14ac:dyDescent="0.2">
      <c r="B37" s="508" t="s">
        <v>280</v>
      </c>
      <c r="C37" s="508"/>
      <c r="D37" s="508"/>
      <c r="E37" s="508"/>
      <c r="F37" s="508"/>
    </row>
    <row r="40" spans="2:6" x14ac:dyDescent="0.2">
      <c r="B40" s="134"/>
    </row>
    <row r="41" spans="2:6" x14ac:dyDescent="0.2">
      <c r="B41" s="134"/>
    </row>
    <row r="55" ht="24.75" customHeight="1" x14ac:dyDescent="0.2"/>
  </sheetData>
  <mergeCells count="1">
    <mergeCell ref="B37:F37"/>
  </mergeCells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>
    <pageSetUpPr fitToPage="1"/>
  </sheetPr>
  <dimension ref="B1:R37"/>
  <sheetViews>
    <sheetView view="pageBreakPreview" zoomScale="60" zoomScaleNormal="100" workbookViewId="0">
      <selection activeCell="B1" sqref="B1"/>
    </sheetView>
  </sheetViews>
  <sheetFormatPr defaultRowHeight="12.75" x14ac:dyDescent="0.2"/>
  <cols>
    <col min="1" max="1" width="1.6640625" style="117" customWidth="1"/>
    <col min="2" max="2" width="11" style="117" customWidth="1"/>
    <col min="3" max="3" width="14.1640625" style="117" customWidth="1"/>
    <col min="4" max="4" width="1.6640625" style="117" customWidth="1"/>
    <col min="5" max="16" width="11" style="117" customWidth="1"/>
    <col min="17" max="17" width="1.33203125" style="117" customWidth="1"/>
    <col min="18" max="18" width="9.33203125" style="117" customWidth="1"/>
    <col min="19" max="16384" width="9.33203125" style="117"/>
  </cols>
  <sheetData>
    <row r="1" spans="2:16" s="56" customFormat="1" ht="15.75" x14ac:dyDescent="0.25">
      <c r="B1" s="79" t="s">
        <v>123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16" ht="15.75" x14ac:dyDescent="0.25">
      <c r="B2" s="79" t="s">
        <v>121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16" ht="15.75" x14ac:dyDescent="0.25">
      <c r="B3" s="79" t="s">
        <v>145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5" spans="2:16" x14ac:dyDescent="0.2">
      <c r="B5" s="81" t="s">
        <v>122</v>
      </c>
    </row>
    <row r="6" spans="2:16" x14ac:dyDescent="0.2">
      <c r="B6" s="82" t="s">
        <v>2</v>
      </c>
      <c r="C6" s="82" t="s">
        <v>82</v>
      </c>
      <c r="D6" s="118"/>
      <c r="E6" s="82" t="s">
        <v>48</v>
      </c>
      <c r="F6" s="82" t="s">
        <v>49</v>
      </c>
      <c r="G6" s="82" t="s">
        <v>50</v>
      </c>
      <c r="H6" s="82" t="s">
        <v>51</v>
      </c>
      <c r="I6" s="82" t="s">
        <v>52</v>
      </c>
      <c r="J6" s="82" t="s">
        <v>53</v>
      </c>
      <c r="K6" s="82" t="s">
        <v>54</v>
      </c>
      <c r="L6" s="82" t="s">
        <v>55</v>
      </c>
      <c r="M6" s="82" t="s">
        <v>56</v>
      </c>
      <c r="N6" s="82" t="s">
        <v>57</v>
      </c>
      <c r="O6" s="82" t="s">
        <v>58</v>
      </c>
      <c r="P6" s="82" t="s">
        <v>59</v>
      </c>
    </row>
    <row r="7" spans="2:16" x14ac:dyDescent="0.2">
      <c r="B7" s="83">
        <f>'Tables 3 to 6'!$B$13</f>
        <v>2014</v>
      </c>
      <c r="C7" s="119">
        <f>INDEX([1]Profile!$C$22:$P$35,MATCH($B7,[1]Profile!$B$22:$B$35,0),MATCH(C$6,[1]Profile!$C$22:$P$22,0))</f>
        <v>-12.974508724786801</v>
      </c>
      <c r="D7" s="120"/>
      <c r="E7" s="121"/>
      <c r="F7" s="122"/>
      <c r="G7" s="122"/>
      <c r="H7" s="122"/>
      <c r="I7" s="122"/>
      <c r="J7" s="122"/>
      <c r="K7" s="122">
        <f>INDEX([1]Profile!$C$22:$P$35,MATCH($B7,[1]Profile!$B$22:$B$35,0),MATCH(K$6,[1]Profile!$C$22:$P$22,0))</f>
        <v>-12.974508724786801</v>
      </c>
      <c r="L7" s="122">
        <f>INDEX([1]Profile!$C$22:$P$35,MATCH($B7,[1]Profile!$B$22:$B$35,0),MATCH(L$6,[1]Profile!$C$22:$P$22,0))</f>
        <v>-51.558689938914767</v>
      </c>
      <c r="M7" s="122">
        <f>INDEX([1]Profile!$C$22:$P$35,MATCH($B7,[1]Profile!$B$22:$B$35,0),MATCH(M$6,[1]Profile!$C$22:$P$22,0))</f>
        <v>205.06445301535518</v>
      </c>
      <c r="N7" s="122">
        <f>INDEX([1]Profile!$C$22:$P$35,MATCH($B7,[1]Profile!$B$22:$B$35,0),MATCH(N$6,[1]Profile!$C$22:$P$22,0))</f>
        <v>577.41620081536871</v>
      </c>
      <c r="O7" s="122">
        <f>INDEX([1]Profile!$C$22:$P$35,MATCH($B7,[1]Profile!$B$22:$B$35,0),MATCH(O$6,[1]Profile!$C$22:$P$22,0))</f>
        <v>1222.6162347043978</v>
      </c>
      <c r="P7" s="123">
        <f>INDEX([1]Profile!$C$22:$P$35,MATCH($B7,[1]Profile!$B$22:$B$35,0),MATCH(P$6,[1]Profile!$C$22:$P$22,0))</f>
        <v>1652.9633678895416</v>
      </c>
    </row>
    <row r="8" spans="2:16" x14ac:dyDescent="0.2">
      <c r="B8" s="84">
        <f t="shared" ref="B8:B20" si="0">B7+1</f>
        <v>2015</v>
      </c>
      <c r="C8" s="124">
        <f>INDEX([1]Profile!$C$22:$P$35,MATCH($B8,[1]Profile!$B$22:$B$35,0),MATCH(C$6,[1]Profile!$C$22:$P$22,0))</f>
        <v>-346.80136187951746</v>
      </c>
      <c r="D8" s="125"/>
      <c r="E8" s="126">
        <f>INDEX([1]Profile!$C$22:$P$35,MATCH($B8,[1]Profile!$B$22:$B$35,0),MATCH(E$6,[1]Profile!$C$22:$P$22,0))</f>
        <v>1870.820149252077</v>
      </c>
      <c r="F8" s="127">
        <f>INDEX([1]Profile!$C$22:$P$35,MATCH($B8,[1]Profile!$B$22:$B$35,0),MATCH(F$6,[1]Profile!$C$22:$P$22,0))</f>
        <v>1635.1626254853632</v>
      </c>
      <c r="G8" s="127">
        <f>INDEX([1]Profile!$C$22:$P$35,MATCH($B8,[1]Profile!$B$22:$B$35,0),MATCH(G$6,[1]Profile!$C$22:$P$22,0))</f>
        <v>-753.49854632231859</v>
      </c>
      <c r="H8" s="127">
        <f>INDEX([1]Profile!$C$22:$P$35,MATCH($B8,[1]Profile!$B$22:$B$35,0),MATCH(H$6,[1]Profile!$C$22:$P$22,0))</f>
        <v>-212.66498353527356</v>
      </c>
      <c r="I8" s="127">
        <f>INDEX([1]Profile!$C$22:$P$35,MATCH($B8,[1]Profile!$B$22:$B$35,0),MATCH(I$6,[1]Profile!$C$22:$P$22,0))</f>
        <v>-733.69376774099078</v>
      </c>
      <c r="J8" s="127">
        <f>INDEX([1]Profile!$C$22:$P$35,MATCH($B8,[1]Profile!$B$22:$B$35,0),MATCH(J$6,[1]Profile!$C$22:$P$22,0))</f>
        <v>-881.60455658101819</v>
      </c>
      <c r="K8" s="127">
        <f>INDEX([1]Profile!$C$22:$P$35,MATCH($B8,[1]Profile!$B$22:$B$35,0),MATCH(K$6,[1]Profile!$C$22:$P$22,0))</f>
        <v>-346.80136187951746</v>
      </c>
      <c r="L8" s="127">
        <f>INDEX([1]Profile!$C$22:$P$35,MATCH($B8,[1]Profile!$B$22:$B$35,0),MATCH(L$6,[1]Profile!$C$22:$P$22,0))</f>
        <v>-272.09879281138484</v>
      </c>
      <c r="M8" s="127">
        <f>INDEX([1]Profile!$C$22:$P$35,MATCH($B8,[1]Profile!$B$22:$B$35,0),MATCH(M$6,[1]Profile!$C$22:$P$22,0))</f>
        <v>255.38614712752747</v>
      </c>
      <c r="N8" s="127">
        <f>INDEX([1]Profile!$C$22:$P$35,MATCH($B8,[1]Profile!$B$22:$B$35,0),MATCH(N$6,[1]Profile!$C$22:$P$22,0))</f>
        <v>618.51206959294609</v>
      </c>
      <c r="O8" s="127">
        <f>INDEX([1]Profile!$C$22:$P$35,MATCH($B8,[1]Profile!$B$22:$B$35,0),MATCH(O$6,[1]Profile!$C$22:$P$22,0))</f>
        <v>1655.3471698745384</v>
      </c>
      <c r="P8" s="128">
        <f>INDEX([1]Profile!$C$22:$P$35,MATCH($B8,[1]Profile!$B$22:$B$35,0),MATCH(P$6,[1]Profile!$C$22:$P$22,0))</f>
        <v>1974.5595618652205</v>
      </c>
    </row>
    <row r="9" spans="2:16" x14ac:dyDescent="0.2">
      <c r="B9" s="84">
        <f t="shared" si="0"/>
        <v>2016</v>
      </c>
      <c r="C9" s="124">
        <f>INDEX([1]Profile!$C$22:$P$35,MATCH($B9,[1]Profile!$B$22:$B$35,0),MATCH(C$6,[1]Profile!$C$22:$P$22,0))</f>
        <v>-426.07310671642477</v>
      </c>
      <c r="D9" s="125"/>
      <c r="E9" s="126">
        <f>INDEX([1]Profile!$C$22:$P$35,MATCH($B9,[1]Profile!$B$22:$B$35,0),MATCH(E$6,[1]Profile!$C$22:$P$22,0))</f>
        <v>2065.2417583965398</v>
      </c>
      <c r="F9" s="127">
        <f>INDEX([1]Profile!$C$22:$P$35,MATCH($B9,[1]Profile!$B$22:$B$35,0),MATCH(F$6,[1]Profile!$C$22:$P$22,0))</f>
        <v>1853.1470638046837</v>
      </c>
      <c r="G9" s="127">
        <f>INDEX([1]Profile!$C$22:$P$35,MATCH($B9,[1]Profile!$B$22:$B$35,0),MATCH(G$6,[1]Profile!$C$22:$P$22,0))</f>
        <v>-925.289180224093</v>
      </c>
      <c r="H9" s="127">
        <f>INDEX([1]Profile!$C$22:$P$35,MATCH($B9,[1]Profile!$B$22:$B$35,0),MATCH(H$6,[1]Profile!$C$22:$P$22,0))</f>
        <v>-149.2697895436055</v>
      </c>
      <c r="I9" s="127">
        <f>INDEX([1]Profile!$C$22:$P$35,MATCH($B9,[1]Profile!$B$22:$B$35,0),MATCH(I$6,[1]Profile!$C$22:$P$22,0))</f>
        <v>-123.29907358614099</v>
      </c>
      <c r="J9" s="127">
        <f>INDEX([1]Profile!$C$22:$P$35,MATCH($B9,[1]Profile!$B$22:$B$35,0),MATCH(J$6,[1]Profile!$C$22:$P$22,0))</f>
        <v>-848.45789751727273</v>
      </c>
      <c r="K9" s="127">
        <f>INDEX([1]Profile!$C$22:$P$35,MATCH($B9,[1]Profile!$B$22:$B$35,0),MATCH(K$6,[1]Profile!$C$22:$P$22,0))</f>
        <v>-426.07310671642477</v>
      </c>
      <c r="L9" s="127">
        <f>INDEX([1]Profile!$C$22:$P$35,MATCH($B9,[1]Profile!$B$22:$B$35,0),MATCH(L$6,[1]Profile!$C$22:$P$22,0))</f>
        <v>-326.7896802605855</v>
      </c>
      <c r="M9" s="127">
        <f>INDEX([1]Profile!$C$22:$P$35,MATCH($B9,[1]Profile!$B$22:$B$35,0),MATCH(M$6,[1]Profile!$C$22:$P$22,0))</f>
        <v>136.23310558965289</v>
      </c>
      <c r="N9" s="127">
        <f>INDEX([1]Profile!$C$22:$P$35,MATCH($B9,[1]Profile!$B$22:$B$35,0),MATCH(N$6,[1]Profile!$C$22:$P$22,0))</f>
        <v>372.52012620568235</v>
      </c>
      <c r="O9" s="127">
        <f>INDEX([1]Profile!$C$22:$P$35,MATCH($B9,[1]Profile!$B$22:$B$35,0),MATCH(O$6,[1]Profile!$C$22:$P$22,0))</f>
        <v>1440.8054917350937</v>
      </c>
      <c r="P9" s="128">
        <f>INDEX([1]Profile!$C$22:$P$35,MATCH($B9,[1]Profile!$B$22:$B$35,0),MATCH(P$6,[1]Profile!$C$22:$P$22,0))</f>
        <v>1816.3934904691873</v>
      </c>
    </row>
    <row r="10" spans="2:16" x14ac:dyDescent="0.2">
      <c r="B10" s="84">
        <f t="shared" si="0"/>
        <v>2017</v>
      </c>
      <c r="C10" s="124">
        <f>INDEX([1]Profile!$C$22:$P$35,MATCH($B10,[1]Profile!$B$22:$B$35,0),MATCH(C$6,[1]Profile!$C$22:$P$22,0))</f>
        <v>-488.96348407154727</v>
      </c>
      <c r="D10" s="125"/>
      <c r="E10" s="126">
        <f>INDEX([1]Profile!$C$22:$P$35,MATCH($B10,[1]Profile!$B$22:$B$35,0),MATCH(E$6,[1]Profile!$C$22:$P$22,0))</f>
        <v>1987.5467879289845</v>
      </c>
      <c r="F10" s="127">
        <f>INDEX([1]Profile!$C$22:$P$35,MATCH($B10,[1]Profile!$B$22:$B$35,0),MATCH(F$6,[1]Profile!$C$22:$P$22,0))</f>
        <v>2193.9353072038366</v>
      </c>
      <c r="G10" s="127">
        <f>INDEX([1]Profile!$C$22:$P$35,MATCH($B10,[1]Profile!$B$22:$B$35,0),MATCH(G$6,[1]Profile!$C$22:$P$22,0))</f>
        <v>-1008.0256133040452</v>
      </c>
      <c r="H10" s="127">
        <f>INDEX([1]Profile!$C$22:$P$35,MATCH($B10,[1]Profile!$B$22:$B$35,0),MATCH(H$6,[1]Profile!$C$22:$P$22,0))</f>
        <v>213.27374518868191</v>
      </c>
      <c r="I10" s="127">
        <f>INDEX([1]Profile!$C$22:$P$35,MATCH($B10,[1]Profile!$B$22:$B$35,0),MATCH(I$6,[1]Profile!$C$22:$P$22,0))</f>
        <v>-166.67899845001813</v>
      </c>
      <c r="J10" s="127">
        <f>INDEX([1]Profile!$C$22:$P$35,MATCH($B10,[1]Profile!$B$22:$B$35,0),MATCH(J$6,[1]Profile!$C$22:$P$22,0))</f>
        <v>-810.94279772446373</v>
      </c>
      <c r="K10" s="127">
        <f>INDEX([1]Profile!$C$22:$P$35,MATCH($B10,[1]Profile!$B$22:$B$35,0),MATCH(K$6,[1]Profile!$C$22:$P$22,0))</f>
        <v>-488.96348407154727</v>
      </c>
      <c r="L10" s="127">
        <f>INDEX([1]Profile!$C$22:$P$35,MATCH($B10,[1]Profile!$B$22:$B$35,0),MATCH(L$6,[1]Profile!$C$22:$P$22,0))</f>
        <v>-406.14715680080451</v>
      </c>
      <c r="M10" s="127">
        <f>INDEX([1]Profile!$C$22:$P$35,MATCH($B10,[1]Profile!$B$22:$B$35,0),MATCH(M$6,[1]Profile!$C$22:$P$22,0))</f>
        <v>-527.72646024406845</v>
      </c>
      <c r="N10" s="127">
        <f>INDEX([1]Profile!$C$22:$P$35,MATCH($B10,[1]Profile!$B$22:$B$35,0),MATCH(N$6,[1]Profile!$C$22:$P$22,0))</f>
        <v>369.4845970143611</v>
      </c>
      <c r="O10" s="127">
        <f>INDEX([1]Profile!$C$22:$P$35,MATCH($B10,[1]Profile!$B$22:$B$35,0),MATCH(O$6,[1]Profile!$C$22:$P$22,0))</f>
        <v>1385.9724031277292</v>
      </c>
      <c r="P10" s="128">
        <f>INDEX([1]Profile!$C$22:$P$35,MATCH($B10,[1]Profile!$B$22:$B$35,0),MATCH(P$6,[1]Profile!$C$22:$P$22,0))</f>
        <v>1754.4323864283945</v>
      </c>
    </row>
    <row r="11" spans="2:16" x14ac:dyDescent="0.2">
      <c r="B11" s="84">
        <f t="shared" si="0"/>
        <v>2018</v>
      </c>
      <c r="C11" s="124">
        <f>INDEX([1]Profile!$C$22:$P$35,MATCH($B11,[1]Profile!$B$22:$B$35,0),MATCH(C$6,[1]Profile!$C$22:$P$22,0))</f>
        <v>-576.63063225949668</v>
      </c>
      <c r="D11" s="125"/>
      <c r="E11" s="126">
        <f>INDEX([1]Profile!$C$22:$P$35,MATCH($B11,[1]Profile!$B$22:$B$35,0),MATCH(E$6,[1]Profile!$C$22:$P$22,0))</f>
        <v>1928.4803618129986</v>
      </c>
      <c r="F11" s="127">
        <f>INDEX([1]Profile!$C$22:$P$35,MATCH($B11,[1]Profile!$B$22:$B$35,0),MATCH(F$6,[1]Profile!$C$22:$P$22,0))</f>
        <v>2078.6824925305218</v>
      </c>
      <c r="G11" s="127">
        <f>INDEX([1]Profile!$C$22:$P$35,MATCH($B11,[1]Profile!$B$22:$B$35,0),MATCH(G$6,[1]Profile!$C$22:$P$22,0))</f>
        <v>-787.42778992033504</v>
      </c>
      <c r="H11" s="127">
        <f>INDEX([1]Profile!$C$22:$P$35,MATCH($B11,[1]Profile!$B$22:$B$35,0),MATCH(H$6,[1]Profile!$C$22:$P$22,0))</f>
        <v>-402.35172194156712</v>
      </c>
      <c r="I11" s="127">
        <f>INDEX([1]Profile!$C$22:$P$35,MATCH($B11,[1]Profile!$B$22:$B$35,0),MATCH(I$6,[1]Profile!$C$22:$P$22,0))</f>
        <v>-875.00280189791579</v>
      </c>
      <c r="J11" s="127">
        <f>INDEX([1]Profile!$C$22:$P$35,MATCH($B11,[1]Profile!$B$22:$B$35,0),MATCH(J$6,[1]Profile!$C$22:$P$22,0))</f>
        <v>-954.75580603593539</v>
      </c>
      <c r="K11" s="127">
        <f>INDEX([1]Profile!$C$22:$P$35,MATCH($B11,[1]Profile!$B$22:$B$35,0),MATCH(K$6,[1]Profile!$C$22:$P$22,0))</f>
        <v>-576.63063225949668</v>
      </c>
      <c r="L11" s="127">
        <f>INDEX([1]Profile!$C$22:$P$35,MATCH($B11,[1]Profile!$B$22:$B$35,0),MATCH(L$6,[1]Profile!$C$22:$P$22,0))</f>
        <v>-452.94441624204109</v>
      </c>
      <c r="M11" s="127">
        <f>INDEX([1]Profile!$C$22:$P$35,MATCH($B11,[1]Profile!$B$22:$B$35,0),MATCH(M$6,[1]Profile!$C$22:$P$22,0))</f>
        <v>-112.14274173848321</v>
      </c>
      <c r="N11" s="127">
        <f>INDEX([1]Profile!$C$22:$P$35,MATCH($B11,[1]Profile!$B$22:$B$35,0),MATCH(N$6,[1]Profile!$C$22:$P$22,0))</f>
        <v>732.22952161979197</v>
      </c>
      <c r="O11" s="127">
        <f>INDEX([1]Profile!$C$22:$P$35,MATCH($B11,[1]Profile!$B$22:$B$35,0),MATCH(O$6,[1]Profile!$C$22:$P$22,0))</f>
        <v>1190.2156947044921</v>
      </c>
      <c r="P11" s="128">
        <f>INDEX([1]Profile!$C$22:$P$35,MATCH($B11,[1]Profile!$B$22:$B$35,0),MATCH(P$6,[1]Profile!$C$22:$P$22,0))</f>
        <v>1614.9790141619667</v>
      </c>
    </row>
    <row r="12" spans="2:16" x14ac:dyDescent="0.2">
      <c r="B12" s="84">
        <f t="shared" si="0"/>
        <v>2019</v>
      </c>
      <c r="C12" s="124">
        <f>INDEX([1]Profile!$C$22:$P$35,MATCH($B12,[1]Profile!$B$22:$B$35,0),MATCH(C$6,[1]Profile!$C$22:$P$22,0))</f>
        <v>-687.31638770250561</v>
      </c>
      <c r="D12" s="125"/>
      <c r="E12" s="126">
        <f>INDEX([1]Profile!$C$22:$P$35,MATCH($B12,[1]Profile!$B$22:$B$35,0),MATCH(E$6,[1]Profile!$C$22:$P$22,0))</f>
        <v>1838.5977319730791</v>
      </c>
      <c r="F12" s="127">
        <f>INDEX([1]Profile!$C$22:$P$35,MATCH($B12,[1]Profile!$B$22:$B$35,0),MATCH(F$6,[1]Profile!$C$22:$P$22,0))</f>
        <v>2033.494224965576</v>
      </c>
      <c r="G12" s="127">
        <f>INDEX([1]Profile!$C$22:$P$35,MATCH($B12,[1]Profile!$B$22:$B$35,0),MATCH(G$6,[1]Profile!$C$22:$P$22,0))</f>
        <v>-893.3919168487671</v>
      </c>
      <c r="H12" s="127">
        <f>INDEX([1]Profile!$C$22:$P$35,MATCH($B12,[1]Profile!$B$22:$B$35,0),MATCH(H$6,[1]Profile!$C$22:$P$22,0))</f>
        <v>-513.73906919291267</v>
      </c>
      <c r="I12" s="127">
        <f>INDEX([1]Profile!$C$22:$P$35,MATCH($B12,[1]Profile!$B$22:$B$35,0),MATCH(I$6,[1]Profile!$C$22:$P$22,0))</f>
        <v>-989.24703227524003</v>
      </c>
      <c r="J12" s="127">
        <f>INDEX([1]Profile!$C$22:$P$35,MATCH($B12,[1]Profile!$B$22:$B$35,0),MATCH(J$6,[1]Profile!$C$22:$P$22,0))</f>
        <v>-1049.5156586482385</v>
      </c>
      <c r="K12" s="127">
        <f>INDEX([1]Profile!$C$22:$P$35,MATCH($B12,[1]Profile!$B$22:$B$35,0),MATCH(K$6,[1]Profile!$C$22:$P$22,0))</f>
        <v>-687.31638770250561</v>
      </c>
      <c r="L12" s="127">
        <f>INDEX([1]Profile!$C$22:$P$35,MATCH($B12,[1]Profile!$B$22:$B$35,0),MATCH(L$6,[1]Profile!$C$22:$P$22,0))</f>
        <v>-615.82356881537191</v>
      </c>
      <c r="M12" s="127">
        <f>INDEX([1]Profile!$C$22:$P$35,MATCH($B12,[1]Profile!$B$22:$B$35,0),MATCH(M$6,[1]Profile!$C$22:$P$22,0))</f>
        <v>-217.42791584179179</v>
      </c>
      <c r="N12" s="127">
        <f>INDEX([1]Profile!$C$22:$P$35,MATCH($B12,[1]Profile!$B$22:$B$35,0),MATCH(N$6,[1]Profile!$C$22:$P$22,0))</f>
        <v>617.31217924279849</v>
      </c>
      <c r="O12" s="127">
        <f>INDEX([1]Profile!$C$22:$P$35,MATCH($B12,[1]Profile!$B$22:$B$35,0),MATCH(O$6,[1]Profile!$C$22:$P$22,0))</f>
        <v>1182.5842217971672</v>
      </c>
      <c r="P12" s="128">
        <f>INDEX([1]Profile!$C$22:$P$35,MATCH($B12,[1]Profile!$B$22:$B$35,0),MATCH(P$6,[1]Profile!$C$22:$P$22,0))</f>
        <v>1595.5054299429248</v>
      </c>
    </row>
    <row r="13" spans="2:16" x14ac:dyDescent="0.2">
      <c r="B13" s="84">
        <f t="shared" si="0"/>
        <v>2020</v>
      </c>
      <c r="C13" s="124">
        <f>INDEX([1]Profile!$C$22:$P$35,MATCH($B13,[1]Profile!$B$22:$B$35,0),MATCH(C$6,[1]Profile!$C$22:$P$22,0))</f>
        <v>-895.05505800885226</v>
      </c>
      <c r="D13" s="125"/>
      <c r="E13" s="126">
        <f>INDEX([1]Profile!$C$22:$P$35,MATCH($B13,[1]Profile!$B$22:$B$35,0),MATCH(E$6,[1]Profile!$C$22:$P$22,0))</f>
        <v>1680.4083911103005</v>
      </c>
      <c r="F13" s="127">
        <f>INDEX([1]Profile!$C$22:$P$35,MATCH($B13,[1]Profile!$B$22:$B$35,0),MATCH(F$6,[1]Profile!$C$22:$P$22,0))</f>
        <v>1943.7873580472128</v>
      </c>
      <c r="G13" s="127">
        <f>INDEX([1]Profile!$C$22:$P$35,MATCH($B13,[1]Profile!$B$22:$B$35,0),MATCH(G$6,[1]Profile!$C$22:$P$22,0))</f>
        <v>-1166.0930331315051</v>
      </c>
      <c r="H13" s="127">
        <f>INDEX([1]Profile!$C$22:$P$35,MATCH($B13,[1]Profile!$B$22:$B$35,0),MATCH(H$6,[1]Profile!$C$22:$P$22,0))</f>
        <v>-383.07336879938532</v>
      </c>
      <c r="I13" s="127">
        <f>INDEX([1]Profile!$C$22:$P$35,MATCH($B13,[1]Profile!$B$22:$B$35,0),MATCH(I$6,[1]Profile!$C$22:$P$22,0))</f>
        <v>-758.12362530887299</v>
      </c>
      <c r="J13" s="127">
        <f>INDEX([1]Profile!$C$22:$P$35,MATCH($B13,[1]Profile!$B$22:$B$35,0),MATCH(J$6,[1]Profile!$C$22:$P$22,0))</f>
        <v>-1263.9801109151558</v>
      </c>
      <c r="K13" s="127">
        <f>INDEX([1]Profile!$C$22:$P$35,MATCH($B13,[1]Profile!$B$22:$B$35,0),MATCH(K$6,[1]Profile!$C$22:$P$22,0))</f>
        <v>-895.05505800885226</v>
      </c>
      <c r="L13" s="127">
        <f>INDEX([1]Profile!$C$22:$P$35,MATCH($B13,[1]Profile!$B$22:$B$35,0),MATCH(L$6,[1]Profile!$C$22:$P$22,0))</f>
        <v>-842.95053063206319</v>
      </c>
      <c r="M13" s="127">
        <f>INDEX([1]Profile!$C$22:$P$35,MATCH($B13,[1]Profile!$B$22:$B$35,0),MATCH(M$6,[1]Profile!$C$22:$P$22,0))</f>
        <v>-299.00950878719311</v>
      </c>
      <c r="N13" s="127">
        <f>INDEX([1]Profile!$C$22:$P$35,MATCH($B13,[1]Profile!$B$22:$B$35,0),MATCH(N$6,[1]Profile!$C$22:$P$22,0))</f>
        <v>186.98748758732671</v>
      </c>
      <c r="O13" s="127">
        <f>INDEX([1]Profile!$C$22:$P$35,MATCH($B13,[1]Profile!$B$22:$B$35,0),MATCH(O$6,[1]Profile!$C$22:$P$22,0))</f>
        <v>1205.045643649257</v>
      </c>
      <c r="P13" s="128">
        <f>INDEX([1]Profile!$C$22:$P$35,MATCH($B13,[1]Profile!$B$22:$B$35,0),MATCH(P$6,[1]Profile!$C$22:$P$22,0))</f>
        <v>1509.752439013514</v>
      </c>
    </row>
    <row r="14" spans="2:16" x14ac:dyDescent="0.2">
      <c r="B14" s="84">
        <f t="shared" si="0"/>
        <v>2021</v>
      </c>
      <c r="C14" s="124">
        <f>INDEX([1]Profile!$C$22:$P$35,MATCH($B14,[1]Profile!$B$22:$B$35,0),MATCH(C$6,[1]Profile!$C$22:$P$22,0))</f>
        <v>-694.56808507671212</v>
      </c>
      <c r="D14" s="125"/>
      <c r="E14" s="126">
        <f>INDEX([1]Profile!$C$22:$P$35,MATCH($B14,[1]Profile!$B$22:$B$35,0),MATCH(E$6,[1]Profile!$C$22:$P$22,0))</f>
        <v>1441.2567689298282</v>
      </c>
      <c r="F14" s="127">
        <f>INDEX([1]Profile!$C$22:$P$35,MATCH($B14,[1]Profile!$B$22:$B$35,0),MATCH(F$6,[1]Profile!$C$22:$P$22,0))</f>
        <v>1665.6086817392991</v>
      </c>
      <c r="G14" s="127">
        <f>INDEX([1]Profile!$C$22:$P$35,MATCH($B14,[1]Profile!$B$22:$B$35,0),MATCH(G$6,[1]Profile!$C$22:$P$22,0))</f>
        <v>-1387.9365133263573</v>
      </c>
      <c r="H14" s="127">
        <f>INDEX([1]Profile!$C$22:$P$35,MATCH($B14,[1]Profile!$B$22:$B$35,0),MATCH(H$6,[1]Profile!$C$22:$P$22,0))</f>
        <v>-649.91972747254135</v>
      </c>
      <c r="I14" s="127">
        <f>INDEX([1]Profile!$C$22:$P$35,MATCH($B14,[1]Profile!$B$22:$B$35,0),MATCH(I$6,[1]Profile!$C$22:$P$22,0))</f>
        <v>-218.33034116511067</v>
      </c>
      <c r="J14" s="127">
        <f>INDEX([1]Profile!$C$22:$P$35,MATCH($B14,[1]Profile!$B$22:$B$35,0),MATCH(J$6,[1]Profile!$C$22:$P$22,0))</f>
        <v>-1112.0027752878489</v>
      </c>
      <c r="K14" s="127">
        <f>INDEX([1]Profile!$C$22:$P$35,MATCH($B14,[1]Profile!$B$22:$B$35,0),MATCH(K$6,[1]Profile!$C$22:$P$22,0))</f>
        <v>-694.56808507671212</v>
      </c>
      <c r="L14" s="127">
        <f>INDEX([1]Profile!$C$22:$P$35,MATCH($B14,[1]Profile!$B$22:$B$35,0),MATCH(L$6,[1]Profile!$C$22:$P$22,0))</f>
        <v>-664.95481492836257</v>
      </c>
      <c r="M14" s="127">
        <f>INDEX([1]Profile!$C$22:$P$35,MATCH($B14,[1]Profile!$B$22:$B$35,0),MATCH(M$6,[1]Profile!$C$22:$P$22,0))</f>
        <v>-109.14013644646786</v>
      </c>
      <c r="N14" s="127">
        <f>INDEX([1]Profile!$C$22:$P$35,MATCH($B14,[1]Profile!$B$22:$B$35,0),MATCH(N$6,[1]Profile!$C$22:$P$22,0))</f>
        <v>-572.61671188244532</v>
      </c>
      <c r="O14" s="127">
        <f>INDEX([1]Profile!$C$22:$P$35,MATCH($B14,[1]Profile!$B$22:$B$35,0),MATCH(O$6,[1]Profile!$C$22:$P$22,0))</f>
        <v>396.58906508409871</v>
      </c>
      <c r="P14" s="128">
        <f>INDEX([1]Profile!$C$22:$P$35,MATCH($B14,[1]Profile!$B$22:$B$35,0),MATCH(P$6,[1]Profile!$C$22:$P$22,0))</f>
        <v>738.46150147560127</v>
      </c>
    </row>
    <row r="15" spans="2:16" x14ac:dyDescent="0.2">
      <c r="B15" s="84">
        <f t="shared" si="0"/>
        <v>2022</v>
      </c>
      <c r="C15" s="124">
        <f>INDEX([1]Profile!$C$22:$P$35,MATCH($B15,[1]Profile!$B$22:$B$35,0),MATCH(C$6,[1]Profile!$C$22:$P$22,0))</f>
        <v>-810.57498433074215</v>
      </c>
      <c r="D15" s="125"/>
      <c r="E15" s="126">
        <f>INDEX([1]Profile!$C$22:$P$35,MATCH($B15,[1]Profile!$B$22:$B$35,0),MATCH(E$6,[1]Profile!$C$22:$P$22,0))</f>
        <v>817.84663314212207</v>
      </c>
      <c r="F15" s="127">
        <f>INDEX([1]Profile!$C$22:$P$35,MATCH($B15,[1]Profile!$B$22:$B$35,0),MATCH(F$6,[1]Profile!$C$22:$P$22,0))</f>
        <v>1092.7298915431215</v>
      </c>
      <c r="G15" s="127">
        <f>INDEX([1]Profile!$C$22:$P$35,MATCH($B15,[1]Profile!$B$22:$B$35,0),MATCH(G$6,[1]Profile!$C$22:$P$22,0))</f>
        <v>-1569.1989656828498</v>
      </c>
      <c r="H15" s="127">
        <f>INDEX([1]Profile!$C$22:$P$35,MATCH($B15,[1]Profile!$B$22:$B$35,0),MATCH(H$6,[1]Profile!$C$22:$P$22,0))</f>
        <v>-742.42457277057304</v>
      </c>
      <c r="I15" s="127">
        <f>INDEX([1]Profile!$C$22:$P$35,MATCH($B15,[1]Profile!$B$22:$B$35,0),MATCH(I$6,[1]Profile!$C$22:$P$22,0))</f>
        <v>-235.29737274475661</v>
      </c>
      <c r="J15" s="127">
        <f>INDEX([1]Profile!$C$22:$P$35,MATCH($B15,[1]Profile!$B$22:$B$35,0),MATCH(J$6,[1]Profile!$C$22:$P$22,0))</f>
        <v>-1185.7842575623695</v>
      </c>
      <c r="K15" s="127">
        <f>INDEX([1]Profile!$C$22:$P$35,MATCH($B15,[1]Profile!$B$22:$B$35,0),MATCH(K$6,[1]Profile!$C$22:$P$22,0))</f>
        <v>-810.57498433074215</v>
      </c>
      <c r="L15" s="127">
        <f>INDEX([1]Profile!$C$22:$P$35,MATCH($B15,[1]Profile!$B$22:$B$35,0),MATCH(L$6,[1]Profile!$C$22:$P$22,0))</f>
        <v>-716.94622855237571</v>
      </c>
      <c r="M15" s="127">
        <f>INDEX([1]Profile!$C$22:$P$35,MATCH($B15,[1]Profile!$B$22:$B$35,0),MATCH(M$6,[1]Profile!$C$22:$P$22,0))</f>
        <v>-260.70312796338715</v>
      </c>
      <c r="N15" s="127">
        <f>INDEX([1]Profile!$C$22:$P$35,MATCH($B15,[1]Profile!$B$22:$B$35,0),MATCH(N$6,[1]Profile!$C$22:$P$22,0))</f>
        <v>-813.61467141445905</v>
      </c>
      <c r="O15" s="127">
        <f>INDEX([1]Profile!$C$22:$P$35,MATCH($B15,[1]Profile!$B$22:$B$35,0),MATCH(O$6,[1]Profile!$C$22:$P$22,0))</f>
        <v>318.09964086294588</v>
      </c>
      <c r="P15" s="128">
        <f>INDEX([1]Profile!$C$22:$P$35,MATCH($B15,[1]Profile!$B$22:$B$35,0),MATCH(P$6,[1]Profile!$C$22:$P$22,0))</f>
        <v>633.82385326104111</v>
      </c>
    </row>
    <row r="16" spans="2:16" x14ac:dyDescent="0.2">
      <c r="B16" s="84">
        <f t="shared" si="0"/>
        <v>2023</v>
      </c>
      <c r="C16" s="124">
        <f>INDEX([1]Profile!$C$22:$P$35,MATCH($B16,[1]Profile!$B$22:$B$35,0),MATCH(C$6,[1]Profile!$C$22:$P$22,0))</f>
        <v>-810.57498433074215</v>
      </c>
      <c r="D16" s="125"/>
      <c r="E16" s="126">
        <f>INDEX([1]Profile!$C$22:$P$35,MATCH($B16,[1]Profile!$B$22:$B$35,0),MATCH(E$6,[1]Profile!$C$22:$P$22,0))</f>
        <v>756.291171191991</v>
      </c>
      <c r="F16" s="127">
        <f>INDEX([1]Profile!$C$22:$P$35,MATCH($B16,[1]Profile!$B$22:$B$35,0),MATCH(F$6,[1]Profile!$C$22:$P$22,0))</f>
        <v>1060.8482586227512</v>
      </c>
      <c r="G16" s="127">
        <f>INDEX([1]Profile!$C$22:$P$35,MATCH($B16,[1]Profile!$B$22:$B$35,0),MATCH(G$6,[1]Profile!$C$22:$P$22,0))</f>
        <v>-1445.5939968165089</v>
      </c>
      <c r="H16" s="127">
        <f>INDEX([1]Profile!$C$22:$P$35,MATCH($B16,[1]Profile!$B$22:$B$35,0),MATCH(H$6,[1]Profile!$C$22:$P$22,0))</f>
        <v>-1003.4320869273333</v>
      </c>
      <c r="I16" s="127">
        <f>INDEX([1]Profile!$C$22:$P$35,MATCH($B16,[1]Profile!$B$22:$B$35,0),MATCH(I$6,[1]Profile!$C$22:$P$22,0))</f>
        <v>-951.82195091371852</v>
      </c>
      <c r="J16" s="127">
        <f>INDEX([1]Profile!$C$22:$P$35,MATCH($B16,[1]Profile!$B$22:$B$35,0),MATCH(J$6,[1]Profile!$C$22:$P$22,0))</f>
        <v>-1293.6101847624109</v>
      </c>
      <c r="K16" s="127">
        <f>INDEX([1]Profile!$C$22:$P$35,MATCH($B16,[1]Profile!$B$22:$B$35,0),MATCH(K$6,[1]Profile!$C$22:$P$22,0))</f>
        <v>-906.62905298991438</v>
      </c>
      <c r="L16" s="127">
        <f>INDEX([1]Profile!$C$22:$P$35,MATCH($B16,[1]Profile!$B$22:$B$35,0),MATCH(L$6,[1]Profile!$C$22:$P$22,0))</f>
        <v>-815.72309372340158</v>
      </c>
      <c r="M16" s="127">
        <f>INDEX([1]Profile!$C$22:$P$35,MATCH($B16,[1]Profile!$B$22:$B$35,0),MATCH(M$6,[1]Profile!$C$22:$P$22,0))</f>
        <v>-387.84475195130807</v>
      </c>
      <c r="N16" s="127">
        <f>INDEX([1]Profile!$C$22:$P$35,MATCH($B16,[1]Profile!$B$22:$B$35,0),MATCH(N$6,[1]Profile!$C$22:$P$22,0))</f>
        <v>-408.75074988240141</v>
      </c>
      <c r="O16" s="127">
        <f>INDEX([1]Profile!$C$22:$P$35,MATCH($B16,[1]Profile!$B$22:$B$35,0),MATCH(O$6,[1]Profile!$C$22:$P$22,0))</f>
        <v>141.08453694690786</v>
      </c>
      <c r="P16" s="128">
        <f>INDEX([1]Profile!$C$22:$P$35,MATCH($B16,[1]Profile!$B$22:$B$35,0),MATCH(P$6,[1]Profile!$C$22:$P$22,0))</f>
        <v>522.90323704032892</v>
      </c>
    </row>
    <row r="17" spans="2:18" x14ac:dyDescent="0.2">
      <c r="B17" s="84">
        <f t="shared" si="0"/>
        <v>2024</v>
      </c>
      <c r="C17" s="124">
        <f>INDEX([1]Profile!$C$22:$P$35,MATCH($B17,[1]Profile!$B$22:$B$35,0),MATCH(C$6,[1]Profile!$C$22:$P$22,0))</f>
        <v>-948.11775018015362</v>
      </c>
      <c r="D17" s="125"/>
      <c r="E17" s="126">
        <f>INDEX([1]Profile!$C$22:$P$35,MATCH($B17,[1]Profile!$B$22:$B$35,0),MATCH(E$6,[1]Profile!$C$22:$P$22,0))</f>
        <v>707.52441546826105</v>
      </c>
      <c r="F17" s="127">
        <f>INDEX([1]Profile!$C$22:$P$35,MATCH($B17,[1]Profile!$B$22:$B$35,0),MATCH(F$6,[1]Profile!$C$22:$P$22,0))</f>
        <v>970.15838290869488</v>
      </c>
      <c r="G17" s="127">
        <f>INDEX([1]Profile!$C$22:$P$35,MATCH($B17,[1]Profile!$B$22:$B$35,0),MATCH(G$6,[1]Profile!$C$22:$P$22,0))</f>
        <v>-1453.4924648103083</v>
      </c>
      <c r="H17" s="127">
        <f>INDEX([1]Profile!$C$22:$P$35,MATCH($B17,[1]Profile!$B$22:$B$35,0),MATCH(H$6,[1]Profile!$C$22:$P$22,0))</f>
        <v>-1052.4051617328498</v>
      </c>
      <c r="I17" s="127">
        <f>INDEX([1]Profile!$C$22:$P$35,MATCH($B17,[1]Profile!$B$22:$B$35,0),MATCH(I$6,[1]Profile!$C$22:$P$22,0))</f>
        <v>-1043.3621107869167</v>
      </c>
      <c r="J17" s="127">
        <f>INDEX([1]Profile!$C$22:$P$35,MATCH($B17,[1]Profile!$B$22:$B$35,0),MATCH(J$6,[1]Profile!$C$22:$P$22,0))</f>
        <v>-1335.7960024929755</v>
      </c>
      <c r="K17" s="127">
        <f>INDEX([1]Profile!$C$22:$P$35,MATCH($B17,[1]Profile!$B$22:$B$35,0),MATCH(K$6,[1]Profile!$C$22:$P$22,0))</f>
        <v>-948.11775018015362</v>
      </c>
      <c r="L17" s="127">
        <f>INDEX([1]Profile!$C$22:$P$35,MATCH($B17,[1]Profile!$B$22:$B$35,0),MATCH(L$6,[1]Profile!$C$22:$P$22,0))</f>
        <v>-866.1757451762237</v>
      </c>
      <c r="M17" s="127">
        <f>INDEX([1]Profile!$C$22:$P$35,MATCH($B17,[1]Profile!$B$22:$B$35,0),MATCH(M$6,[1]Profile!$C$22:$P$22,0))</f>
        <v>-446.06993742156158</v>
      </c>
      <c r="N17" s="127">
        <f>INDEX([1]Profile!$C$22:$P$35,MATCH($B17,[1]Profile!$B$22:$B$35,0),MATCH(N$6,[1]Profile!$C$22:$P$22,0))</f>
        <v>-610.33004054132232</v>
      </c>
      <c r="O17" s="127">
        <f>INDEX([1]Profile!$C$22:$P$35,MATCH($B17,[1]Profile!$B$22:$B$35,0),MATCH(O$6,[1]Profile!$C$22:$P$22,0))</f>
        <v>38.271796454522928</v>
      </c>
      <c r="P17" s="128">
        <f>INDEX([1]Profile!$C$22:$P$35,MATCH($B17,[1]Profile!$B$22:$B$35,0),MATCH(P$6,[1]Profile!$C$22:$P$22,0))</f>
        <v>441.27540379205709</v>
      </c>
    </row>
    <row r="18" spans="2:18" x14ac:dyDescent="0.2">
      <c r="B18" s="84">
        <f t="shared" si="0"/>
        <v>2025</v>
      </c>
      <c r="C18" s="124">
        <f>INDEX([1]Profile!$C$22:$P$35,MATCH($B18,[1]Profile!$B$22:$B$35,0),MATCH(C$6,[1]Profile!$C$22:$P$22,0))</f>
        <v>-1152.1304580518627</v>
      </c>
      <c r="D18" s="125"/>
      <c r="E18" s="126">
        <f>INDEX([1]Profile!$C$22:$P$35,MATCH($B18,[1]Profile!$B$22:$B$35,0),MATCH(E$6,[1]Profile!$C$22:$P$22,0))</f>
        <v>496.44455740088239</v>
      </c>
      <c r="F18" s="127">
        <f>INDEX([1]Profile!$C$22:$P$35,MATCH($B18,[1]Profile!$B$22:$B$35,0),MATCH(F$6,[1]Profile!$C$22:$P$22,0))</f>
        <v>800.5366163637367</v>
      </c>
      <c r="G18" s="127">
        <f>INDEX([1]Profile!$C$22:$P$35,MATCH($B18,[1]Profile!$B$22:$B$35,0),MATCH(G$6,[1]Profile!$C$22:$P$22,0))</f>
        <v>-1621.7569756014063</v>
      </c>
      <c r="H18" s="127">
        <f>INDEX([1]Profile!$C$22:$P$35,MATCH($B18,[1]Profile!$B$22:$B$35,0),MATCH(H$6,[1]Profile!$C$22:$P$22,0))</f>
        <v>-1052.4367744377432</v>
      </c>
      <c r="I18" s="127">
        <f>INDEX([1]Profile!$C$22:$P$35,MATCH($B18,[1]Profile!$B$22:$B$35,0),MATCH(I$6,[1]Profile!$C$22:$P$22,0))</f>
        <v>-1262.6180846573618</v>
      </c>
      <c r="J18" s="127">
        <f>INDEX([1]Profile!$C$22:$P$35,MATCH($B18,[1]Profile!$B$22:$B$35,0),MATCH(J$6,[1]Profile!$C$22:$P$22,0))</f>
        <v>-1565.9632528961008</v>
      </c>
      <c r="K18" s="127">
        <f>INDEX([1]Profile!$C$22:$P$35,MATCH($B18,[1]Profile!$B$22:$B$35,0),MATCH(K$6,[1]Profile!$C$22:$P$22,0))</f>
        <v>-1152.1304580518627</v>
      </c>
      <c r="L18" s="127">
        <f>INDEX([1]Profile!$C$22:$P$35,MATCH($B18,[1]Profile!$B$22:$B$35,0),MATCH(L$6,[1]Profile!$C$22:$P$22,0))</f>
        <v>-1075.7166126163252</v>
      </c>
      <c r="M18" s="127">
        <f>INDEX([1]Profile!$C$22:$P$35,MATCH($B18,[1]Profile!$B$22:$B$35,0),MATCH(M$6,[1]Profile!$C$22:$P$22,0))</f>
        <v>-485.77327855473703</v>
      </c>
      <c r="N18" s="127">
        <f>INDEX([1]Profile!$C$22:$P$35,MATCH($B18,[1]Profile!$B$22:$B$35,0),MATCH(N$6,[1]Profile!$C$22:$P$22,0))</f>
        <v>-597.48596216487306</v>
      </c>
      <c r="O18" s="127">
        <f>INDEX([1]Profile!$C$22:$P$35,MATCH($B18,[1]Profile!$B$22:$B$35,0),MATCH(O$6,[1]Profile!$C$22:$P$22,0))</f>
        <v>-86.413007756222271</v>
      </c>
      <c r="P18" s="128">
        <f>INDEX([1]Profile!$C$22:$P$35,MATCH($B18,[1]Profile!$B$22:$B$35,0),MATCH(P$6,[1]Profile!$C$22:$P$22,0))</f>
        <v>338.51801421067177</v>
      </c>
    </row>
    <row r="19" spans="2:18" x14ac:dyDescent="0.2">
      <c r="B19" s="84">
        <f t="shared" si="0"/>
        <v>2026</v>
      </c>
      <c r="C19" s="124">
        <f>INDEX([1]Profile!$C$22:$P$35,MATCH($B19,[1]Profile!$B$22:$B$35,0),MATCH(C$6,[1]Profile!$C$22:$P$22,0))</f>
        <v>-1250.8316576038931</v>
      </c>
      <c r="D19" s="125"/>
      <c r="E19" s="126">
        <f>INDEX([1]Profile!$C$22:$P$35,MATCH($B19,[1]Profile!$B$22:$B$35,0),MATCH(E$6,[1]Profile!$C$22:$P$22,0))</f>
        <v>430.45011420708556</v>
      </c>
      <c r="F19" s="127">
        <f>INDEX([1]Profile!$C$22:$P$35,MATCH($B19,[1]Profile!$B$22:$B$35,0),MATCH(F$6,[1]Profile!$C$22:$P$22,0))</f>
        <v>709.99243007247514</v>
      </c>
      <c r="G19" s="127">
        <f>INDEX([1]Profile!$C$22:$P$35,MATCH($B19,[1]Profile!$B$22:$B$35,0),MATCH(G$6,[1]Profile!$C$22:$P$22,0))</f>
        <v>-1948.9202462503074</v>
      </c>
      <c r="H19" s="127">
        <f>INDEX([1]Profile!$C$22:$P$35,MATCH($B19,[1]Profile!$B$22:$B$35,0),MATCH(H$6,[1]Profile!$C$22:$P$22,0))</f>
        <v>-1132.1348503299255</v>
      </c>
      <c r="I19" s="127">
        <f>INDEX([1]Profile!$C$22:$P$35,MATCH($B19,[1]Profile!$B$22:$B$35,0),MATCH(I$6,[1]Profile!$C$22:$P$22,0))</f>
        <v>-1039.2676678716218</v>
      </c>
      <c r="J19" s="127">
        <f>INDEX([1]Profile!$C$22:$P$35,MATCH($B19,[1]Profile!$B$22:$B$35,0),MATCH(J$6,[1]Profile!$C$22:$P$22,0))</f>
        <v>-1647.6348080865</v>
      </c>
      <c r="K19" s="127">
        <f>INDEX([1]Profile!$C$22:$P$35,MATCH($B19,[1]Profile!$B$22:$B$35,0),MATCH(K$6,[1]Profile!$C$22:$P$22,0))</f>
        <v>-1250.8316576038931</v>
      </c>
      <c r="L19" s="127">
        <f>INDEX([1]Profile!$C$22:$P$35,MATCH($B19,[1]Profile!$B$22:$B$35,0),MATCH(L$6,[1]Profile!$C$22:$P$22,0))</f>
        <v>-1180.4436307731403</v>
      </c>
      <c r="M19" s="127">
        <f>INDEX([1]Profile!$C$22:$P$35,MATCH($B19,[1]Profile!$B$22:$B$35,0),MATCH(M$6,[1]Profile!$C$22:$P$22,0))</f>
        <v>-610.48324941010992</v>
      </c>
      <c r="N19" s="127">
        <f>INDEX([1]Profile!$C$22:$P$35,MATCH($B19,[1]Profile!$B$22:$B$35,0),MATCH(N$6,[1]Profile!$C$22:$P$22,0))</f>
        <v>-1060.0914942664665</v>
      </c>
      <c r="O19" s="127">
        <f>INDEX([1]Profile!$C$22:$P$35,MATCH($B19,[1]Profile!$B$22:$B$35,0),MATCH(O$6,[1]Profile!$C$22:$P$22,0))</f>
        <v>-62.610203517953323</v>
      </c>
      <c r="P19" s="128">
        <f>INDEX([1]Profile!$C$22:$P$35,MATCH($B19,[1]Profile!$B$22:$B$35,0),MATCH(P$6,[1]Profile!$C$22:$P$22,0))</f>
        <v>232.13139166008466</v>
      </c>
    </row>
    <row r="20" spans="2:18" ht="10.5" customHeight="1" x14ac:dyDescent="0.2">
      <c r="B20" s="84">
        <f t="shared" si="0"/>
        <v>2027</v>
      </c>
      <c r="C20" s="124"/>
      <c r="D20" s="125"/>
      <c r="E20" s="213" t="s">
        <v>147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2"/>
    </row>
    <row r="21" spans="2:18" s="125" customFormat="1" x14ac:dyDescent="0.2">
      <c r="B21" s="214"/>
      <c r="C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R21" s="117"/>
    </row>
    <row r="22" spans="2:18" s="125" customFormat="1" x14ac:dyDescent="0.2">
      <c r="B22" s="80"/>
      <c r="C22" s="72" t="s">
        <v>124</v>
      </c>
      <c r="E22" s="72" t="s">
        <v>120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R22" s="117"/>
    </row>
    <row r="23" spans="2:18" s="125" customFormat="1" x14ac:dyDescent="0.2">
      <c r="B23" s="72" t="s">
        <v>2</v>
      </c>
      <c r="C23" s="72" t="s">
        <v>125</v>
      </c>
      <c r="E23" s="72" t="s">
        <v>148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R23" s="117"/>
    </row>
    <row r="24" spans="2:18" s="125" customFormat="1" x14ac:dyDescent="0.2">
      <c r="B24" s="85">
        <f>B7</f>
        <v>2014</v>
      </c>
      <c r="C24" s="221">
        <f>COUNTIF(E7:P7,"&lt;0")</f>
        <v>2</v>
      </c>
      <c r="E24" s="221">
        <f>COUNT(E7:P7)</f>
        <v>6</v>
      </c>
      <c r="G24" s="127"/>
      <c r="H24" s="127" t="s">
        <v>146</v>
      </c>
      <c r="I24" s="127"/>
      <c r="J24" s="127"/>
      <c r="K24" s="127"/>
      <c r="L24" s="127"/>
      <c r="M24" s="127"/>
      <c r="N24" s="127"/>
      <c r="O24" s="127"/>
      <c r="P24" s="127"/>
      <c r="R24" s="117"/>
    </row>
    <row r="25" spans="2:18" s="125" customFormat="1" x14ac:dyDescent="0.2">
      <c r="B25" s="86">
        <f>B8</f>
        <v>2015</v>
      </c>
      <c r="C25" s="222">
        <f>COUNTIF(E8:P8,"&lt;0")</f>
        <v>6</v>
      </c>
      <c r="E25" s="222">
        <v>12</v>
      </c>
      <c r="G25" s="127"/>
      <c r="H25" s="127" t="s">
        <v>260</v>
      </c>
      <c r="I25" s="127"/>
      <c r="J25" s="127"/>
      <c r="K25" s="127"/>
      <c r="L25" s="127"/>
      <c r="M25" s="127"/>
      <c r="N25" s="127"/>
      <c r="O25" s="127"/>
      <c r="P25" s="127"/>
      <c r="R25" s="117"/>
    </row>
    <row r="26" spans="2:18" s="125" customFormat="1" x14ac:dyDescent="0.2">
      <c r="B26" s="86">
        <f t="shared" ref="B26:B36" si="1">B9</f>
        <v>2016</v>
      </c>
      <c r="C26" s="222">
        <f t="shared" ref="C26:C36" si="2">COUNTIF(E9:P9,"&lt;0")</f>
        <v>6</v>
      </c>
      <c r="E26" s="222">
        <v>12</v>
      </c>
      <c r="G26" s="127"/>
      <c r="H26" s="127" t="s">
        <v>261</v>
      </c>
      <c r="I26" s="127"/>
      <c r="J26" s="127"/>
      <c r="K26" s="127"/>
      <c r="L26" s="127"/>
      <c r="M26" s="127"/>
      <c r="N26" s="127"/>
      <c r="O26" s="127"/>
      <c r="P26" s="127"/>
      <c r="R26" s="117"/>
    </row>
    <row r="27" spans="2:18" s="125" customFormat="1" x14ac:dyDescent="0.2">
      <c r="B27" s="86">
        <f t="shared" si="1"/>
        <v>2017</v>
      </c>
      <c r="C27" s="222">
        <f t="shared" si="2"/>
        <v>6</v>
      </c>
      <c r="E27" s="222">
        <v>12</v>
      </c>
      <c r="G27" s="127"/>
      <c r="H27" s="127" t="s">
        <v>262</v>
      </c>
      <c r="I27" s="127"/>
      <c r="J27" s="127"/>
      <c r="K27" s="127"/>
      <c r="L27" s="127"/>
      <c r="M27" s="127"/>
      <c r="N27" s="127"/>
      <c r="O27" s="127"/>
      <c r="P27" s="127"/>
      <c r="R27" s="117"/>
    </row>
    <row r="28" spans="2:18" x14ac:dyDescent="0.2">
      <c r="B28" s="86">
        <f t="shared" si="1"/>
        <v>2018</v>
      </c>
      <c r="C28" s="222">
        <f t="shared" si="2"/>
        <v>7</v>
      </c>
      <c r="D28" s="125"/>
      <c r="E28" s="222">
        <v>12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2:18" x14ac:dyDescent="0.2">
      <c r="B29" s="86">
        <f t="shared" si="1"/>
        <v>2019</v>
      </c>
      <c r="C29" s="222">
        <f t="shared" si="2"/>
        <v>7</v>
      </c>
      <c r="D29" s="125"/>
      <c r="E29" s="222">
        <v>12</v>
      </c>
    </row>
    <row r="30" spans="2:18" s="125" customFormat="1" x14ac:dyDescent="0.2">
      <c r="B30" s="86">
        <f t="shared" si="1"/>
        <v>2020</v>
      </c>
      <c r="C30" s="222">
        <f t="shared" si="2"/>
        <v>7</v>
      </c>
      <c r="E30" s="222">
        <v>12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R30" s="117"/>
    </row>
    <row r="31" spans="2:18" x14ac:dyDescent="0.2">
      <c r="B31" s="86">
        <f t="shared" si="1"/>
        <v>2021</v>
      </c>
      <c r="C31" s="222">
        <f t="shared" si="2"/>
        <v>8</v>
      </c>
      <c r="D31" s="125"/>
      <c r="E31" s="222">
        <v>12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  <row r="32" spans="2:18" x14ac:dyDescent="0.2">
      <c r="B32" s="86">
        <f t="shared" si="1"/>
        <v>2022</v>
      </c>
      <c r="C32" s="222">
        <f t="shared" si="2"/>
        <v>8</v>
      </c>
      <c r="D32" s="125"/>
      <c r="E32" s="222">
        <v>12</v>
      </c>
    </row>
    <row r="33" spans="2:5" x14ac:dyDescent="0.2">
      <c r="B33" s="86">
        <f t="shared" si="1"/>
        <v>2023</v>
      </c>
      <c r="C33" s="222">
        <f t="shared" si="2"/>
        <v>8</v>
      </c>
      <c r="D33" s="125"/>
      <c r="E33" s="222">
        <v>12</v>
      </c>
    </row>
    <row r="34" spans="2:5" x14ac:dyDescent="0.2">
      <c r="B34" s="86">
        <f t="shared" si="1"/>
        <v>2024</v>
      </c>
      <c r="C34" s="222">
        <f t="shared" si="2"/>
        <v>8</v>
      </c>
      <c r="D34" s="125"/>
      <c r="E34" s="222">
        <v>12</v>
      </c>
    </row>
    <row r="35" spans="2:5" x14ac:dyDescent="0.2">
      <c r="B35" s="86">
        <f t="shared" si="1"/>
        <v>2025</v>
      </c>
      <c r="C35" s="222">
        <f t="shared" si="2"/>
        <v>9</v>
      </c>
      <c r="D35" s="125"/>
      <c r="E35" s="222">
        <v>12</v>
      </c>
    </row>
    <row r="36" spans="2:5" x14ac:dyDescent="0.2">
      <c r="B36" s="86">
        <f t="shared" si="1"/>
        <v>2026</v>
      </c>
      <c r="C36" s="222">
        <f t="shared" si="2"/>
        <v>9</v>
      </c>
      <c r="D36" s="125"/>
      <c r="E36" s="224">
        <v>12</v>
      </c>
    </row>
    <row r="37" spans="2:5" x14ac:dyDescent="0.2">
      <c r="B37" s="214"/>
      <c r="C37" s="120"/>
    </row>
  </sheetData>
  <printOptions horizontalCentered="1"/>
  <pageMargins left="0.3" right="0.3" top="0.8" bottom="0.4" header="0.5" footer="0.2"/>
  <pageSetup scale="91" orientation="landscape" r:id="rId1"/>
  <headerFooter alignWithMargins="0">
    <oddFooter>&amp;L&amp;8Net Power Cost   &amp;D &amp;T &amp;C Page &amp;P of &amp;N  &amp;R &amp;8 &amp;F   ( &amp;A 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topLeftCell="A3" zoomScale="60" zoomScaleNormal="100" workbookViewId="0">
      <selection activeCell="C39" sqref="C39"/>
    </sheetView>
  </sheetViews>
  <sheetFormatPr defaultRowHeight="12.75" x14ac:dyDescent="0.2"/>
  <cols>
    <col min="1" max="1" width="2" customWidth="1"/>
    <col min="2" max="2" width="14.1640625" customWidth="1"/>
    <col min="3" max="5" width="19.6640625" customWidth="1"/>
    <col min="6" max="6" width="1.5" customWidth="1"/>
  </cols>
  <sheetData>
    <row r="1" spans="1:5" ht="15.75" x14ac:dyDescent="0.25">
      <c r="A1" s="56"/>
      <c r="B1" s="24" t="s">
        <v>166</v>
      </c>
      <c r="C1" s="33"/>
      <c r="D1" s="260"/>
      <c r="E1" s="260"/>
    </row>
    <row r="2" spans="1:5" ht="15.75" x14ac:dyDescent="0.25">
      <c r="A2" s="56"/>
      <c r="B2" s="24" t="s">
        <v>160</v>
      </c>
      <c r="C2" s="33"/>
      <c r="D2" s="260"/>
      <c r="E2" s="260"/>
    </row>
    <row r="3" spans="1:5" ht="15.75" x14ac:dyDescent="0.25">
      <c r="A3" s="56"/>
      <c r="B3" s="24" t="s">
        <v>129</v>
      </c>
      <c r="C3" s="129"/>
      <c r="D3" s="260"/>
      <c r="E3" s="260"/>
    </row>
    <row r="4" spans="1:5" ht="15.75" x14ac:dyDescent="0.25">
      <c r="A4" s="56"/>
      <c r="B4" s="24"/>
      <c r="C4" s="129"/>
    </row>
    <row r="5" spans="1:5" ht="25.5" x14ac:dyDescent="0.2">
      <c r="A5" s="56"/>
      <c r="B5" s="25" t="s">
        <v>2</v>
      </c>
      <c r="C5" s="249" t="s">
        <v>159</v>
      </c>
      <c r="D5" s="249" t="s">
        <v>263</v>
      </c>
      <c r="E5" s="249" t="s">
        <v>164</v>
      </c>
    </row>
    <row r="6" spans="1:5" x14ac:dyDescent="0.2">
      <c r="A6" s="56"/>
      <c r="B6" s="130"/>
      <c r="C6" s="250" t="s">
        <v>129</v>
      </c>
      <c r="D6" s="250" t="s">
        <v>129</v>
      </c>
      <c r="E6" s="250" t="s">
        <v>129</v>
      </c>
    </row>
    <row r="7" spans="1:5" x14ac:dyDescent="0.2">
      <c r="A7" s="56"/>
      <c r="B7" s="56"/>
      <c r="C7" s="131" t="s">
        <v>22</v>
      </c>
      <c r="D7" s="131" t="s">
        <v>23</v>
      </c>
      <c r="E7" s="131" t="s">
        <v>165</v>
      </c>
    </row>
    <row r="8" spans="1:5" x14ac:dyDescent="0.2">
      <c r="A8" s="56"/>
      <c r="B8" s="56"/>
      <c r="C8" s="131"/>
    </row>
    <row r="9" spans="1:5" x14ac:dyDescent="0.2">
      <c r="A9" s="56"/>
      <c r="B9" s="132">
        <f>'Tables 3 to 6'!$B$13</f>
        <v>2014</v>
      </c>
      <c r="C9" s="133">
        <v>0.38</v>
      </c>
      <c r="D9" s="133">
        <v>2.82</v>
      </c>
      <c r="E9" s="133">
        <f>C9+D9</f>
        <v>3.1999999999999997</v>
      </c>
    </row>
    <row r="10" spans="1:5" x14ac:dyDescent="0.2">
      <c r="A10" s="56"/>
      <c r="B10" s="132">
        <f>B9+1</f>
        <v>2015</v>
      </c>
      <c r="C10" s="133">
        <v>0.39</v>
      </c>
      <c r="D10" s="133">
        <v>2.88</v>
      </c>
      <c r="E10" s="133">
        <f t="shared" ref="E10:E33" si="0">C10+D10</f>
        <v>3.27</v>
      </c>
    </row>
    <row r="11" spans="1:5" x14ac:dyDescent="0.2">
      <c r="A11" s="56"/>
      <c r="B11" s="132">
        <f t="shared" ref="B11:B33" si="1">B10+1</f>
        <v>2016</v>
      </c>
      <c r="C11" s="133">
        <v>0.4</v>
      </c>
      <c r="D11" s="133">
        <v>2.88</v>
      </c>
      <c r="E11" s="133">
        <f t="shared" si="0"/>
        <v>3.28</v>
      </c>
    </row>
    <row r="12" spans="1:5" x14ac:dyDescent="0.2">
      <c r="A12" s="56"/>
      <c r="B12" s="132">
        <f t="shared" si="1"/>
        <v>2017</v>
      </c>
      <c r="C12" s="133">
        <v>0.41</v>
      </c>
      <c r="D12" s="133">
        <v>2.95</v>
      </c>
      <c r="E12" s="133">
        <f t="shared" si="0"/>
        <v>3.3600000000000003</v>
      </c>
    </row>
    <row r="13" spans="1:5" x14ac:dyDescent="0.2">
      <c r="A13" s="56"/>
      <c r="B13" s="132">
        <f t="shared" si="1"/>
        <v>2018</v>
      </c>
      <c r="C13" s="133">
        <v>0.42</v>
      </c>
      <c r="D13" s="133">
        <v>3.21</v>
      </c>
      <c r="E13" s="133">
        <f t="shared" si="0"/>
        <v>3.63</v>
      </c>
    </row>
    <row r="14" spans="1:5" x14ac:dyDescent="0.2">
      <c r="A14" s="56"/>
      <c r="B14" s="132">
        <f t="shared" si="1"/>
        <v>2019</v>
      </c>
      <c r="C14" s="133">
        <v>0.43</v>
      </c>
      <c r="D14" s="133">
        <v>3.5</v>
      </c>
      <c r="E14" s="133">
        <f t="shared" si="0"/>
        <v>3.93</v>
      </c>
    </row>
    <row r="15" spans="1:5" x14ac:dyDescent="0.2">
      <c r="A15" s="56"/>
      <c r="B15" s="132">
        <f t="shared" si="1"/>
        <v>2020</v>
      </c>
      <c r="C15" s="133">
        <v>0.44</v>
      </c>
      <c r="D15" s="133">
        <v>4.0599999999999996</v>
      </c>
      <c r="E15" s="133">
        <f t="shared" si="0"/>
        <v>4.5</v>
      </c>
    </row>
    <row r="16" spans="1:5" x14ac:dyDescent="0.2">
      <c r="A16" s="56"/>
      <c r="B16" s="132">
        <f t="shared" si="1"/>
        <v>2021</v>
      </c>
      <c r="C16" s="133">
        <v>0.45</v>
      </c>
      <c r="D16" s="133">
        <v>4.75</v>
      </c>
      <c r="E16" s="133">
        <f t="shared" si="0"/>
        <v>5.2</v>
      </c>
    </row>
    <row r="17" spans="1:5" x14ac:dyDescent="0.2">
      <c r="A17" s="56"/>
      <c r="B17" s="132">
        <f t="shared" si="1"/>
        <v>2022</v>
      </c>
      <c r="C17" s="133">
        <v>0.46</v>
      </c>
      <c r="D17" s="133">
        <v>5.66</v>
      </c>
      <c r="E17" s="133">
        <f t="shared" si="0"/>
        <v>6.12</v>
      </c>
    </row>
    <row r="18" spans="1:5" x14ac:dyDescent="0.2">
      <c r="A18" s="56"/>
      <c r="B18" s="132">
        <f t="shared" si="1"/>
        <v>2023</v>
      </c>
      <c r="C18" s="133">
        <v>0.47</v>
      </c>
      <c r="D18" s="133">
        <v>6.57</v>
      </c>
      <c r="E18" s="133">
        <f t="shared" si="0"/>
        <v>7.04</v>
      </c>
    </row>
    <row r="19" spans="1:5" x14ac:dyDescent="0.2">
      <c r="A19" s="56"/>
      <c r="B19" s="132">
        <f t="shared" si="1"/>
        <v>2024</v>
      </c>
      <c r="C19" s="133">
        <v>0.48</v>
      </c>
      <c r="D19" s="133">
        <v>5.64</v>
      </c>
      <c r="E19" s="133">
        <f t="shared" si="0"/>
        <v>6.1199999999999992</v>
      </c>
    </row>
    <row r="20" spans="1:5" x14ac:dyDescent="0.2">
      <c r="A20" s="56"/>
      <c r="B20" s="132">
        <f t="shared" si="1"/>
        <v>2025</v>
      </c>
      <c r="C20" s="133">
        <v>0.49</v>
      </c>
      <c r="D20" s="133">
        <v>5.68</v>
      </c>
      <c r="E20" s="133">
        <f t="shared" si="0"/>
        <v>6.17</v>
      </c>
    </row>
    <row r="21" spans="1:5" x14ac:dyDescent="0.2">
      <c r="A21" s="56"/>
      <c r="B21" s="132">
        <f t="shared" si="1"/>
        <v>2026</v>
      </c>
      <c r="C21" s="133">
        <v>0.5</v>
      </c>
      <c r="D21" s="133">
        <v>6.1</v>
      </c>
      <c r="E21" s="133">
        <f t="shared" si="0"/>
        <v>6.6</v>
      </c>
    </row>
    <row r="22" spans="1:5" x14ac:dyDescent="0.2">
      <c r="A22" s="56"/>
      <c r="B22" s="132">
        <f t="shared" si="1"/>
        <v>2027</v>
      </c>
      <c r="C22" s="133">
        <v>0.51</v>
      </c>
      <c r="D22" s="133">
        <v>6.25</v>
      </c>
      <c r="E22" s="133">
        <f t="shared" si="0"/>
        <v>6.76</v>
      </c>
    </row>
    <row r="23" spans="1:5" x14ac:dyDescent="0.2">
      <c r="A23" s="56"/>
      <c r="B23" s="132">
        <f t="shared" si="1"/>
        <v>2028</v>
      </c>
      <c r="C23" s="133">
        <v>0.52</v>
      </c>
      <c r="D23" s="133">
        <v>6.04</v>
      </c>
      <c r="E23" s="133">
        <f t="shared" si="0"/>
        <v>6.5600000000000005</v>
      </c>
    </row>
    <row r="24" spans="1:5" x14ac:dyDescent="0.2">
      <c r="A24" s="56"/>
      <c r="B24" s="132">
        <f t="shared" si="1"/>
        <v>2029</v>
      </c>
      <c r="C24" s="133">
        <v>0.53</v>
      </c>
      <c r="D24" s="133">
        <v>6.46</v>
      </c>
      <c r="E24" s="133">
        <f t="shared" si="0"/>
        <v>6.99</v>
      </c>
    </row>
    <row r="25" spans="1:5" x14ac:dyDescent="0.2">
      <c r="A25" s="56"/>
      <c r="B25" s="132">
        <f t="shared" si="1"/>
        <v>2030</v>
      </c>
      <c r="C25" s="133">
        <v>0.54</v>
      </c>
      <c r="D25" s="133">
        <v>6.24</v>
      </c>
      <c r="E25" s="133">
        <f t="shared" si="0"/>
        <v>6.78</v>
      </c>
    </row>
    <row r="26" spans="1:5" x14ac:dyDescent="0.2">
      <c r="A26" s="56"/>
      <c r="B26" s="132">
        <f t="shared" si="1"/>
        <v>2031</v>
      </c>
      <c r="C26" s="133">
        <v>0.55000000000000004</v>
      </c>
      <c r="D26" s="133">
        <v>7.03</v>
      </c>
      <c r="E26" s="133">
        <f t="shared" si="0"/>
        <v>7.58</v>
      </c>
    </row>
    <row r="27" spans="1:5" x14ac:dyDescent="0.2">
      <c r="A27" s="56"/>
      <c r="B27" s="132">
        <f t="shared" si="1"/>
        <v>2032</v>
      </c>
      <c r="C27" s="133">
        <v>0.56000000000000005</v>
      </c>
      <c r="D27" s="133">
        <v>7.31</v>
      </c>
      <c r="E27" s="133">
        <f t="shared" si="0"/>
        <v>7.8699999999999992</v>
      </c>
    </row>
    <row r="28" spans="1:5" x14ac:dyDescent="0.2">
      <c r="A28" s="56"/>
      <c r="B28" s="132">
        <f t="shared" si="1"/>
        <v>2033</v>
      </c>
      <c r="C28" s="133">
        <v>0.56999999999999995</v>
      </c>
      <c r="D28" s="133">
        <v>7.77</v>
      </c>
      <c r="E28" s="133">
        <f t="shared" si="0"/>
        <v>8.34</v>
      </c>
    </row>
    <row r="29" spans="1:5" x14ac:dyDescent="0.2">
      <c r="A29" s="56"/>
      <c r="B29" s="132">
        <f t="shared" si="1"/>
        <v>2034</v>
      </c>
      <c r="C29" s="133">
        <v>0.57999999999999996</v>
      </c>
      <c r="D29" s="133">
        <v>7.93</v>
      </c>
      <c r="E29" s="133">
        <f t="shared" si="0"/>
        <v>8.51</v>
      </c>
    </row>
    <row r="30" spans="1:5" x14ac:dyDescent="0.2">
      <c r="A30" s="56"/>
      <c r="B30" s="132">
        <f t="shared" si="1"/>
        <v>2035</v>
      </c>
      <c r="C30" s="133">
        <v>0.59</v>
      </c>
      <c r="D30" s="133">
        <v>8.1</v>
      </c>
      <c r="E30" s="133">
        <f t="shared" si="0"/>
        <v>8.69</v>
      </c>
    </row>
    <row r="31" spans="1:5" x14ac:dyDescent="0.2">
      <c r="A31" s="56"/>
      <c r="B31" s="132">
        <f t="shared" si="1"/>
        <v>2036</v>
      </c>
      <c r="C31" s="133">
        <v>0.6</v>
      </c>
      <c r="D31" s="133">
        <v>8.26</v>
      </c>
      <c r="E31" s="133">
        <f t="shared" si="0"/>
        <v>8.86</v>
      </c>
    </row>
    <row r="32" spans="1:5" x14ac:dyDescent="0.2">
      <c r="A32" s="56"/>
      <c r="B32" s="132">
        <f t="shared" si="1"/>
        <v>2037</v>
      </c>
      <c r="C32" s="133">
        <v>0.61</v>
      </c>
      <c r="D32" s="133">
        <v>8.43</v>
      </c>
      <c r="E32" s="133">
        <f t="shared" si="0"/>
        <v>9.0399999999999991</v>
      </c>
    </row>
    <row r="33" spans="1:5" x14ac:dyDescent="0.2">
      <c r="A33" s="56"/>
      <c r="B33" s="132">
        <f t="shared" si="1"/>
        <v>2038</v>
      </c>
      <c r="C33" s="133">
        <v>0.62</v>
      </c>
      <c r="D33" s="133">
        <v>8.64</v>
      </c>
      <c r="E33" s="133">
        <f t="shared" si="0"/>
        <v>9.26</v>
      </c>
    </row>
    <row r="35" spans="1:5" x14ac:dyDescent="0.2">
      <c r="B35" s="251" t="s">
        <v>83</v>
      </c>
      <c r="C35" s="251"/>
      <c r="D35" s="251"/>
      <c r="E35" s="251"/>
    </row>
    <row r="36" spans="1:5" x14ac:dyDescent="0.2">
      <c r="B36" s="251" t="s">
        <v>276</v>
      </c>
      <c r="C36" s="251"/>
      <c r="D36" s="251"/>
      <c r="E36" s="251"/>
    </row>
    <row r="37" spans="1:5" x14ac:dyDescent="0.2">
      <c r="B37" s="251" t="s">
        <v>275</v>
      </c>
      <c r="C37" s="251"/>
      <c r="D37" s="252"/>
      <c r="E37" s="252"/>
    </row>
    <row r="38" spans="1:5" x14ac:dyDescent="0.2">
      <c r="B38" s="251"/>
      <c r="C38" s="251"/>
      <c r="D38" s="252"/>
      <c r="E38" s="252"/>
    </row>
    <row r="39" spans="1:5" x14ac:dyDescent="0.2">
      <c r="B39" s="251" t="s">
        <v>277</v>
      </c>
      <c r="C39" s="251"/>
      <c r="D39" s="251"/>
      <c r="E39" s="251"/>
    </row>
    <row r="40" spans="1:5" x14ac:dyDescent="0.2">
      <c r="B40" s="251" t="s">
        <v>161</v>
      </c>
      <c r="C40" s="251"/>
      <c r="D40" s="251"/>
      <c r="E40" s="251"/>
    </row>
    <row r="41" spans="1:5" x14ac:dyDescent="0.2">
      <c r="B41" s="251" t="s">
        <v>191</v>
      </c>
      <c r="C41" s="251"/>
      <c r="D41" s="251"/>
      <c r="E41" s="251"/>
    </row>
    <row r="42" spans="1:5" x14ac:dyDescent="0.2">
      <c r="B42" s="251" t="s">
        <v>192</v>
      </c>
      <c r="C42" s="251"/>
      <c r="D42" s="251"/>
      <c r="E42" s="251"/>
    </row>
    <row r="43" spans="1:5" x14ac:dyDescent="0.2">
      <c r="B43" s="251" t="s">
        <v>193</v>
      </c>
      <c r="C43" s="251"/>
      <c r="D43" s="251"/>
      <c r="E43" s="251"/>
    </row>
    <row r="44" spans="1:5" x14ac:dyDescent="0.2">
      <c r="B44" s="251"/>
      <c r="C44" s="251"/>
      <c r="D44" s="251"/>
      <c r="E44" s="251"/>
    </row>
    <row r="45" spans="1:5" x14ac:dyDescent="0.2">
      <c r="B45" s="253">
        <v>2.1800000000000002</v>
      </c>
      <c r="C45" s="251" t="s">
        <v>162</v>
      </c>
      <c r="D45" s="251"/>
      <c r="E45" s="251"/>
    </row>
    <row r="46" spans="1:5" x14ac:dyDescent="0.2">
      <c r="B46" s="253">
        <v>2.83</v>
      </c>
      <c r="C46" s="251" t="s">
        <v>163</v>
      </c>
      <c r="D46" s="251"/>
      <c r="E46" s="251"/>
    </row>
  </sheetData>
  <hyperlinks>
    <hyperlink ref="C38" display="www.pacificorp.com/content/dam/pacificorp/doc/Energy_Sources/Integrated_Resource_Plan/Wind_Integration/PacifiCorp_2010WindIntegrationStudy_090110.pdf"/>
  </hyperlinks>
  <printOptions horizontalCentered="1"/>
  <pageMargins left="0.7" right="0.7" top="0.75" bottom="0.75" header="0.3" footer="0.3"/>
  <pageSetup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4"/>
  <sheetViews>
    <sheetView showGridLines="0" zoomScaleNormal="100" workbookViewId="0">
      <selection activeCell="B2" sqref="B2"/>
    </sheetView>
  </sheetViews>
  <sheetFormatPr defaultRowHeight="12" x14ac:dyDescent="0.2"/>
  <cols>
    <col min="1" max="1" width="2.83203125" style="227" customWidth="1"/>
    <col min="2" max="2" width="19.6640625" style="227" customWidth="1"/>
    <col min="3" max="6" width="18.83203125" style="227" customWidth="1"/>
    <col min="7" max="7" width="1.6640625" style="227" customWidth="1"/>
    <col min="8" max="18" width="1.6640625" style="336" customWidth="1"/>
    <col min="19" max="19" width="17.6640625" style="336" customWidth="1"/>
    <col min="20" max="20" width="8" style="227" customWidth="1"/>
    <col min="21" max="21" width="10.1640625" style="227" customWidth="1"/>
    <col min="22" max="22" width="7.1640625" style="227" customWidth="1"/>
    <col min="23" max="16384" width="9.33203125" style="227"/>
  </cols>
  <sheetData>
    <row r="1" spans="1:21" x14ac:dyDescent="0.2">
      <c r="A1" s="2"/>
      <c r="B1" s="2"/>
      <c r="C1" s="2"/>
      <c r="D1" s="2"/>
      <c r="E1" s="2"/>
      <c r="F1" s="2"/>
      <c r="G1" s="2"/>
      <c r="H1" s="458"/>
      <c r="I1" s="464"/>
      <c r="J1" s="342"/>
      <c r="K1" s="342"/>
      <c r="L1" s="342"/>
      <c r="M1" s="342"/>
      <c r="N1" s="342"/>
      <c r="O1" s="342"/>
      <c r="P1" s="342"/>
      <c r="T1" s="330"/>
      <c r="U1" s="2"/>
    </row>
    <row r="2" spans="1:21" x14ac:dyDescent="0.2">
      <c r="A2" s="2"/>
      <c r="B2" s="2" t="s">
        <v>108</v>
      </c>
      <c r="C2" s="2"/>
      <c r="D2" s="2"/>
      <c r="E2" s="2"/>
      <c r="F2" s="2"/>
      <c r="G2" s="2"/>
      <c r="H2" s="459"/>
      <c r="J2" s="342"/>
      <c r="K2" s="342"/>
      <c r="L2" s="342"/>
      <c r="M2" s="342"/>
      <c r="N2" s="342"/>
      <c r="O2" s="342"/>
      <c r="P2" s="342"/>
      <c r="T2" s="2"/>
      <c r="U2" s="2"/>
    </row>
    <row r="3" spans="1:21" x14ac:dyDescent="0.2">
      <c r="B3" s="258" t="s">
        <v>177</v>
      </c>
      <c r="H3" s="460"/>
      <c r="K3" s="465"/>
      <c r="L3" s="465"/>
    </row>
    <row r="4" spans="1:21" x14ac:dyDescent="0.2">
      <c r="A4" s="228"/>
      <c r="C4" s="228"/>
      <c r="D4" s="228"/>
      <c r="E4" s="228"/>
      <c r="F4" s="228"/>
      <c r="G4" s="228"/>
      <c r="H4" s="228"/>
      <c r="K4" s="452"/>
      <c r="L4" s="452"/>
      <c r="M4" s="452"/>
      <c r="N4" s="452"/>
      <c r="O4" s="452"/>
      <c r="P4" s="452"/>
      <c r="R4" s="452"/>
      <c r="S4" s="452"/>
      <c r="T4" s="228"/>
    </row>
    <row r="5" spans="1:21" x14ac:dyDescent="0.2">
      <c r="A5" s="228"/>
      <c r="B5" s="228"/>
      <c r="H5" s="332"/>
      <c r="J5" s="228"/>
      <c r="K5" s="228"/>
      <c r="L5" s="228"/>
      <c r="M5" s="228"/>
      <c r="N5" s="228"/>
      <c r="O5" s="228"/>
      <c r="P5" s="228"/>
      <c r="R5" s="228"/>
      <c r="S5" s="228"/>
      <c r="T5" s="332"/>
    </row>
    <row r="6" spans="1:21" x14ac:dyDescent="0.2">
      <c r="A6" s="228"/>
      <c r="B6" s="229" t="s">
        <v>136</v>
      </c>
      <c r="C6" s="230" t="s">
        <v>320</v>
      </c>
      <c r="D6" s="230"/>
      <c r="E6" s="334" t="s">
        <v>135</v>
      </c>
      <c r="F6" s="230"/>
      <c r="G6" s="230"/>
      <c r="H6" s="228"/>
      <c r="J6" s="228"/>
      <c r="K6" s="228"/>
      <c r="L6" s="228"/>
      <c r="M6" s="228"/>
      <c r="N6" s="228"/>
      <c r="O6" s="228"/>
      <c r="P6" s="228"/>
      <c r="R6" s="228"/>
      <c r="S6" s="228"/>
      <c r="T6" s="228"/>
    </row>
    <row r="7" spans="1:21" ht="14.25" x14ac:dyDescent="0.35">
      <c r="A7" s="228"/>
      <c r="B7" s="229" t="s">
        <v>133</v>
      </c>
      <c r="C7" s="231" t="s">
        <v>62</v>
      </c>
      <c r="D7" s="231" t="s">
        <v>63</v>
      </c>
      <c r="E7" s="231" t="s">
        <v>62</v>
      </c>
      <c r="F7" s="231" t="s">
        <v>63</v>
      </c>
      <c r="G7" s="231"/>
      <c r="H7" s="228"/>
      <c r="J7" s="231"/>
      <c r="K7" s="231"/>
      <c r="L7" s="231"/>
      <c r="M7" s="231"/>
      <c r="N7" s="231"/>
      <c r="O7" s="231"/>
      <c r="P7" s="231"/>
      <c r="R7" s="231"/>
      <c r="S7" s="231"/>
      <c r="T7" s="228"/>
    </row>
    <row r="8" spans="1:21" hidden="1" x14ac:dyDescent="0.2">
      <c r="A8" s="232"/>
      <c r="B8" s="233">
        <v>2014</v>
      </c>
      <c r="C8" s="234">
        <f>ROUND('Table 2A BaseLoad'!C66/10,3)</f>
        <v>3.0590000000000002</v>
      </c>
      <c r="D8" s="234">
        <f>ROUND('Table 2A BaseLoad'!G66/10,3)</f>
        <v>3.8079999999999998</v>
      </c>
      <c r="E8" s="234">
        <f>ROUND('Table 2A BaseLoad'!D66/10,3)</f>
        <v>2.492</v>
      </c>
      <c r="F8" s="234">
        <f>ROUND('Table 2A BaseLoad'!H66/10,3)</f>
        <v>2.5750000000000002</v>
      </c>
      <c r="G8" s="234"/>
      <c r="H8" s="235"/>
      <c r="I8" s="345"/>
      <c r="J8" s="456"/>
      <c r="K8" s="457"/>
      <c r="L8" s="457"/>
      <c r="M8" s="235"/>
      <c r="N8" s="235"/>
      <c r="O8" s="235"/>
      <c r="P8" s="235"/>
      <c r="R8" s="457"/>
      <c r="S8" s="454"/>
      <c r="T8" s="235"/>
      <c r="U8" s="331"/>
    </row>
    <row r="9" spans="1:21" x14ac:dyDescent="0.2">
      <c r="A9" s="232"/>
      <c r="B9" s="233">
        <v>2015</v>
      </c>
      <c r="C9" s="234">
        <f>ROUND('Table 2A BaseLoad'!C67/10,3)</f>
        <v>3.6139999999999999</v>
      </c>
      <c r="D9" s="234">
        <f>ROUND('Table 2A BaseLoad'!G67/10,3)</f>
        <v>3.81</v>
      </c>
      <c r="E9" s="234">
        <f>ROUND('Table 2A BaseLoad'!D67/10,3)</f>
        <v>2.8540000000000001</v>
      </c>
      <c r="F9" s="234">
        <f>ROUND('Table 2A BaseLoad'!H67/10,3)</f>
        <v>2.492</v>
      </c>
      <c r="G9" s="234"/>
      <c r="H9" s="235"/>
      <c r="I9" s="345"/>
      <c r="J9" s="456"/>
      <c r="K9" s="457"/>
      <c r="L9" s="457"/>
      <c r="M9" s="235"/>
      <c r="N9" s="235"/>
      <c r="O9" s="235"/>
      <c r="P9" s="235"/>
      <c r="R9" s="457"/>
      <c r="S9" s="454"/>
      <c r="T9" s="235"/>
    </row>
    <row r="10" spans="1:21" x14ac:dyDescent="0.2">
      <c r="A10" s="232"/>
      <c r="B10" s="233">
        <v>2016</v>
      </c>
      <c r="C10" s="234">
        <f>ROUND('Table 2A BaseLoad'!C68/10,3)</f>
        <v>3.2749999999999999</v>
      </c>
      <c r="D10" s="234">
        <f>ROUND('Table 2A BaseLoad'!G68/10,3)</f>
        <v>3.66</v>
      </c>
      <c r="E10" s="234">
        <f>ROUND('Table 2A BaseLoad'!D68/10,3)</f>
        <v>2.5960000000000001</v>
      </c>
      <c r="F10" s="234">
        <f>ROUND('Table 2A BaseLoad'!H68/10,3)</f>
        <v>2.4129999999999998</v>
      </c>
      <c r="G10" s="234"/>
      <c r="H10" s="235"/>
      <c r="I10" s="345"/>
      <c r="J10" s="456"/>
      <c r="K10" s="457"/>
      <c r="L10" s="457"/>
      <c r="M10" s="235"/>
      <c r="N10" s="235"/>
      <c r="O10" s="235"/>
      <c r="P10" s="235"/>
      <c r="T10" s="235"/>
    </row>
    <row r="11" spans="1:21" x14ac:dyDescent="0.2">
      <c r="A11" s="232"/>
      <c r="B11" s="233">
        <v>2017</v>
      </c>
      <c r="C11" s="234">
        <f>ROUND('Table 2A BaseLoad'!C69/10,3)</f>
        <v>3.3450000000000002</v>
      </c>
      <c r="D11" s="234">
        <f>ROUND('Table 2A BaseLoad'!G69/10,3)</f>
        <v>3.895</v>
      </c>
      <c r="E11" s="234">
        <f>ROUND('Table 2A BaseLoad'!D69/10,3)</f>
        <v>2.6589999999999998</v>
      </c>
      <c r="F11" s="234">
        <f>ROUND('Table 2A BaseLoad'!H69/10,3)</f>
        <v>2.6080000000000001</v>
      </c>
      <c r="G11" s="234"/>
      <c r="H11" s="235"/>
      <c r="I11" s="345"/>
      <c r="J11" s="456"/>
      <c r="K11" s="457"/>
      <c r="L11" s="457"/>
      <c r="M11" s="235"/>
      <c r="N11" s="235"/>
      <c r="O11" s="235"/>
      <c r="P11" s="235"/>
      <c r="T11" s="235"/>
    </row>
    <row r="12" spans="1:21" x14ac:dyDescent="0.2">
      <c r="A12" s="232"/>
      <c r="B12" s="233">
        <v>2018</v>
      </c>
      <c r="C12" s="234">
        <f>ROUND('Table 2A BaseLoad'!C70/10,3)</f>
        <v>3.6280000000000001</v>
      </c>
      <c r="D12" s="234">
        <f>ROUND('Table 2A BaseLoad'!G70/10,3)</f>
        <v>4.1360000000000001</v>
      </c>
      <c r="E12" s="234">
        <f>ROUND('Table 2A BaseLoad'!D70/10,3)</f>
        <v>2.8820000000000001</v>
      </c>
      <c r="F12" s="234">
        <f>ROUND('Table 2A BaseLoad'!H70/10,3)</f>
        <v>2.794</v>
      </c>
      <c r="G12" s="234"/>
      <c r="H12" s="235"/>
      <c r="I12" s="345"/>
      <c r="J12" s="456"/>
      <c r="K12" s="457"/>
      <c r="L12" s="457"/>
      <c r="M12" s="235"/>
      <c r="N12" s="235"/>
      <c r="O12" s="235"/>
      <c r="P12" s="235"/>
      <c r="T12" s="235"/>
    </row>
    <row r="13" spans="1:21" x14ac:dyDescent="0.2">
      <c r="A13" s="232"/>
      <c r="B13" s="233">
        <v>2019</v>
      </c>
      <c r="C13" s="234">
        <f>ROUND('Table 2A BaseLoad'!C71/10,3)</f>
        <v>3.7709999999999999</v>
      </c>
      <c r="D13" s="234">
        <f>ROUND('Table 2A BaseLoad'!G71/10,3)</f>
        <v>4.3419999999999996</v>
      </c>
      <c r="E13" s="234">
        <f>ROUND('Table 2A BaseLoad'!D71/10,3)</f>
        <v>3.0310000000000001</v>
      </c>
      <c r="F13" s="234">
        <f>ROUND('Table 2A BaseLoad'!H71/10,3)</f>
        <v>2.9910000000000001</v>
      </c>
      <c r="G13" s="234"/>
      <c r="H13" s="235"/>
      <c r="I13" s="345"/>
      <c r="J13" s="456"/>
      <c r="K13" s="457"/>
      <c r="L13" s="457"/>
      <c r="M13" s="235"/>
      <c r="N13" s="235"/>
      <c r="O13" s="235"/>
      <c r="P13" s="235"/>
      <c r="T13" s="235"/>
    </row>
    <row r="14" spans="1:21" x14ac:dyDescent="0.2">
      <c r="A14" s="232"/>
      <c r="B14" s="233">
        <v>2020</v>
      </c>
      <c r="C14" s="234">
        <f>ROUND('Table 2A BaseLoad'!C72/10,3)</f>
        <v>4.0060000000000002</v>
      </c>
      <c r="D14" s="234">
        <f>ROUND('Table 2A BaseLoad'!G72/10,3)</f>
        <v>4.6500000000000004</v>
      </c>
      <c r="E14" s="234">
        <f>ROUND('Table 2A BaseLoad'!D72/10,3)</f>
        <v>3.3660000000000001</v>
      </c>
      <c r="F14" s="234">
        <f>ROUND('Table 2A BaseLoad'!H72/10,3)</f>
        <v>3.7050000000000001</v>
      </c>
      <c r="G14" s="234"/>
      <c r="H14" s="235"/>
      <c r="I14" s="345"/>
      <c r="J14" s="456"/>
      <c r="K14" s="457"/>
      <c r="L14" s="457"/>
      <c r="M14" s="235"/>
      <c r="N14" s="235"/>
      <c r="O14" s="235"/>
      <c r="P14" s="235"/>
      <c r="T14" s="235"/>
    </row>
    <row r="15" spans="1:21" x14ac:dyDescent="0.2">
      <c r="A15" s="232"/>
      <c r="B15" s="233">
        <v>2021</v>
      </c>
      <c r="C15" s="234">
        <f>ROUND('Table 2A BaseLoad'!C73/10,3)</f>
        <v>4.2850000000000001</v>
      </c>
      <c r="D15" s="234">
        <f>ROUND('Table 2A BaseLoad'!G73/10,3)</f>
        <v>4.6120000000000001</v>
      </c>
      <c r="E15" s="234">
        <f>ROUND('Table 2A BaseLoad'!D73/10,3)</f>
        <v>3.9350000000000001</v>
      </c>
      <c r="F15" s="234">
        <f>ROUND('Table 2A BaseLoad'!H73/10,3)</f>
        <v>4.1479999999999997</v>
      </c>
      <c r="G15" s="234"/>
      <c r="H15" s="235"/>
      <c r="I15" s="345"/>
      <c r="J15" s="456"/>
      <c r="K15" s="457"/>
      <c r="L15" s="457"/>
      <c r="M15" s="235"/>
      <c r="N15" s="235"/>
      <c r="O15" s="235"/>
      <c r="P15" s="235"/>
      <c r="T15" s="235"/>
    </row>
    <row r="16" spans="1:21" x14ac:dyDescent="0.2">
      <c r="A16" s="232"/>
      <c r="B16" s="233">
        <v>2022</v>
      </c>
      <c r="C16" s="234">
        <f>ROUND('Table 2A BaseLoad'!C74/10,3)</f>
        <v>4.2699999999999996</v>
      </c>
      <c r="D16" s="234">
        <f>ROUND('Table 2A BaseLoad'!G74/10,3)</f>
        <v>4.7649999999999997</v>
      </c>
      <c r="E16" s="234">
        <f>ROUND('Table 2A BaseLoad'!D74/10,3)</f>
        <v>4.0819999999999999</v>
      </c>
      <c r="F16" s="234">
        <f>ROUND('Table 2A BaseLoad'!H74/10,3)</f>
        <v>4.226</v>
      </c>
      <c r="G16" s="234"/>
      <c r="H16" s="235"/>
      <c r="I16" s="345"/>
      <c r="J16" s="456"/>
      <c r="K16" s="457"/>
      <c r="L16" s="457"/>
      <c r="M16" s="235"/>
      <c r="N16" s="235"/>
      <c r="O16" s="235"/>
      <c r="P16" s="235"/>
      <c r="T16" s="235"/>
    </row>
    <row r="17" spans="1:23" x14ac:dyDescent="0.2">
      <c r="A17" s="232"/>
      <c r="B17" s="233">
        <v>2023</v>
      </c>
      <c r="C17" s="234">
        <f>ROUND('Table 2A BaseLoad'!C75/10,3)</f>
        <v>4.444</v>
      </c>
      <c r="D17" s="234">
        <f>ROUND('Table 2A BaseLoad'!G75/10,3)</f>
        <v>4.8550000000000004</v>
      </c>
      <c r="E17" s="234">
        <f>ROUND('Table 2A BaseLoad'!D75/10,3)</f>
        <v>4.266</v>
      </c>
      <c r="F17" s="234">
        <f>ROUND('Table 2A BaseLoad'!H75/10,3)</f>
        <v>4.3120000000000003</v>
      </c>
      <c r="G17" s="234"/>
      <c r="H17" s="235"/>
      <c r="I17" s="345"/>
      <c r="J17" s="456"/>
      <c r="K17" s="457"/>
      <c r="L17" s="457"/>
      <c r="M17" s="235"/>
      <c r="N17" s="235"/>
      <c r="O17" s="235"/>
      <c r="P17" s="235"/>
      <c r="T17" s="235"/>
    </row>
    <row r="18" spans="1:23" x14ac:dyDescent="0.2">
      <c r="A18" s="232"/>
      <c r="B18" s="233">
        <v>2024</v>
      </c>
      <c r="C18" s="234">
        <f>ROUND('Table 2A BaseLoad'!C76/10,3)</f>
        <v>4.6210000000000004</v>
      </c>
      <c r="D18" s="234">
        <f>ROUND('Table 2A BaseLoad'!G76/10,3)</f>
        <v>5.141</v>
      </c>
      <c r="E18" s="234">
        <f>ROUND('Table 2A BaseLoad'!D76/10,3)</f>
        <v>4.4379999999999997</v>
      </c>
      <c r="F18" s="234">
        <f>ROUND('Table 2A BaseLoad'!H76/10,3)</f>
        <v>4.5309999999999997</v>
      </c>
      <c r="G18" s="234"/>
      <c r="H18" s="235"/>
      <c r="I18" s="345"/>
      <c r="J18" s="456"/>
      <c r="K18" s="457"/>
      <c r="L18" s="457"/>
      <c r="M18" s="235"/>
      <c r="N18" s="235"/>
      <c r="O18" s="235"/>
      <c r="P18" s="235"/>
      <c r="T18" s="235"/>
    </row>
    <row r="19" spans="1:23" x14ac:dyDescent="0.2">
      <c r="A19" s="232"/>
      <c r="B19" s="233">
        <v>2025</v>
      </c>
      <c r="C19" s="234">
        <f>ROUND('Table 2A BaseLoad'!C77/10,3)</f>
        <v>4.8419999999999996</v>
      </c>
      <c r="D19" s="234">
        <f>ROUND('Table 2A BaseLoad'!G77/10,3)</f>
        <v>5.4870000000000001</v>
      </c>
      <c r="E19" s="234">
        <f>ROUND('Table 2A BaseLoad'!D77/10,3)</f>
        <v>4.6449999999999996</v>
      </c>
      <c r="F19" s="234">
        <f>ROUND('Table 2A BaseLoad'!H77/10,3)</f>
        <v>4.806</v>
      </c>
      <c r="G19" s="234"/>
      <c r="H19" s="235"/>
      <c r="I19" s="345"/>
      <c r="J19" s="456"/>
      <c r="K19" s="457"/>
      <c r="L19" s="457"/>
      <c r="M19" s="235"/>
      <c r="N19" s="235"/>
      <c r="O19" s="235"/>
      <c r="P19" s="235"/>
      <c r="T19" s="235"/>
    </row>
    <row r="20" spans="1:23" x14ac:dyDescent="0.2">
      <c r="A20" s="232"/>
      <c r="B20" s="233">
        <v>2026</v>
      </c>
      <c r="C20" s="234">
        <f>ROUND('Table 2A BaseLoad'!C78/10,3)</f>
        <v>5.0309999999999997</v>
      </c>
      <c r="D20" s="234">
        <f>ROUND('Table 2A BaseLoad'!G78/10,3)</f>
        <v>5.7619999999999996</v>
      </c>
      <c r="E20" s="234">
        <f>ROUND('Table 2A BaseLoad'!D78/10,3)</f>
        <v>4.8559999999999999</v>
      </c>
      <c r="F20" s="234">
        <f>ROUND('Table 2A BaseLoad'!H78/10,3)</f>
        <v>5.0549999999999997</v>
      </c>
      <c r="G20" s="234"/>
      <c r="H20" s="235"/>
      <c r="I20" s="345"/>
      <c r="J20" s="456"/>
      <c r="K20" s="457"/>
      <c r="L20" s="457"/>
      <c r="M20" s="235"/>
      <c r="N20" s="235"/>
      <c r="O20" s="235"/>
      <c r="P20" s="235"/>
      <c r="T20" s="235"/>
      <c r="W20" s="236"/>
    </row>
    <row r="21" spans="1:23" x14ac:dyDescent="0.2">
      <c r="A21" s="232"/>
      <c r="B21" s="233">
        <v>2027</v>
      </c>
      <c r="C21" s="235">
        <f>ROUND(INDEX('Tables 3 to 6'!Z:Z,MATCH(B21,'Tables 3 to 6'!B:B,0))/10,3)</f>
        <v>7.4720000000000004</v>
      </c>
      <c r="D21" s="234">
        <f t="shared" ref="D21:D32" si="0">C21</f>
        <v>7.4720000000000004</v>
      </c>
      <c r="E21" s="235">
        <f>ROUND(INDEX('Tables 3 to 6'!AA:AA,MATCH(B21,'Tables 3 to 6'!B:B,0))/10,3)</f>
        <v>4.2229999999999999</v>
      </c>
      <c r="F21" s="235">
        <f t="shared" ref="F21:F32" si="1">E21</f>
        <v>4.2229999999999999</v>
      </c>
      <c r="G21" s="235"/>
      <c r="H21" s="235"/>
      <c r="I21" s="345"/>
      <c r="J21" s="456"/>
      <c r="K21" s="457"/>
      <c r="L21" s="457"/>
      <c r="M21" s="235"/>
      <c r="N21" s="235"/>
      <c r="O21" s="235"/>
      <c r="P21" s="235"/>
      <c r="T21" s="235"/>
    </row>
    <row r="22" spans="1:23" x14ac:dyDescent="0.2">
      <c r="A22" s="232"/>
      <c r="B22" s="233">
        <v>2028</v>
      </c>
      <c r="C22" s="235">
        <f>ROUND(INDEX('Tables 3 to 6'!Z:Z,MATCH(B22,'Tables 3 to 6'!B:B,0))/10,3)</f>
        <v>7.6929999999999996</v>
      </c>
      <c r="D22" s="234">
        <f t="shared" si="0"/>
        <v>7.6929999999999996</v>
      </c>
      <c r="E22" s="235">
        <f>ROUND(INDEX('Tables 3 to 6'!AA:AA,MATCH(B22,'Tables 3 to 6'!B:B,0))/10,3)</f>
        <v>4.3819999999999997</v>
      </c>
      <c r="F22" s="235">
        <f t="shared" si="1"/>
        <v>4.3819999999999997</v>
      </c>
      <c r="G22" s="235"/>
      <c r="H22" s="235"/>
      <c r="I22" s="345"/>
      <c r="J22" s="456"/>
      <c r="K22" s="457"/>
      <c r="L22" s="457"/>
      <c r="M22" s="235"/>
      <c r="N22" s="235"/>
      <c r="O22" s="235"/>
      <c r="P22" s="235"/>
      <c r="T22" s="235"/>
    </row>
    <row r="23" spans="1:23" x14ac:dyDescent="0.2">
      <c r="A23" s="232"/>
      <c r="B23" s="233">
        <v>2029</v>
      </c>
      <c r="C23" s="235">
        <f>ROUND(INDEX('Tables 3 to 6'!Z:Z,MATCH(B23,'Tables 3 to 6'!B:B,0))/10,3)</f>
        <v>7.9470000000000001</v>
      </c>
      <c r="D23" s="234">
        <f t="shared" si="0"/>
        <v>7.9470000000000001</v>
      </c>
      <c r="E23" s="235">
        <f>ROUND(INDEX('Tables 3 to 6'!AA:AA,MATCH(B23,'Tables 3 to 6'!B:B,0))/10,3)</f>
        <v>4.5730000000000004</v>
      </c>
      <c r="F23" s="235">
        <f t="shared" si="1"/>
        <v>4.5730000000000004</v>
      </c>
      <c r="G23" s="235"/>
      <c r="H23" s="235"/>
      <c r="I23" s="345"/>
      <c r="J23" s="456"/>
      <c r="K23" s="457"/>
      <c r="L23" s="457"/>
      <c r="M23" s="235"/>
      <c r="N23" s="235"/>
      <c r="O23" s="235"/>
      <c r="P23" s="235"/>
      <c r="T23" s="235"/>
    </row>
    <row r="24" spans="1:23" x14ac:dyDescent="0.2">
      <c r="A24" s="232"/>
      <c r="B24" s="233">
        <v>2030</v>
      </c>
      <c r="C24" s="235">
        <f>ROUND(INDEX('Tables 3 to 6'!Z:Z,MATCH(B24,'Tables 3 to 6'!B:B,0))/10,3)</f>
        <v>8.2050000000000001</v>
      </c>
      <c r="D24" s="234">
        <f t="shared" si="0"/>
        <v>8.2050000000000001</v>
      </c>
      <c r="E24" s="235">
        <f>ROUND(INDEX('Tables 3 to 6'!AA:AA,MATCH(B24,'Tables 3 to 6'!B:B,0))/10,3)</f>
        <v>4.766</v>
      </c>
      <c r="F24" s="235">
        <f t="shared" si="1"/>
        <v>4.766</v>
      </c>
      <c r="G24" s="235"/>
      <c r="H24" s="235"/>
      <c r="I24" s="345"/>
      <c r="J24" s="456"/>
      <c r="K24" s="457"/>
      <c r="L24" s="457"/>
      <c r="M24" s="235"/>
      <c r="N24" s="235"/>
      <c r="O24" s="235"/>
      <c r="P24" s="235"/>
      <c r="T24" s="235"/>
    </row>
    <row r="25" spans="1:23" x14ac:dyDescent="0.2">
      <c r="A25" s="232"/>
      <c r="B25" s="233">
        <v>2031</v>
      </c>
      <c r="C25" s="235">
        <f>ROUND(INDEX('Tables 3 to 6'!Z:Z,MATCH(B25,'Tables 3 to 6'!B:B,0))/10,3)</f>
        <v>8.3729999999999993</v>
      </c>
      <c r="D25" s="234">
        <f t="shared" si="0"/>
        <v>8.3729999999999993</v>
      </c>
      <c r="E25" s="235">
        <f>ROUND(INDEX('Tables 3 to 6'!AA:AA,MATCH(B25,'Tables 3 to 6'!B:B,0))/10,3)</f>
        <v>4.8659999999999997</v>
      </c>
      <c r="F25" s="235">
        <f t="shared" si="1"/>
        <v>4.8659999999999997</v>
      </c>
      <c r="G25" s="235"/>
      <c r="H25" s="235"/>
      <c r="I25" s="345"/>
      <c r="J25" s="456"/>
      <c r="K25" s="457"/>
      <c r="L25" s="457"/>
      <c r="M25" s="235"/>
      <c r="N25" s="235"/>
      <c r="O25" s="235"/>
      <c r="P25" s="235"/>
      <c r="T25" s="235"/>
      <c r="U25" s="232"/>
    </row>
    <row r="26" spans="1:23" x14ac:dyDescent="0.2">
      <c r="A26" s="232"/>
      <c r="B26" s="233">
        <v>2032</v>
      </c>
      <c r="C26" s="235">
        <f>ROUND(INDEX('Tables 3 to 6'!Z:Z,MATCH(B26,'Tables 3 to 6'!B:B,0))/10,3)</f>
        <v>8.5370000000000008</v>
      </c>
      <c r="D26" s="234">
        <f t="shared" si="0"/>
        <v>8.5370000000000008</v>
      </c>
      <c r="E26" s="235">
        <f>ROUND(INDEX('Tables 3 to 6'!AA:AA,MATCH(B26,'Tables 3 to 6'!B:B,0))/10,3)</f>
        <v>4.96</v>
      </c>
      <c r="F26" s="235">
        <f t="shared" si="1"/>
        <v>4.96</v>
      </c>
      <c r="G26" s="235"/>
      <c r="H26" s="235"/>
      <c r="I26" s="345"/>
      <c r="J26" s="456"/>
      <c r="K26" s="457"/>
      <c r="L26" s="457"/>
      <c r="M26" s="235"/>
      <c r="N26" s="235"/>
      <c r="O26" s="235"/>
      <c r="P26" s="235"/>
      <c r="T26" s="235"/>
      <c r="U26" s="232"/>
    </row>
    <row r="27" spans="1:23" x14ac:dyDescent="0.2">
      <c r="A27" s="232"/>
      <c r="B27" s="233">
        <v>2033</v>
      </c>
      <c r="C27" s="235">
        <f>ROUND(INDEX('Tables 3 to 6'!Z:Z,MATCH(B27,'Tables 3 to 6'!B:B,0))/10,3)</f>
        <v>8.7089999999999996</v>
      </c>
      <c r="D27" s="234">
        <f t="shared" si="0"/>
        <v>8.7089999999999996</v>
      </c>
      <c r="E27" s="235">
        <f>ROUND(INDEX('Tables 3 to 6'!AA:AA,MATCH(B27,'Tables 3 to 6'!B:B,0))/10,3)</f>
        <v>5.0599999999999996</v>
      </c>
      <c r="F27" s="235">
        <f t="shared" si="1"/>
        <v>5.0599999999999996</v>
      </c>
      <c r="G27" s="235"/>
      <c r="H27" s="235"/>
      <c r="I27" s="345"/>
      <c r="J27" s="456"/>
      <c r="K27" s="457"/>
      <c r="L27" s="457"/>
      <c r="M27" s="235"/>
      <c r="N27" s="235"/>
      <c r="O27" s="235"/>
      <c r="P27" s="235"/>
      <c r="T27" s="235"/>
      <c r="U27" s="232"/>
    </row>
    <row r="28" spans="1:23" x14ac:dyDescent="0.2">
      <c r="A28" s="232"/>
      <c r="B28" s="233">
        <v>2034</v>
      </c>
      <c r="C28" s="235">
        <f>ROUND(INDEX('Tables 3 to 6'!Z:Z,MATCH(B28,'Tables 3 to 6'!B:B,0))/10,3)</f>
        <v>8.8829999999999991</v>
      </c>
      <c r="D28" s="234">
        <f t="shared" si="0"/>
        <v>8.8829999999999991</v>
      </c>
      <c r="E28" s="235">
        <f>ROUND(INDEX('Tables 3 to 6'!AA:AA,MATCH(B28,'Tables 3 to 6'!B:B,0))/10,3)</f>
        <v>5.1609999999999996</v>
      </c>
      <c r="F28" s="235">
        <f t="shared" si="1"/>
        <v>5.1609999999999996</v>
      </c>
      <c r="G28" s="235"/>
      <c r="H28" s="235"/>
      <c r="I28" s="345"/>
      <c r="J28" s="456"/>
      <c r="K28" s="457"/>
      <c r="L28" s="457"/>
      <c r="M28" s="235"/>
      <c r="N28" s="235"/>
      <c r="O28" s="235"/>
      <c r="P28" s="235"/>
      <c r="T28" s="235"/>
      <c r="U28" s="232"/>
    </row>
    <row r="29" spans="1:23" x14ac:dyDescent="0.2">
      <c r="A29" s="232"/>
      <c r="B29" s="233">
        <v>2035</v>
      </c>
      <c r="C29" s="235">
        <f>ROUND(INDEX('Tables 3 to 6'!Z:Z,MATCH(B29,'Tables 3 to 6'!B:B,0))/10,3)</f>
        <v>9.0579999999999998</v>
      </c>
      <c r="D29" s="234">
        <f t="shared" si="0"/>
        <v>9.0579999999999998</v>
      </c>
      <c r="E29" s="235">
        <f>ROUND(INDEX('Tables 3 to 6'!AA:AA,MATCH(B29,'Tables 3 to 6'!B:B,0))/10,3)</f>
        <v>5.2610000000000001</v>
      </c>
      <c r="F29" s="235">
        <f t="shared" si="1"/>
        <v>5.2610000000000001</v>
      </c>
      <c r="G29" s="235"/>
      <c r="H29" s="235"/>
      <c r="I29" s="345"/>
      <c r="J29" s="456"/>
      <c r="K29" s="457"/>
      <c r="L29" s="457"/>
      <c r="M29" s="235"/>
      <c r="N29" s="235"/>
      <c r="O29" s="235"/>
      <c r="P29" s="235"/>
      <c r="T29" s="235"/>
      <c r="U29" s="232"/>
      <c r="W29" s="227" t="s">
        <v>152</v>
      </c>
    </row>
    <row r="30" spans="1:23" x14ac:dyDescent="0.2">
      <c r="A30" s="232"/>
      <c r="B30" s="233">
        <v>2036</v>
      </c>
      <c r="C30" s="235">
        <f>ROUND(INDEX('Tables 3 to 6'!Z:Z,MATCH(B30,'Tables 3 to 6'!B:B,0))/10,3)</f>
        <v>9.2509999999999994</v>
      </c>
      <c r="D30" s="234">
        <f t="shared" si="0"/>
        <v>9.2509999999999994</v>
      </c>
      <c r="E30" s="235">
        <f>ROUND(INDEX('Tables 3 to 6'!AA:AA,MATCH(B30,'Tables 3 to 6'!B:B,0))/10,3)</f>
        <v>5.375</v>
      </c>
      <c r="F30" s="235">
        <f t="shared" si="1"/>
        <v>5.375</v>
      </c>
      <c r="G30" s="235"/>
      <c r="H30" s="235"/>
      <c r="I30" s="345"/>
      <c r="J30" s="456"/>
      <c r="K30" s="457"/>
      <c r="L30" s="457"/>
      <c r="M30" s="235"/>
      <c r="N30" s="235"/>
      <c r="O30" s="235"/>
      <c r="P30" s="235"/>
      <c r="T30" s="235"/>
      <c r="U30" s="232"/>
      <c r="W30" s="237">
        <v>6.8820000000000006E-2</v>
      </c>
    </row>
    <row r="31" spans="1:23" x14ac:dyDescent="0.2">
      <c r="A31" s="232"/>
      <c r="B31" s="233">
        <v>2037</v>
      </c>
      <c r="C31" s="235">
        <f>ROUND(INDEX('Tables 3 to 6'!Z:Z,MATCH(B31,'Tables 3 to 6'!B:B,0))/10,3)</f>
        <v>9.4469999999999992</v>
      </c>
      <c r="D31" s="234">
        <f t="shared" si="0"/>
        <v>9.4469999999999992</v>
      </c>
      <c r="E31" s="235">
        <f>ROUND(INDEX('Tables 3 to 6'!AA:AA,MATCH(B31,'Tables 3 to 6'!B:B,0))/10,3)</f>
        <v>5.4889999999999999</v>
      </c>
      <c r="F31" s="235">
        <f t="shared" si="1"/>
        <v>5.4889999999999999</v>
      </c>
      <c r="G31" s="235"/>
      <c r="H31" s="235"/>
      <c r="I31" s="345"/>
      <c r="J31" s="456"/>
      <c r="K31" s="457"/>
      <c r="L31" s="457"/>
      <c r="M31" s="235"/>
      <c r="N31" s="235"/>
      <c r="O31" s="235"/>
      <c r="P31" s="235"/>
      <c r="T31" s="235"/>
      <c r="U31" s="232"/>
    </row>
    <row r="32" spans="1:23" x14ac:dyDescent="0.2">
      <c r="A32" s="232"/>
      <c r="B32" s="233">
        <v>2038</v>
      </c>
      <c r="C32" s="235">
        <f>ROUND(INDEX('Tables 3 to 6'!Z:Z,MATCH(B32,'Tables 3 to 6'!B:B,0))/10,3)</f>
        <v>9.6440000000000001</v>
      </c>
      <c r="D32" s="234">
        <f t="shared" si="0"/>
        <v>9.6440000000000001</v>
      </c>
      <c r="E32" s="235">
        <f>ROUND(INDEX('Tables 3 to 6'!AA:AA,MATCH(B32,'Tables 3 to 6'!B:B,0))/10,3)</f>
        <v>5.6029999999999998</v>
      </c>
      <c r="F32" s="235">
        <f t="shared" si="1"/>
        <v>5.6029999999999998</v>
      </c>
      <c r="G32" s="235"/>
      <c r="H32" s="235"/>
      <c r="I32" s="345"/>
      <c r="J32" s="456"/>
      <c r="K32" s="457"/>
      <c r="L32" s="457"/>
      <c r="M32" s="235"/>
      <c r="N32" s="235"/>
      <c r="O32" s="235"/>
      <c r="P32" s="235"/>
      <c r="T32" s="235"/>
      <c r="U32" s="232"/>
    </row>
    <row r="33" spans="1:21" x14ac:dyDescent="0.2">
      <c r="A33" s="232"/>
      <c r="B33" s="233"/>
      <c r="C33" s="232"/>
      <c r="D33" s="232"/>
      <c r="E33" s="232"/>
      <c r="F33" s="232"/>
      <c r="G33" s="232"/>
      <c r="H33" s="333"/>
      <c r="I33" s="345"/>
      <c r="J33" s="456"/>
      <c r="K33" s="457"/>
      <c r="L33" s="457"/>
      <c r="M33" s="333"/>
      <c r="N33" s="333"/>
      <c r="O33" s="333"/>
      <c r="P33" s="333"/>
      <c r="T33" s="333"/>
      <c r="U33" s="232"/>
    </row>
    <row r="34" spans="1:21" x14ac:dyDescent="0.2">
      <c r="A34" s="232"/>
      <c r="C34" s="230" t="s">
        <v>318</v>
      </c>
      <c r="D34" s="230"/>
      <c r="E34" s="334" t="s">
        <v>135</v>
      </c>
      <c r="F34" s="334"/>
      <c r="G34" s="230"/>
      <c r="H34" s="333"/>
      <c r="I34" s="345"/>
      <c r="J34" s="456"/>
      <c r="L34" s="457"/>
      <c r="M34" s="333"/>
      <c r="N34" s="333"/>
      <c r="O34" s="333"/>
      <c r="P34" s="333"/>
      <c r="T34" s="230"/>
      <c r="U34" s="232"/>
    </row>
    <row r="35" spans="1:21" ht="14.25" x14ac:dyDescent="0.35">
      <c r="A35" s="232"/>
      <c r="B35" s="238"/>
      <c r="C35" s="231" t="s">
        <v>62</v>
      </c>
      <c r="D35" s="231" t="s">
        <v>63</v>
      </c>
      <c r="E35" s="231" t="s">
        <v>62</v>
      </c>
      <c r="F35" s="231" t="s">
        <v>63</v>
      </c>
      <c r="G35" s="231"/>
      <c r="H35" s="349"/>
      <c r="I35" s="345"/>
      <c r="K35" s="457"/>
      <c r="L35" s="457"/>
      <c r="M35" s="333"/>
      <c r="N35" s="333"/>
      <c r="O35" s="333"/>
      <c r="P35" s="333"/>
      <c r="T35" s="231"/>
      <c r="U35" s="232"/>
    </row>
    <row r="36" spans="1:21" ht="36" customHeight="1" x14ac:dyDescent="0.2">
      <c r="B36" s="239" t="s">
        <v>319</v>
      </c>
      <c r="C36" s="240">
        <f>-PMT($W$30,COUNT(C9:C28),NPV($W$30,C9:C28))</f>
        <v>5.029909393841316</v>
      </c>
      <c r="D36" s="240">
        <f>-PMT($W$30,COUNT(D9:D28),NPV($W$30,D9:D28))</f>
        <v>5.3880750241080486</v>
      </c>
      <c r="E36" s="240">
        <f>-PMT($W$30,COUNT(E9:E28),NPV($W$30,E9:E28))</f>
        <v>3.774821533250873</v>
      </c>
      <c r="F36" s="240">
        <f>-PMT($W$30,COUNT(F9:F28),NPV($W$30,F9:F28))</f>
        <v>3.7793938835040111</v>
      </c>
      <c r="G36" s="240"/>
      <c r="H36" s="240"/>
      <c r="T36" s="240"/>
      <c r="U36" s="232"/>
    </row>
    <row r="37" spans="1:21" x14ac:dyDescent="0.2">
      <c r="A37" s="238"/>
      <c r="H37" s="345"/>
      <c r="U37" s="232"/>
    </row>
    <row r="38" spans="1:21" x14ac:dyDescent="0.2">
      <c r="A38" s="241"/>
      <c r="U38" s="232"/>
    </row>
    <row r="39" spans="1:21" x14ac:dyDescent="0.2">
      <c r="A39" s="242"/>
    </row>
    <row r="40" spans="1:21" ht="12.75" x14ac:dyDescent="0.2">
      <c r="A40" s="242"/>
      <c r="B40" s="60"/>
      <c r="C40" s="60"/>
      <c r="D40" s="60"/>
      <c r="E40" s="60"/>
      <c r="F40" s="243"/>
      <c r="G40" s="243"/>
      <c r="J40" s="228"/>
      <c r="L40" s="242"/>
      <c r="M40" s="242"/>
      <c r="N40" s="242"/>
      <c r="O40" s="242"/>
      <c r="P40" s="242"/>
    </row>
    <row r="41" spans="1:21" ht="12.75" x14ac:dyDescent="0.2">
      <c r="A41" s="242"/>
      <c r="B41" s="329"/>
      <c r="C41" s="329"/>
      <c r="D41" s="246"/>
      <c r="E41" s="246"/>
      <c r="F41" s="243"/>
      <c r="G41" s="243"/>
      <c r="J41" s="228"/>
      <c r="L41" s="242"/>
      <c r="M41" s="242"/>
      <c r="N41" s="242"/>
      <c r="O41" s="242"/>
      <c r="P41" s="242"/>
    </row>
    <row r="42" spans="1:21" ht="12.75" x14ac:dyDescent="0.2">
      <c r="A42" s="232"/>
      <c r="B42" s="329"/>
      <c r="C42" s="329"/>
      <c r="D42" s="246"/>
      <c r="E42" s="246"/>
      <c r="F42" s="232"/>
      <c r="G42" s="232"/>
      <c r="J42" s="337"/>
      <c r="K42" s="333"/>
      <c r="L42" s="333"/>
      <c r="M42" s="333"/>
      <c r="N42" s="333"/>
      <c r="O42" s="333"/>
      <c r="P42" s="333"/>
    </row>
    <row r="43" spans="1:21" ht="12.75" x14ac:dyDescent="0.2">
      <c r="A43" s="241"/>
      <c r="B43" s="329"/>
      <c r="C43" s="329"/>
      <c r="D43" s="246"/>
      <c r="E43" s="246"/>
      <c r="K43" s="457"/>
      <c r="M43" s="461"/>
      <c r="N43" s="461"/>
      <c r="O43" s="461"/>
      <c r="P43" s="461"/>
    </row>
    <row r="44" spans="1:21" ht="12.75" x14ac:dyDescent="0.2">
      <c r="A44" s="241"/>
      <c r="B44" s="329"/>
      <c r="C44" s="329"/>
      <c r="D44" s="246"/>
      <c r="E44" s="246"/>
      <c r="M44" s="461"/>
      <c r="N44" s="461"/>
      <c r="O44" s="461"/>
      <c r="P44" s="461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  <ignoredErrors>
    <ignoredError sqref="E21:E3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45"/>
  <sheetViews>
    <sheetView showGridLines="0" topLeftCell="A32" zoomScale="110" zoomScaleNormal="110" workbookViewId="0">
      <selection activeCell="B2" sqref="B2"/>
    </sheetView>
  </sheetViews>
  <sheetFormatPr defaultRowHeight="12" x14ac:dyDescent="0.2"/>
  <cols>
    <col min="1" max="1" width="2.83203125" style="227" customWidth="1"/>
    <col min="2" max="2" width="19.6640625" style="227" customWidth="1"/>
    <col min="3" max="5" width="18.83203125" style="227" customWidth="1"/>
    <col min="6" max="6" width="15" style="227" customWidth="1"/>
    <col min="7" max="7" width="6.5" style="227" customWidth="1"/>
    <col min="8" max="8" width="4.33203125" style="336" customWidth="1"/>
    <col min="9" max="19" width="1" style="336" customWidth="1"/>
    <col min="20" max="20" width="8" style="227" customWidth="1"/>
    <col min="21" max="21" width="10.1640625" style="227" customWidth="1"/>
    <col min="22" max="22" width="7.1640625" style="227" customWidth="1"/>
    <col min="23" max="23" width="9.33203125" style="352"/>
    <col min="24" max="24" width="11.6640625" style="352" customWidth="1"/>
    <col min="25" max="25" width="3.5" style="352" customWidth="1"/>
    <col min="26" max="26" width="17.1640625" style="352" customWidth="1"/>
    <col min="27" max="27" width="12.5" style="352" customWidth="1"/>
    <col min="28" max="28" width="11" style="352" customWidth="1"/>
    <col min="29" max="29" width="3.83203125" style="352" customWidth="1"/>
    <col min="30" max="31" width="12.5" style="352" customWidth="1"/>
    <col min="32" max="32" width="3.83203125" style="352" customWidth="1"/>
    <col min="33" max="34" width="12.5" style="352" customWidth="1"/>
    <col min="35" max="35" width="3.33203125" style="352" customWidth="1"/>
    <col min="36" max="37" width="12.5" style="352" customWidth="1"/>
    <col min="38" max="38" width="9.33203125" style="227" customWidth="1"/>
    <col min="39" max="41" width="5" style="336" customWidth="1"/>
    <col min="42" max="42" width="10.5" style="336" customWidth="1"/>
    <col min="43" max="16384" width="9.33203125" style="227"/>
  </cols>
  <sheetData>
    <row r="1" spans="1:41" x14ac:dyDescent="0.2">
      <c r="A1" s="2"/>
      <c r="B1" s="2"/>
      <c r="C1" s="2"/>
      <c r="D1" s="2"/>
      <c r="E1" s="2"/>
      <c r="F1" s="2"/>
      <c r="G1" s="2"/>
      <c r="H1" s="458"/>
      <c r="I1" s="464"/>
      <c r="J1" s="342"/>
      <c r="K1" s="342"/>
      <c r="L1" s="342"/>
      <c r="M1" s="342"/>
      <c r="N1" s="342"/>
      <c r="O1" s="342"/>
      <c r="P1" s="342"/>
      <c r="T1" s="330"/>
      <c r="U1" s="2"/>
      <c r="X1" s="351"/>
      <c r="Y1" s="351"/>
      <c r="AM1" s="342"/>
      <c r="AN1" s="342"/>
      <c r="AO1" s="342"/>
    </row>
    <row r="2" spans="1:41" x14ac:dyDescent="0.2">
      <c r="A2" s="2"/>
      <c r="B2" s="2" t="s">
        <v>108</v>
      </c>
      <c r="C2" s="2"/>
      <c r="D2" s="2"/>
      <c r="E2" s="2"/>
      <c r="F2" s="2"/>
      <c r="G2" s="2"/>
      <c r="H2" s="459"/>
      <c r="J2" s="342"/>
      <c r="K2" s="342"/>
      <c r="L2" s="342"/>
      <c r="M2" s="342"/>
      <c r="N2" s="342"/>
      <c r="O2" s="342"/>
      <c r="P2" s="342"/>
      <c r="T2" s="2"/>
      <c r="U2" s="2"/>
      <c r="X2" s="351"/>
      <c r="Y2" s="351"/>
      <c r="AM2" s="342"/>
      <c r="AN2" s="342"/>
      <c r="AO2" s="342"/>
    </row>
    <row r="3" spans="1:41" x14ac:dyDescent="0.2">
      <c r="H3" s="460"/>
      <c r="K3" s="465"/>
      <c r="L3" s="465"/>
      <c r="X3" s="351"/>
      <c r="Y3" s="351"/>
    </row>
    <row r="4" spans="1:41" x14ac:dyDescent="0.2">
      <c r="A4" s="228"/>
      <c r="B4" s="258" t="s">
        <v>265</v>
      </c>
      <c r="C4" s="228"/>
      <c r="D4" s="228"/>
      <c r="E4" s="228"/>
      <c r="F4" s="228"/>
      <c r="G4" s="228"/>
      <c r="H4" s="228"/>
      <c r="K4" s="452"/>
      <c r="L4" s="452"/>
      <c r="M4" s="452"/>
      <c r="N4" s="452"/>
      <c r="O4" s="452"/>
      <c r="P4" s="452"/>
      <c r="R4" s="452"/>
      <c r="S4" s="452"/>
      <c r="T4" s="228"/>
      <c r="X4" s="353"/>
      <c r="Y4" s="353"/>
      <c r="AA4" s="354"/>
      <c r="AD4" s="354"/>
      <c r="AG4" s="354"/>
      <c r="AJ4" s="354"/>
      <c r="AM4" s="228"/>
      <c r="AN4" s="228"/>
      <c r="AO4" s="228"/>
    </row>
    <row r="5" spans="1:41" x14ac:dyDescent="0.2">
      <c r="A5" s="228"/>
      <c r="B5" s="228"/>
      <c r="H5" s="332"/>
      <c r="J5" s="228"/>
      <c r="K5" s="228"/>
      <c r="L5" s="228"/>
      <c r="M5" s="228"/>
      <c r="N5" s="228"/>
      <c r="O5" s="228"/>
      <c r="P5" s="228"/>
      <c r="R5" s="228"/>
      <c r="S5" s="228"/>
      <c r="T5" s="332"/>
    </row>
    <row r="6" spans="1:41" x14ac:dyDescent="0.2">
      <c r="A6" s="228"/>
      <c r="B6" s="229" t="s">
        <v>136</v>
      </c>
      <c r="C6" s="230" t="s">
        <v>320</v>
      </c>
      <c r="D6" s="230"/>
      <c r="E6" s="334" t="s">
        <v>178</v>
      </c>
      <c r="F6" s="230"/>
      <c r="G6" s="230"/>
      <c r="H6" s="228"/>
      <c r="J6" s="228"/>
      <c r="K6" s="228"/>
      <c r="L6" s="228"/>
      <c r="M6" s="228"/>
      <c r="N6" s="228"/>
      <c r="O6" s="228"/>
      <c r="P6" s="228"/>
      <c r="R6" s="228"/>
      <c r="S6" s="228"/>
      <c r="T6" s="228"/>
      <c r="Y6" s="355"/>
      <c r="AA6" s="352" t="s">
        <v>287</v>
      </c>
      <c r="AD6" s="352" t="s">
        <v>288</v>
      </c>
      <c r="AG6" s="352" t="s">
        <v>289</v>
      </c>
      <c r="AJ6" s="352" t="s">
        <v>290</v>
      </c>
      <c r="AM6" s="230"/>
      <c r="AN6" s="230"/>
      <c r="AO6" s="230"/>
    </row>
    <row r="7" spans="1:41" ht="14.25" x14ac:dyDescent="0.35">
      <c r="A7" s="228"/>
      <c r="B7" s="229" t="s">
        <v>133</v>
      </c>
      <c r="C7" s="231" t="s">
        <v>62</v>
      </c>
      <c r="D7" s="231" t="s">
        <v>63</v>
      </c>
      <c r="E7" s="231" t="s">
        <v>62</v>
      </c>
      <c r="F7" s="231" t="s">
        <v>63</v>
      </c>
      <c r="G7" s="231"/>
      <c r="H7" s="228"/>
      <c r="J7" s="231"/>
      <c r="K7" s="231"/>
      <c r="L7" s="231"/>
      <c r="M7" s="231"/>
      <c r="N7" s="231"/>
      <c r="O7" s="231"/>
      <c r="P7" s="231"/>
      <c r="R7" s="231"/>
      <c r="S7" s="231"/>
      <c r="T7" s="228"/>
      <c r="X7" s="356" t="s">
        <v>291</v>
      </c>
      <c r="Y7" s="357"/>
      <c r="Z7" s="358" t="s">
        <v>282</v>
      </c>
      <c r="AA7" s="358" t="s">
        <v>281</v>
      </c>
      <c r="AB7" s="352" t="s">
        <v>283</v>
      </c>
      <c r="AD7" s="358" t="s">
        <v>281</v>
      </c>
      <c r="AE7" s="352" t="s">
        <v>283</v>
      </c>
      <c r="AG7" s="358" t="s">
        <v>281</v>
      </c>
      <c r="AH7" s="352" t="s">
        <v>283</v>
      </c>
      <c r="AJ7" s="358" t="s">
        <v>281</v>
      </c>
      <c r="AK7" s="352" t="s">
        <v>283</v>
      </c>
      <c r="AM7" s="231"/>
      <c r="AN7" s="231"/>
      <c r="AO7" s="231"/>
    </row>
    <row r="8" spans="1:41" hidden="1" x14ac:dyDescent="0.2">
      <c r="A8" s="232"/>
      <c r="B8" s="233">
        <v>2014</v>
      </c>
      <c r="C8" s="234">
        <f>ROUND('Table 2C SolarFixed'!C66/10,3)</f>
        <v>2.7759999999999998</v>
      </c>
      <c r="D8" s="234">
        <f>ROUND('Table 2C SolarFixed'!G66/10,3)</f>
        <v>3.5249999999999999</v>
      </c>
      <c r="E8" s="234">
        <f>ROUND('Table 2C SolarFixed'!D66/10,3)</f>
        <v>2.2090000000000001</v>
      </c>
      <c r="F8" s="234">
        <f>ROUND('Table 2C SolarFixed'!H66/10,3)</f>
        <v>2.2919999999999998</v>
      </c>
      <c r="G8" s="234"/>
      <c r="H8" s="235"/>
      <c r="I8" s="345"/>
      <c r="J8" s="456"/>
      <c r="K8" s="457"/>
      <c r="L8" s="457"/>
      <c r="M8" s="235"/>
      <c r="N8" s="235"/>
      <c r="O8" s="235"/>
      <c r="P8" s="235"/>
      <c r="R8" s="457"/>
      <c r="S8" s="454"/>
      <c r="T8" s="235"/>
      <c r="U8" s="331"/>
      <c r="X8" s="359">
        <v>1</v>
      </c>
      <c r="Y8" s="360"/>
      <c r="Z8" s="352">
        <f>1*8760*$X8</f>
        <v>8760</v>
      </c>
      <c r="AA8" s="361">
        <f t="shared" ref="AA8:AA32" si="0">C8*1*8760*$X8</f>
        <v>24317.759999999998</v>
      </c>
      <c r="AB8" s="352">
        <f t="shared" ref="AB8:AB32" si="1">Z8*$AB$36</f>
        <v>38643.149581607926</v>
      </c>
      <c r="AD8" s="361">
        <f t="shared" ref="AD8:AD32" si="2">D8*1*8760*$X8</f>
        <v>30879</v>
      </c>
      <c r="AE8" s="352">
        <f>Z8*$AE$36</f>
        <v>41827.862142260339</v>
      </c>
      <c r="AG8" s="361">
        <f t="shared" ref="AG8:AG32" si="3">E8*1*8760*$X8</f>
        <v>19350.84</v>
      </c>
      <c r="AH8" s="352">
        <f>Z8*$AH$36</f>
        <v>30295.79294167937</v>
      </c>
      <c r="AJ8" s="361">
        <f t="shared" ref="AJ8:AJ32" si="4">F8*1*8760*$X8</f>
        <v>20077.919999999998</v>
      </c>
      <c r="AK8" s="352">
        <f>Z8*$AK$36</f>
        <v>30311.467660380138</v>
      </c>
      <c r="AM8" s="235"/>
      <c r="AN8" s="235"/>
      <c r="AO8" s="235"/>
    </row>
    <row r="9" spans="1:41" x14ac:dyDescent="0.2">
      <c r="A9" s="232"/>
      <c r="B9" s="233">
        <v>2015</v>
      </c>
      <c r="C9" s="234">
        <f>ROUND('Table 2C SolarFixed'!C67/10,3)</f>
        <v>3.331</v>
      </c>
      <c r="D9" s="234">
        <f>ROUND('Table 2C SolarFixed'!G67/10,3)</f>
        <v>3.5270000000000001</v>
      </c>
      <c r="E9" s="234">
        <f>ROUND('Table 2C SolarFixed'!D67/10,3)</f>
        <v>2.5710000000000002</v>
      </c>
      <c r="F9" s="234">
        <f>ROUND('Table 2C SolarFixed'!H67/10,3)</f>
        <v>2.2090000000000001</v>
      </c>
      <c r="G9" s="234"/>
      <c r="H9" s="235"/>
      <c r="I9" s="345"/>
      <c r="J9" s="456"/>
      <c r="K9" s="457"/>
      <c r="L9" s="457"/>
      <c r="M9" s="235"/>
      <c r="N9" s="235"/>
      <c r="O9" s="235"/>
      <c r="P9" s="235"/>
      <c r="R9" s="457"/>
      <c r="S9" s="454"/>
      <c r="T9" s="235"/>
      <c r="X9" s="360">
        <f>X8-0.007</f>
        <v>0.99299999999999999</v>
      </c>
      <c r="Y9" s="360"/>
      <c r="Z9" s="352">
        <f t="shared" ref="Z9:Z32" si="5">1*8760*$X9</f>
        <v>8698.68</v>
      </c>
      <c r="AA9" s="361">
        <f t="shared" si="0"/>
        <v>28975.303080000002</v>
      </c>
      <c r="AB9" s="352">
        <f t="shared" si="1"/>
        <v>38372.647534536671</v>
      </c>
      <c r="AD9" s="361">
        <f t="shared" si="2"/>
        <v>30680.244360000001</v>
      </c>
      <c r="AE9" s="352">
        <f t="shared" ref="AE9:AE32" si="6">Z9*$AE$36</f>
        <v>41535.06710726452</v>
      </c>
      <c r="AG9" s="361">
        <f t="shared" si="3"/>
        <v>22364.306280000004</v>
      </c>
      <c r="AH9" s="352">
        <f t="shared" ref="AH9:AH32" si="7">Z9*$AH$36</f>
        <v>30083.722391087616</v>
      </c>
      <c r="AJ9" s="361">
        <f t="shared" si="4"/>
        <v>19215.384119999999</v>
      </c>
      <c r="AK9" s="352">
        <f t="shared" ref="AK9:AK32" si="8">Z9*$AK$36</f>
        <v>30099.287386757478</v>
      </c>
      <c r="AM9" s="235"/>
      <c r="AN9" s="235"/>
      <c r="AO9" s="235"/>
    </row>
    <row r="10" spans="1:41" x14ac:dyDescent="0.2">
      <c r="A10" s="232"/>
      <c r="B10" s="233">
        <v>2016</v>
      </c>
      <c r="C10" s="234">
        <f>ROUND('Table 2C SolarFixed'!C68/10,3)</f>
        <v>2.992</v>
      </c>
      <c r="D10" s="234">
        <f>ROUND('Table 2C SolarFixed'!G68/10,3)</f>
        <v>3.3769999999999998</v>
      </c>
      <c r="E10" s="234">
        <f>ROUND('Table 2C SolarFixed'!D68/10,3)</f>
        <v>2.3130000000000002</v>
      </c>
      <c r="F10" s="234">
        <f>ROUND('Table 2C SolarFixed'!H68/10,3)</f>
        <v>2.13</v>
      </c>
      <c r="G10" s="234"/>
      <c r="H10" s="235"/>
      <c r="I10" s="345"/>
      <c r="J10" s="456"/>
      <c r="K10" s="457"/>
      <c r="L10" s="457"/>
      <c r="M10" s="235"/>
      <c r="N10" s="235"/>
      <c r="O10" s="235"/>
      <c r="P10" s="235"/>
      <c r="T10" s="235"/>
      <c r="X10" s="360">
        <f t="shared" ref="X10:X32" si="9">X9-0.007</f>
        <v>0.98599999999999999</v>
      </c>
      <c r="Y10" s="360"/>
      <c r="Z10" s="352">
        <f t="shared" si="5"/>
        <v>8637.36</v>
      </c>
      <c r="AA10" s="361">
        <f t="shared" si="0"/>
        <v>25842.981119999997</v>
      </c>
      <c r="AB10" s="352">
        <f t="shared" si="1"/>
        <v>38102.145487465423</v>
      </c>
      <c r="AD10" s="361">
        <f t="shared" si="2"/>
        <v>29168.364719999998</v>
      </c>
      <c r="AE10" s="352">
        <f t="shared" si="6"/>
        <v>41242.272072268701</v>
      </c>
      <c r="AG10" s="361">
        <f t="shared" si="3"/>
        <v>19978.213680000001</v>
      </c>
      <c r="AH10" s="352">
        <f t="shared" si="7"/>
        <v>29871.651840495862</v>
      </c>
      <c r="AJ10" s="361">
        <f t="shared" si="4"/>
        <v>18397.576799999999</v>
      </c>
      <c r="AK10" s="352">
        <f t="shared" si="8"/>
        <v>29887.107113134818</v>
      </c>
      <c r="AM10" s="235"/>
      <c r="AN10" s="235"/>
      <c r="AO10" s="235"/>
    </row>
    <row r="11" spans="1:41" x14ac:dyDescent="0.2">
      <c r="A11" s="232"/>
      <c r="B11" s="233">
        <v>2017</v>
      </c>
      <c r="C11" s="234">
        <f>ROUND('Table 2C SolarFixed'!C69/10,3)</f>
        <v>3.0619999999999998</v>
      </c>
      <c r="D11" s="234">
        <f>ROUND('Table 2C SolarFixed'!G69/10,3)</f>
        <v>3.6120000000000001</v>
      </c>
      <c r="E11" s="234">
        <f>ROUND('Table 2C SolarFixed'!D69/10,3)</f>
        <v>2.3759999999999999</v>
      </c>
      <c r="F11" s="234">
        <f>ROUND('Table 2C SolarFixed'!H69/10,3)</f>
        <v>2.3250000000000002</v>
      </c>
      <c r="G11" s="234"/>
      <c r="H11" s="235"/>
      <c r="I11" s="345"/>
      <c r="J11" s="456"/>
      <c r="K11" s="457"/>
      <c r="L11" s="457"/>
      <c r="M11" s="235"/>
      <c r="N11" s="235"/>
      <c r="O11" s="235"/>
      <c r="P11" s="235"/>
      <c r="T11" s="235"/>
      <c r="X11" s="360">
        <f t="shared" si="9"/>
        <v>0.97899999999999998</v>
      </c>
      <c r="Y11" s="360"/>
      <c r="Z11" s="352">
        <f t="shared" si="5"/>
        <v>8576.0399999999991</v>
      </c>
      <c r="AA11" s="361">
        <f t="shared" si="0"/>
        <v>26259.834479999998</v>
      </c>
      <c r="AB11" s="352">
        <f t="shared" si="1"/>
        <v>37831.64344039416</v>
      </c>
      <c r="AD11" s="361">
        <f t="shared" si="2"/>
        <v>30976.656480000001</v>
      </c>
      <c r="AE11" s="352">
        <f t="shared" si="6"/>
        <v>40949.477037272867</v>
      </c>
      <c r="AG11" s="361">
        <f t="shared" si="3"/>
        <v>20376.671039999997</v>
      </c>
      <c r="AH11" s="352">
        <f t="shared" si="7"/>
        <v>29659.581289904101</v>
      </c>
      <c r="AJ11" s="361">
        <f t="shared" si="4"/>
        <v>19939.292999999998</v>
      </c>
      <c r="AK11" s="352">
        <f t="shared" si="8"/>
        <v>29674.926839512154</v>
      </c>
      <c r="AM11" s="235"/>
      <c r="AN11" s="235"/>
      <c r="AO11" s="235"/>
    </row>
    <row r="12" spans="1:41" x14ac:dyDescent="0.2">
      <c r="A12" s="232"/>
      <c r="B12" s="233">
        <v>2018</v>
      </c>
      <c r="C12" s="234">
        <f>ROUND('Table 2C SolarFixed'!C70/10,3)</f>
        <v>3.3450000000000002</v>
      </c>
      <c r="D12" s="234">
        <f>ROUND('Table 2C SolarFixed'!G70/10,3)</f>
        <v>3.8530000000000002</v>
      </c>
      <c r="E12" s="234">
        <f>ROUND('Table 2C SolarFixed'!D70/10,3)</f>
        <v>2.5990000000000002</v>
      </c>
      <c r="F12" s="234">
        <f>ROUND('Table 2C SolarFixed'!H70/10,3)</f>
        <v>2.5110000000000001</v>
      </c>
      <c r="G12" s="234"/>
      <c r="H12" s="235"/>
      <c r="I12" s="345"/>
      <c r="J12" s="456"/>
      <c r="K12" s="457"/>
      <c r="L12" s="457"/>
      <c r="M12" s="235"/>
      <c r="N12" s="235"/>
      <c r="O12" s="235"/>
      <c r="P12" s="235"/>
      <c r="T12" s="235"/>
      <c r="X12" s="360">
        <f t="shared" si="9"/>
        <v>0.97199999999999998</v>
      </c>
      <c r="Y12" s="360"/>
      <c r="Z12" s="352">
        <f t="shared" si="5"/>
        <v>8514.7199999999993</v>
      </c>
      <c r="AA12" s="361">
        <f t="shared" si="0"/>
        <v>28481.738399999998</v>
      </c>
      <c r="AB12" s="352">
        <f t="shared" si="1"/>
        <v>37561.141393322905</v>
      </c>
      <c r="AD12" s="361">
        <f t="shared" si="2"/>
        <v>32807.216159999996</v>
      </c>
      <c r="AE12" s="352">
        <f t="shared" si="6"/>
        <v>40656.682002277048</v>
      </c>
      <c r="AG12" s="361">
        <f t="shared" si="3"/>
        <v>22129.757280000002</v>
      </c>
      <c r="AH12" s="352">
        <f t="shared" si="7"/>
        <v>29447.510739312347</v>
      </c>
      <c r="AJ12" s="361">
        <f t="shared" si="4"/>
        <v>21380.461920000002</v>
      </c>
      <c r="AK12" s="352">
        <f t="shared" si="8"/>
        <v>29462.746565889494</v>
      </c>
      <c r="AM12" s="235"/>
      <c r="AN12" s="235"/>
      <c r="AO12" s="235"/>
    </row>
    <row r="13" spans="1:41" x14ac:dyDescent="0.2">
      <c r="A13" s="232"/>
      <c r="B13" s="233">
        <v>2019</v>
      </c>
      <c r="C13" s="234">
        <f>ROUND('Table 2C SolarFixed'!C71/10,3)</f>
        <v>3.488</v>
      </c>
      <c r="D13" s="234">
        <f>ROUND('Table 2C SolarFixed'!G71/10,3)</f>
        <v>4.0590000000000002</v>
      </c>
      <c r="E13" s="234">
        <f>ROUND('Table 2C SolarFixed'!D71/10,3)</f>
        <v>2.7480000000000002</v>
      </c>
      <c r="F13" s="234">
        <f>ROUND('Table 2C SolarFixed'!H71/10,3)</f>
        <v>2.7080000000000002</v>
      </c>
      <c r="G13" s="234"/>
      <c r="H13" s="235"/>
      <c r="I13" s="345"/>
      <c r="J13" s="456"/>
      <c r="K13" s="457"/>
      <c r="L13" s="457"/>
      <c r="M13" s="235"/>
      <c r="N13" s="235"/>
      <c r="O13" s="235"/>
      <c r="P13" s="235"/>
      <c r="T13" s="235"/>
      <c r="X13" s="360">
        <f t="shared" si="9"/>
        <v>0.96499999999999997</v>
      </c>
      <c r="Y13" s="360"/>
      <c r="Z13" s="352">
        <f t="shared" si="5"/>
        <v>8453.4</v>
      </c>
      <c r="AA13" s="361">
        <f t="shared" si="0"/>
        <v>29485.459200000001</v>
      </c>
      <c r="AB13" s="352">
        <f t="shared" si="1"/>
        <v>37290.63934625165</v>
      </c>
      <c r="AD13" s="361">
        <f t="shared" si="2"/>
        <v>34312.350600000005</v>
      </c>
      <c r="AE13" s="352">
        <f t="shared" si="6"/>
        <v>40363.886967281229</v>
      </c>
      <c r="AG13" s="361">
        <f t="shared" si="3"/>
        <v>23229.943200000002</v>
      </c>
      <c r="AH13" s="352">
        <f t="shared" si="7"/>
        <v>29235.44018872059</v>
      </c>
      <c r="AJ13" s="361">
        <f t="shared" si="4"/>
        <v>22891.807199999999</v>
      </c>
      <c r="AK13" s="352">
        <f t="shared" si="8"/>
        <v>29250.566292266834</v>
      </c>
      <c r="AM13" s="235"/>
      <c r="AN13" s="235"/>
      <c r="AO13" s="235"/>
    </row>
    <row r="14" spans="1:41" x14ac:dyDescent="0.2">
      <c r="A14" s="232"/>
      <c r="B14" s="233">
        <v>2020</v>
      </c>
      <c r="C14" s="234">
        <f>ROUND('Table 2C SolarFixed'!C72/10,3)</f>
        <v>3.7229999999999999</v>
      </c>
      <c r="D14" s="234">
        <f>ROUND('Table 2C SolarFixed'!G72/10,3)</f>
        <v>4.367</v>
      </c>
      <c r="E14" s="234">
        <f>ROUND('Table 2C SolarFixed'!D72/10,3)</f>
        <v>3.0830000000000002</v>
      </c>
      <c r="F14" s="234">
        <f>ROUND('Table 2C SolarFixed'!H72/10,3)</f>
        <v>3.4220000000000002</v>
      </c>
      <c r="G14" s="234"/>
      <c r="H14" s="235"/>
      <c r="I14" s="345"/>
      <c r="J14" s="456"/>
      <c r="K14" s="457"/>
      <c r="L14" s="457"/>
      <c r="M14" s="235"/>
      <c r="N14" s="235"/>
      <c r="O14" s="235"/>
      <c r="P14" s="235"/>
      <c r="T14" s="235"/>
      <c r="X14" s="360">
        <f t="shared" si="9"/>
        <v>0.95799999999999996</v>
      </c>
      <c r="Y14" s="360"/>
      <c r="Z14" s="352">
        <f t="shared" si="5"/>
        <v>8392.08</v>
      </c>
      <c r="AA14" s="361">
        <f t="shared" si="0"/>
        <v>31243.713839999997</v>
      </c>
      <c r="AB14" s="352">
        <f t="shared" si="1"/>
        <v>37020.137299180395</v>
      </c>
      <c r="AD14" s="361">
        <f t="shared" si="2"/>
        <v>36648.213359999994</v>
      </c>
      <c r="AE14" s="352">
        <f t="shared" si="6"/>
        <v>40071.091932285402</v>
      </c>
      <c r="AG14" s="361">
        <f t="shared" si="3"/>
        <v>25872.782640000001</v>
      </c>
      <c r="AH14" s="352">
        <f t="shared" si="7"/>
        <v>29023.369638128836</v>
      </c>
      <c r="AJ14" s="361">
        <f t="shared" si="4"/>
        <v>28717.697759999999</v>
      </c>
      <c r="AK14" s="352">
        <f t="shared" si="8"/>
        <v>29038.386018644174</v>
      </c>
      <c r="AM14" s="235"/>
      <c r="AN14" s="235"/>
      <c r="AO14" s="235"/>
    </row>
    <row r="15" spans="1:41" x14ac:dyDescent="0.2">
      <c r="A15" s="232"/>
      <c r="B15" s="233">
        <v>2021</v>
      </c>
      <c r="C15" s="234">
        <f>ROUND('Table 2C SolarFixed'!C73/10,3)</f>
        <v>4.0019999999999998</v>
      </c>
      <c r="D15" s="234">
        <f>ROUND('Table 2C SolarFixed'!G73/10,3)</f>
        <v>4.3289999999999997</v>
      </c>
      <c r="E15" s="234">
        <f>ROUND('Table 2C SolarFixed'!D73/10,3)</f>
        <v>3.6520000000000001</v>
      </c>
      <c r="F15" s="234">
        <f>ROUND('Table 2C SolarFixed'!H73/10,3)</f>
        <v>3.8650000000000002</v>
      </c>
      <c r="G15" s="234"/>
      <c r="H15" s="235"/>
      <c r="I15" s="345"/>
      <c r="J15" s="456"/>
      <c r="K15" s="457"/>
      <c r="L15" s="457"/>
      <c r="M15" s="235"/>
      <c r="N15" s="235"/>
      <c r="O15" s="235"/>
      <c r="P15" s="235"/>
      <c r="T15" s="235"/>
      <c r="X15" s="360">
        <f t="shared" si="9"/>
        <v>0.95099999999999996</v>
      </c>
      <c r="Y15" s="360"/>
      <c r="Z15" s="352">
        <f t="shared" si="5"/>
        <v>8330.76</v>
      </c>
      <c r="AA15" s="361">
        <f t="shared" si="0"/>
        <v>33339.701519999995</v>
      </c>
      <c r="AB15" s="352">
        <f t="shared" si="1"/>
        <v>36749.635252109139</v>
      </c>
      <c r="AD15" s="361">
        <f t="shared" si="2"/>
        <v>36063.86004</v>
      </c>
      <c r="AE15" s="352">
        <f t="shared" si="6"/>
        <v>39778.296897289583</v>
      </c>
      <c r="AG15" s="361">
        <f t="shared" si="3"/>
        <v>30423.935519999999</v>
      </c>
      <c r="AH15" s="352">
        <f t="shared" si="7"/>
        <v>28811.299087537082</v>
      </c>
      <c r="AJ15" s="361">
        <f t="shared" si="4"/>
        <v>32198.3874</v>
      </c>
      <c r="AK15" s="352">
        <f t="shared" si="8"/>
        <v>28826.205745021514</v>
      </c>
      <c r="AM15" s="235"/>
      <c r="AN15" s="235"/>
      <c r="AO15" s="235"/>
    </row>
    <row r="16" spans="1:41" x14ac:dyDescent="0.2">
      <c r="A16" s="232"/>
      <c r="B16" s="233">
        <v>2022</v>
      </c>
      <c r="C16" s="234">
        <f>ROUND('Table 2C SolarFixed'!C74/10,3)</f>
        <v>3.9870000000000001</v>
      </c>
      <c r="D16" s="234">
        <f>ROUND('Table 2C SolarFixed'!G74/10,3)</f>
        <v>4.4820000000000002</v>
      </c>
      <c r="E16" s="234">
        <f>ROUND('Table 2C SolarFixed'!D74/10,3)</f>
        <v>3.7989999999999999</v>
      </c>
      <c r="F16" s="234">
        <f>ROUND('Table 2C SolarFixed'!H74/10,3)</f>
        <v>3.9430000000000001</v>
      </c>
      <c r="G16" s="234"/>
      <c r="H16" s="235"/>
      <c r="I16" s="345"/>
      <c r="J16" s="456"/>
      <c r="K16" s="457"/>
      <c r="L16" s="457"/>
      <c r="M16" s="235"/>
      <c r="N16" s="235"/>
      <c r="O16" s="235"/>
      <c r="P16" s="235"/>
      <c r="T16" s="235"/>
      <c r="X16" s="360">
        <f t="shared" si="9"/>
        <v>0.94399999999999995</v>
      </c>
      <c r="Y16" s="360"/>
      <c r="Z16" s="352">
        <f t="shared" si="5"/>
        <v>8269.4399999999987</v>
      </c>
      <c r="AA16" s="361">
        <f t="shared" si="0"/>
        <v>32970.257279999998</v>
      </c>
      <c r="AB16" s="352">
        <f t="shared" si="1"/>
        <v>36479.133205037877</v>
      </c>
      <c r="AD16" s="361">
        <f t="shared" si="2"/>
        <v>37063.630079999995</v>
      </c>
      <c r="AE16" s="352">
        <f t="shared" si="6"/>
        <v>39485.501862293757</v>
      </c>
      <c r="AG16" s="361">
        <f t="shared" si="3"/>
        <v>31415.602559999996</v>
      </c>
      <c r="AH16" s="352">
        <f t="shared" si="7"/>
        <v>28599.22853694532</v>
      </c>
      <c r="AJ16" s="361">
        <f t="shared" si="4"/>
        <v>32606.40192</v>
      </c>
      <c r="AK16" s="352">
        <f t="shared" si="8"/>
        <v>28614.025471398847</v>
      </c>
      <c r="AM16" s="235"/>
      <c r="AN16" s="235"/>
      <c r="AO16" s="235"/>
    </row>
    <row r="17" spans="1:41" x14ac:dyDescent="0.2">
      <c r="A17" s="232"/>
      <c r="B17" s="233">
        <v>2023</v>
      </c>
      <c r="C17" s="234">
        <f>ROUND('Table 2C SolarFixed'!C75/10,3)</f>
        <v>4.1609999999999996</v>
      </c>
      <c r="D17" s="234">
        <f>ROUND('Table 2C SolarFixed'!G75/10,3)</f>
        <v>4.5720000000000001</v>
      </c>
      <c r="E17" s="234">
        <f>ROUND('Table 2C SolarFixed'!D75/10,3)</f>
        <v>3.9830000000000001</v>
      </c>
      <c r="F17" s="234">
        <f>ROUND('Table 2C SolarFixed'!H75/10,3)</f>
        <v>4.0289999999999999</v>
      </c>
      <c r="G17" s="234"/>
      <c r="H17" s="235"/>
      <c r="I17" s="345"/>
      <c r="J17" s="456"/>
      <c r="K17" s="457"/>
      <c r="L17" s="457"/>
      <c r="M17" s="235"/>
      <c r="N17" s="235"/>
      <c r="O17" s="235"/>
      <c r="P17" s="235"/>
      <c r="T17" s="235"/>
      <c r="X17" s="360">
        <f t="shared" si="9"/>
        <v>0.93699999999999994</v>
      </c>
      <c r="Y17" s="360"/>
      <c r="Z17" s="352">
        <f t="shared" si="5"/>
        <v>8208.119999999999</v>
      </c>
      <c r="AA17" s="361">
        <f t="shared" si="0"/>
        <v>34153.987319999993</v>
      </c>
      <c r="AB17" s="352">
        <f t="shared" si="1"/>
        <v>36208.631157966622</v>
      </c>
      <c r="AD17" s="361">
        <f t="shared" si="2"/>
        <v>37527.524639999996</v>
      </c>
      <c r="AE17" s="352">
        <f t="shared" si="6"/>
        <v>39192.70682729793</v>
      </c>
      <c r="AG17" s="361">
        <f t="shared" si="3"/>
        <v>32692.94196</v>
      </c>
      <c r="AH17" s="352">
        <f t="shared" si="7"/>
        <v>28387.157986353566</v>
      </c>
      <c r="AJ17" s="361">
        <f t="shared" si="4"/>
        <v>33070.515480000002</v>
      </c>
      <c r="AK17" s="352">
        <f t="shared" si="8"/>
        <v>28401.845197776187</v>
      </c>
      <c r="AM17" s="235"/>
      <c r="AN17" s="235"/>
      <c r="AO17" s="235"/>
    </row>
    <row r="18" spans="1:41" x14ac:dyDescent="0.2">
      <c r="A18" s="232"/>
      <c r="B18" s="233">
        <v>2024</v>
      </c>
      <c r="C18" s="234">
        <f>ROUND('Table 2C SolarFixed'!C76/10,3)</f>
        <v>4.3380000000000001</v>
      </c>
      <c r="D18" s="234">
        <f>ROUND('Table 2C SolarFixed'!G76/10,3)</f>
        <v>4.8579999999999997</v>
      </c>
      <c r="E18" s="234">
        <f>ROUND('Table 2C SolarFixed'!D76/10,3)</f>
        <v>4.1550000000000002</v>
      </c>
      <c r="F18" s="234">
        <f>ROUND('Table 2C SolarFixed'!H76/10,3)</f>
        <v>4.2480000000000002</v>
      </c>
      <c r="G18" s="234"/>
      <c r="H18" s="235"/>
      <c r="I18" s="345"/>
      <c r="J18" s="456"/>
      <c r="K18" s="457"/>
      <c r="L18" s="457"/>
      <c r="M18" s="235"/>
      <c r="N18" s="235"/>
      <c r="O18" s="235"/>
      <c r="P18" s="235"/>
      <c r="T18" s="235"/>
      <c r="X18" s="360">
        <f t="shared" si="9"/>
        <v>0.92999999999999994</v>
      </c>
      <c r="Y18" s="360"/>
      <c r="Z18" s="352">
        <f t="shared" si="5"/>
        <v>8146.7999999999993</v>
      </c>
      <c r="AA18" s="361">
        <f t="shared" si="0"/>
        <v>35340.818399999996</v>
      </c>
      <c r="AB18" s="352">
        <f t="shared" si="1"/>
        <v>35938.129110895366</v>
      </c>
      <c r="AD18" s="361">
        <f t="shared" si="2"/>
        <v>39577.154399999992</v>
      </c>
      <c r="AE18" s="352">
        <f t="shared" si="6"/>
        <v>38899.911792302111</v>
      </c>
      <c r="AG18" s="361">
        <f t="shared" si="3"/>
        <v>33849.953999999998</v>
      </c>
      <c r="AH18" s="352">
        <f t="shared" si="7"/>
        <v>28175.087435761812</v>
      </c>
      <c r="AJ18" s="361">
        <f t="shared" si="4"/>
        <v>34607.606400000004</v>
      </c>
      <c r="AK18" s="352">
        <f t="shared" si="8"/>
        <v>28189.664924153527</v>
      </c>
      <c r="AM18" s="235"/>
      <c r="AN18" s="235"/>
      <c r="AO18" s="235"/>
    </row>
    <row r="19" spans="1:41" x14ac:dyDescent="0.2">
      <c r="A19" s="232"/>
      <c r="B19" s="233">
        <v>2025</v>
      </c>
      <c r="C19" s="234">
        <f>ROUND('Table 2C SolarFixed'!C77/10,3)</f>
        <v>4.5590000000000002</v>
      </c>
      <c r="D19" s="234">
        <f>ROUND('Table 2C SolarFixed'!G77/10,3)</f>
        <v>5.2039999999999997</v>
      </c>
      <c r="E19" s="234">
        <f>ROUND('Table 2C SolarFixed'!D77/10,3)</f>
        <v>4.3620000000000001</v>
      </c>
      <c r="F19" s="234">
        <f>ROUND('Table 2C SolarFixed'!H77/10,3)</f>
        <v>4.5229999999999997</v>
      </c>
      <c r="G19" s="234"/>
      <c r="H19" s="235"/>
      <c r="I19" s="345"/>
      <c r="J19" s="456"/>
      <c r="K19" s="457"/>
      <c r="L19" s="457"/>
      <c r="M19" s="235"/>
      <c r="N19" s="235"/>
      <c r="O19" s="235"/>
      <c r="P19" s="235"/>
      <c r="T19" s="235"/>
      <c r="X19" s="360">
        <f t="shared" si="9"/>
        <v>0.92299999999999993</v>
      </c>
      <c r="Y19" s="360"/>
      <c r="Z19" s="352">
        <f t="shared" si="5"/>
        <v>8085.48</v>
      </c>
      <c r="AA19" s="361">
        <f t="shared" si="0"/>
        <v>36861.703320000001</v>
      </c>
      <c r="AB19" s="352">
        <f t="shared" si="1"/>
        <v>35667.627063824119</v>
      </c>
      <c r="AD19" s="361">
        <f t="shared" si="2"/>
        <v>42076.837919999998</v>
      </c>
      <c r="AE19" s="352">
        <f t="shared" si="6"/>
        <v>38607.116757306292</v>
      </c>
      <c r="AG19" s="361">
        <f t="shared" si="3"/>
        <v>35268.86376</v>
      </c>
      <c r="AH19" s="352">
        <f t="shared" si="7"/>
        <v>27963.016885170058</v>
      </c>
      <c r="AJ19" s="361">
        <f t="shared" si="4"/>
        <v>36570.626039999996</v>
      </c>
      <c r="AK19" s="352">
        <f t="shared" si="8"/>
        <v>27977.484650530867</v>
      </c>
      <c r="AM19" s="235"/>
      <c r="AN19" s="235"/>
      <c r="AO19" s="235"/>
    </row>
    <row r="20" spans="1:41" x14ac:dyDescent="0.2">
      <c r="A20" s="232"/>
      <c r="B20" s="233">
        <v>2026</v>
      </c>
      <c r="C20" s="234">
        <f>ROUND('Table 2C SolarFixed'!C78/10,3)</f>
        <v>4.7480000000000002</v>
      </c>
      <c r="D20" s="234">
        <f>ROUND('Table 2C SolarFixed'!G78/10,3)</f>
        <v>5.4790000000000001</v>
      </c>
      <c r="E20" s="234">
        <f>ROUND('Table 2C SolarFixed'!D78/10,3)</f>
        <v>4.5730000000000004</v>
      </c>
      <c r="F20" s="234">
        <f>ROUND('Table 2C SolarFixed'!H78/10,3)</f>
        <v>4.7720000000000002</v>
      </c>
      <c r="G20" s="234"/>
      <c r="H20" s="235"/>
      <c r="I20" s="345"/>
      <c r="J20" s="456"/>
      <c r="K20" s="457"/>
      <c r="L20" s="457"/>
      <c r="M20" s="235"/>
      <c r="N20" s="235"/>
      <c r="O20" s="235"/>
      <c r="P20" s="235"/>
      <c r="T20" s="235"/>
      <c r="W20" s="362"/>
      <c r="X20" s="360">
        <f t="shared" si="9"/>
        <v>0.91599999999999993</v>
      </c>
      <c r="Y20" s="360"/>
      <c r="Z20" s="352">
        <f t="shared" si="5"/>
        <v>8024.1599999999989</v>
      </c>
      <c r="AA20" s="361">
        <f t="shared" si="0"/>
        <v>38098.71168</v>
      </c>
      <c r="AB20" s="352">
        <f t="shared" si="1"/>
        <v>35397.125016752856</v>
      </c>
      <c r="AD20" s="361">
        <f t="shared" si="2"/>
        <v>43964.372639999994</v>
      </c>
      <c r="AE20" s="352">
        <f t="shared" si="6"/>
        <v>38314.321722310466</v>
      </c>
      <c r="AG20" s="361">
        <f t="shared" si="3"/>
        <v>36694.483679999998</v>
      </c>
      <c r="AH20" s="352">
        <f t="shared" si="7"/>
        <v>27750.946334578301</v>
      </c>
      <c r="AJ20" s="361">
        <f t="shared" si="4"/>
        <v>38291.291519999999</v>
      </c>
      <c r="AK20" s="352">
        <f t="shared" si="8"/>
        <v>27765.304376908203</v>
      </c>
      <c r="AL20" s="236"/>
      <c r="AM20" s="235"/>
      <c r="AN20" s="235"/>
      <c r="AO20" s="235"/>
    </row>
    <row r="21" spans="1:41" x14ac:dyDescent="0.2">
      <c r="A21" s="232"/>
      <c r="B21" s="233">
        <v>2027</v>
      </c>
      <c r="C21" s="235">
        <f>ROUND(INDEX('Tables 3 to 6'!AP:AP,MATCH(B21,'Tables 3 to 6'!B:B,0))/10,3)</f>
        <v>6.149</v>
      </c>
      <c r="D21" s="234">
        <f t="shared" ref="D21:D32" si="10">C21</f>
        <v>6.149</v>
      </c>
      <c r="E21" s="235">
        <f>ROUND(INDEX('Tables 3 to 6'!AQ:AQ,MATCH(B21,'Tables 3 to 6'!B:B,0))/10,3)</f>
        <v>3.94</v>
      </c>
      <c r="F21" s="235">
        <f t="shared" ref="F21:F32" si="11">E21</f>
        <v>3.94</v>
      </c>
      <c r="G21" s="234"/>
      <c r="H21" s="235"/>
      <c r="I21" s="345"/>
      <c r="J21" s="456"/>
      <c r="K21" s="457"/>
      <c r="L21" s="457"/>
      <c r="M21" s="235"/>
      <c r="N21" s="235"/>
      <c r="O21" s="235"/>
      <c r="P21" s="235"/>
      <c r="T21" s="235"/>
      <c r="X21" s="360">
        <f t="shared" si="9"/>
        <v>0.90899999999999992</v>
      </c>
      <c r="Y21" s="360"/>
      <c r="Z21" s="352">
        <f t="shared" si="5"/>
        <v>7962.8399999999992</v>
      </c>
      <c r="AA21" s="361">
        <f t="shared" si="0"/>
        <v>48963.503159999993</v>
      </c>
      <c r="AB21" s="352">
        <f t="shared" si="1"/>
        <v>35126.622969681601</v>
      </c>
      <c r="AD21" s="361">
        <f t="shared" si="2"/>
        <v>48963.503159999993</v>
      </c>
      <c r="AE21" s="352">
        <f t="shared" si="6"/>
        <v>38021.526687314647</v>
      </c>
      <c r="AG21" s="361">
        <f t="shared" si="3"/>
        <v>31373.589599999999</v>
      </c>
      <c r="AH21" s="352">
        <f t="shared" si="7"/>
        <v>27538.875783986543</v>
      </c>
      <c r="AJ21" s="361">
        <f t="shared" si="4"/>
        <v>31373.589599999999</v>
      </c>
      <c r="AK21" s="352">
        <f t="shared" si="8"/>
        <v>27553.124103285543</v>
      </c>
      <c r="AM21" s="235"/>
      <c r="AN21" s="235"/>
      <c r="AO21" s="235"/>
    </row>
    <row r="22" spans="1:41" x14ac:dyDescent="0.2">
      <c r="A22" s="232"/>
      <c r="B22" s="233">
        <v>2028</v>
      </c>
      <c r="C22" s="235">
        <f>ROUND(INDEX('Tables 3 to 6'!AP:AP,MATCH(B22,'Tables 3 to 6'!B:B,0))/10,3)</f>
        <v>6.351</v>
      </c>
      <c r="D22" s="234">
        <f t="shared" si="10"/>
        <v>6.351</v>
      </c>
      <c r="E22" s="235">
        <f>ROUND(INDEX('Tables 3 to 6'!AQ:AQ,MATCH(B22,'Tables 3 to 6'!B:B,0))/10,3)</f>
        <v>4.0990000000000002</v>
      </c>
      <c r="F22" s="235">
        <f t="shared" si="11"/>
        <v>4.0990000000000002</v>
      </c>
      <c r="G22" s="235"/>
      <c r="H22" s="235"/>
      <c r="I22" s="345"/>
      <c r="J22" s="456"/>
      <c r="K22" s="457"/>
      <c r="L22" s="457"/>
      <c r="M22" s="235"/>
      <c r="N22" s="235"/>
      <c r="O22" s="235"/>
      <c r="P22" s="235"/>
      <c r="T22" s="235"/>
      <c r="X22" s="360">
        <f t="shared" si="9"/>
        <v>0.90199999999999991</v>
      </c>
      <c r="Y22" s="360"/>
      <c r="Z22" s="352">
        <f t="shared" si="5"/>
        <v>7901.5199999999995</v>
      </c>
      <c r="AA22" s="361">
        <f t="shared" si="0"/>
        <v>50182.553519999994</v>
      </c>
      <c r="AB22" s="352">
        <f t="shared" si="1"/>
        <v>34856.120922610346</v>
      </c>
      <c r="AD22" s="361">
        <f t="shared" si="2"/>
        <v>50182.553519999994</v>
      </c>
      <c r="AE22" s="352">
        <f t="shared" si="6"/>
        <v>37728.731652318827</v>
      </c>
      <c r="AG22" s="361">
        <f t="shared" si="3"/>
        <v>32388.330480000001</v>
      </c>
      <c r="AH22" s="352">
        <f t="shared" si="7"/>
        <v>27326.805233394789</v>
      </c>
      <c r="AJ22" s="361">
        <f t="shared" si="4"/>
        <v>32388.330480000001</v>
      </c>
      <c r="AK22" s="352">
        <f t="shared" si="8"/>
        <v>27340.943829662883</v>
      </c>
      <c r="AM22" s="235"/>
      <c r="AN22" s="235"/>
      <c r="AO22" s="235"/>
    </row>
    <row r="23" spans="1:41" x14ac:dyDescent="0.2">
      <c r="A23" s="232"/>
      <c r="B23" s="233">
        <v>2029</v>
      </c>
      <c r="C23" s="235">
        <f>ROUND(INDEX('Tables 3 to 6'!AP:AP,MATCH(B23,'Tables 3 to 6'!B:B,0))/10,3)</f>
        <v>6.585</v>
      </c>
      <c r="D23" s="234">
        <f t="shared" si="10"/>
        <v>6.585</v>
      </c>
      <c r="E23" s="235">
        <f>ROUND(INDEX('Tables 3 to 6'!AQ:AQ,MATCH(B23,'Tables 3 to 6'!B:B,0))/10,3)</f>
        <v>4.29</v>
      </c>
      <c r="F23" s="235">
        <f t="shared" si="11"/>
        <v>4.29</v>
      </c>
      <c r="G23" s="235"/>
      <c r="H23" s="235"/>
      <c r="I23" s="345"/>
      <c r="J23" s="456"/>
      <c r="K23" s="457"/>
      <c r="L23" s="457"/>
      <c r="M23" s="235"/>
      <c r="N23" s="235"/>
      <c r="O23" s="235"/>
      <c r="P23" s="235"/>
      <c r="T23" s="235"/>
      <c r="X23" s="360">
        <f t="shared" si="9"/>
        <v>0.89499999999999991</v>
      </c>
      <c r="Y23" s="360"/>
      <c r="Z23" s="352">
        <f t="shared" si="5"/>
        <v>7840.1999999999989</v>
      </c>
      <c r="AA23" s="361">
        <f t="shared" si="0"/>
        <v>51627.716999999997</v>
      </c>
      <c r="AB23" s="352">
        <f t="shared" si="1"/>
        <v>34585.61887553909</v>
      </c>
      <c r="AD23" s="361">
        <f t="shared" si="2"/>
        <v>51627.716999999997</v>
      </c>
      <c r="AE23" s="352">
        <f t="shared" si="6"/>
        <v>37435.936617323001</v>
      </c>
      <c r="AG23" s="361">
        <f t="shared" si="3"/>
        <v>33634.457999999999</v>
      </c>
      <c r="AH23" s="352">
        <f t="shared" si="7"/>
        <v>27114.734682803031</v>
      </c>
      <c r="AJ23" s="361">
        <f t="shared" si="4"/>
        <v>33634.457999999999</v>
      </c>
      <c r="AK23" s="352">
        <f t="shared" si="8"/>
        <v>27128.76355604022</v>
      </c>
      <c r="AM23" s="235"/>
      <c r="AN23" s="235"/>
      <c r="AO23" s="235"/>
    </row>
    <row r="24" spans="1:41" x14ac:dyDescent="0.2">
      <c r="A24" s="232"/>
      <c r="B24" s="233">
        <v>2030</v>
      </c>
      <c r="C24" s="235">
        <f>ROUND(INDEX('Tables 3 to 6'!AP:AP,MATCH(B24,'Tables 3 to 6'!B:B,0))/10,3)</f>
        <v>6.8209999999999997</v>
      </c>
      <c r="D24" s="234">
        <f t="shared" si="10"/>
        <v>6.8209999999999997</v>
      </c>
      <c r="E24" s="235">
        <f>ROUND(INDEX('Tables 3 to 6'!AQ:AQ,MATCH(B24,'Tables 3 to 6'!B:B,0))/10,3)</f>
        <v>4.4829999999999997</v>
      </c>
      <c r="F24" s="235">
        <f t="shared" si="11"/>
        <v>4.4829999999999997</v>
      </c>
      <c r="G24" s="235"/>
      <c r="H24" s="235"/>
      <c r="I24" s="345"/>
      <c r="J24" s="456"/>
      <c r="K24" s="457"/>
      <c r="L24" s="457"/>
      <c r="M24" s="235"/>
      <c r="N24" s="235"/>
      <c r="O24" s="235"/>
      <c r="P24" s="235"/>
      <c r="T24" s="235"/>
      <c r="X24" s="360">
        <f t="shared" si="9"/>
        <v>0.8879999999999999</v>
      </c>
      <c r="Y24" s="360"/>
      <c r="Z24" s="352">
        <f t="shared" si="5"/>
        <v>7778.8799999999992</v>
      </c>
      <c r="AA24" s="361">
        <f t="shared" si="0"/>
        <v>53059.740479999993</v>
      </c>
      <c r="AB24" s="352">
        <f t="shared" si="1"/>
        <v>34315.116828467835</v>
      </c>
      <c r="AD24" s="361">
        <f t="shared" si="2"/>
        <v>53059.740479999993</v>
      </c>
      <c r="AE24" s="352">
        <f t="shared" si="6"/>
        <v>37143.141582327175</v>
      </c>
      <c r="AG24" s="361">
        <f t="shared" si="3"/>
        <v>34872.719039999989</v>
      </c>
      <c r="AH24" s="352">
        <f t="shared" si="7"/>
        <v>26902.664132211277</v>
      </c>
      <c r="AJ24" s="361">
        <f t="shared" si="4"/>
        <v>34872.719039999989</v>
      </c>
      <c r="AK24" s="352">
        <f t="shared" si="8"/>
        <v>26916.58328241756</v>
      </c>
      <c r="AM24" s="235"/>
      <c r="AN24" s="235"/>
      <c r="AO24" s="235"/>
    </row>
    <row r="25" spans="1:41" x14ac:dyDescent="0.2">
      <c r="A25" s="232"/>
      <c r="B25" s="233">
        <v>2031</v>
      </c>
      <c r="C25" s="235">
        <f>ROUND(INDEX('Tables 3 to 6'!AP:AP,MATCH(B25,'Tables 3 to 6'!B:B,0))/10,3)</f>
        <v>6.968</v>
      </c>
      <c r="D25" s="234">
        <f t="shared" si="10"/>
        <v>6.968</v>
      </c>
      <c r="E25" s="235">
        <f>ROUND(INDEX('Tables 3 to 6'!AQ:AQ,MATCH(B25,'Tables 3 to 6'!B:B,0))/10,3)</f>
        <v>4.5830000000000002</v>
      </c>
      <c r="F25" s="235">
        <f t="shared" si="11"/>
        <v>4.5830000000000002</v>
      </c>
      <c r="G25" s="235"/>
      <c r="H25" s="235"/>
      <c r="I25" s="345"/>
      <c r="J25" s="456"/>
      <c r="K25" s="457"/>
      <c r="L25" s="457"/>
      <c r="M25" s="235"/>
      <c r="N25" s="235"/>
      <c r="O25" s="235"/>
      <c r="P25" s="235"/>
      <c r="T25" s="235"/>
      <c r="U25" s="232"/>
      <c r="X25" s="360">
        <f t="shared" si="9"/>
        <v>0.88099999999999989</v>
      </c>
      <c r="Y25" s="360"/>
      <c r="Z25" s="352">
        <f t="shared" si="5"/>
        <v>7717.5599999999995</v>
      </c>
      <c r="AA25" s="361">
        <f t="shared" si="0"/>
        <v>53775.958079999997</v>
      </c>
      <c r="AB25" s="352">
        <f t="shared" si="1"/>
        <v>34044.61478139658</v>
      </c>
      <c r="AD25" s="361">
        <f t="shared" si="2"/>
        <v>53775.958079999997</v>
      </c>
      <c r="AE25" s="352">
        <f t="shared" si="6"/>
        <v>36850.346547331355</v>
      </c>
      <c r="AG25" s="361">
        <f t="shared" si="3"/>
        <v>35369.57748</v>
      </c>
      <c r="AH25" s="352">
        <f t="shared" si="7"/>
        <v>26690.593581619523</v>
      </c>
      <c r="AJ25" s="361">
        <f t="shared" si="4"/>
        <v>35369.57748</v>
      </c>
      <c r="AK25" s="352">
        <f t="shared" si="8"/>
        <v>26704.4030087949</v>
      </c>
      <c r="AM25" s="235"/>
      <c r="AN25" s="235"/>
      <c r="AO25" s="235"/>
    </row>
    <row r="26" spans="1:41" x14ac:dyDescent="0.2">
      <c r="A26" s="232"/>
      <c r="B26" s="233">
        <v>2032</v>
      </c>
      <c r="C26" s="235">
        <f>ROUND(INDEX('Tables 3 to 6'!AP:AP,MATCH(B26,'Tables 3 to 6'!B:B,0))/10,3)</f>
        <v>7.109</v>
      </c>
      <c r="D26" s="234">
        <f t="shared" si="10"/>
        <v>7.109</v>
      </c>
      <c r="E26" s="235">
        <f>ROUND(INDEX('Tables 3 to 6'!AQ:AQ,MATCH(B26,'Tables 3 to 6'!B:B,0))/10,3)</f>
        <v>4.6769999999999996</v>
      </c>
      <c r="F26" s="235">
        <f>E26</f>
        <v>4.6769999999999996</v>
      </c>
      <c r="G26" s="235"/>
      <c r="H26" s="235"/>
      <c r="I26" s="345"/>
      <c r="J26" s="456"/>
      <c r="K26" s="457"/>
      <c r="L26" s="457"/>
      <c r="M26" s="235"/>
      <c r="N26" s="235"/>
      <c r="O26" s="235"/>
      <c r="P26" s="235"/>
      <c r="T26" s="235"/>
      <c r="U26" s="232"/>
      <c r="X26" s="360">
        <f t="shared" si="9"/>
        <v>0.87399999999999989</v>
      </c>
      <c r="Y26" s="360"/>
      <c r="Z26" s="352">
        <f t="shared" si="5"/>
        <v>7656.2399999999989</v>
      </c>
      <c r="AA26" s="361">
        <f t="shared" si="0"/>
        <v>54428.210159999988</v>
      </c>
      <c r="AB26" s="352">
        <f t="shared" si="1"/>
        <v>33774.112734325325</v>
      </c>
      <c r="AD26" s="361">
        <f t="shared" si="2"/>
        <v>54428.210159999988</v>
      </c>
      <c r="AE26" s="352">
        <f t="shared" si="6"/>
        <v>36557.551512335529</v>
      </c>
      <c r="AG26" s="361">
        <f t="shared" si="3"/>
        <v>35808.234479999992</v>
      </c>
      <c r="AH26" s="352">
        <f t="shared" si="7"/>
        <v>26478.523031027766</v>
      </c>
      <c r="AJ26" s="361">
        <f t="shared" si="4"/>
        <v>35808.234479999992</v>
      </c>
      <c r="AK26" s="352">
        <f t="shared" si="8"/>
        <v>26492.222735172239</v>
      </c>
      <c r="AM26" s="235"/>
      <c r="AN26" s="235"/>
      <c r="AO26" s="235"/>
    </row>
    <row r="27" spans="1:41" x14ac:dyDescent="0.2">
      <c r="A27" s="232"/>
      <c r="B27" s="233">
        <v>2033</v>
      </c>
      <c r="C27" s="235">
        <f>ROUND(INDEX('Tables 3 to 6'!AP:AP,MATCH(B27,'Tables 3 to 6'!B:B,0))/10,3)</f>
        <v>7.2590000000000003</v>
      </c>
      <c r="D27" s="234">
        <f t="shared" si="10"/>
        <v>7.2590000000000003</v>
      </c>
      <c r="E27" s="235">
        <f>ROUND(INDEX('Tables 3 to 6'!AQ:AQ,MATCH(B27,'Tables 3 to 6'!B:B,0))/10,3)</f>
        <v>4.7770000000000001</v>
      </c>
      <c r="F27" s="235">
        <f t="shared" si="11"/>
        <v>4.7770000000000001</v>
      </c>
      <c r="G27" s="235"/>
      <c r="H27" s="235"/>
      <c r="I27" s="345"/>
      <c r="J27" s="456"/>
      <c r="K27" s="457"/>
      <c r="L27" s="457"/>
      <c r="M27" s="235"/>
      <c r="N27" s="235"/>
      <c r="O27" s="235"/>
      <c r="P27" s="235"/>
      <c r="T27" s="235"/>
      <c r="U27" s="232"/>
      <c r="X27" s="360">
        <f t="shared" si="9"/>
        <v>0.86699999999999988</v>
      </c>
      <c r="Y27" s="360"/>
      <c r="Z27" s="352">
        <f t="shared" si="5"/>
        <v>7594.9199999999992</v>
      </c>
      <c r="AA27" s="361">
        <f t="shared" si="0"/>
        <v>55131.524279999998</v>
      </c>
      <c r="AB27" s="352">
        <f t="shared" si="1"/>
        <v>33503.610687254069</v>
      </c>
      <c r="AD27" s="361">
        <f t="shared" si="2"/>
        <v>55131.524279999998</v>
      </c>
      <c r="AE27" s="352">
        <f t="shared" si="6"/>
        <v>36264.75647733971</v>
      </c>
      <c r="AG27" s="361">
        <f t="shared" si="3"/>
        <v>36280.932840000001</v>
      </c>
      <c r="AH27" s="352">
        <f t="shared" si="7"/>
        <v>26266.452480436012</v>
      </c>
      <c r="AJ27" s="361">
        <f t="shared" si="4"/>
        <v>36280.932840000001</v>
      </c>
      <c r="AK27" s="352">
        <f t="shared" si="8"/>
        <v>26280.042461549579</v>
      </c>
      <c r="AM27" s="235"/>
      <c r="AN27" s="235"/>
      <c r="AO27" s="235"/>
    </row>
    <row r="28" spans="1:41" x14ac:dyDescent="0.2">
      <c r="A28" s="232"/>
      <c r="B28" s="233">
        <v>2034</v>
      </c>
      <c r="C28" s="235">
        <f>ROUND(INDEX('Tables 3 to 6'!AP:AP,MATCH(B28,'Tables 3 to 6'!B:B,0))/10,3)</f>
        <v>7.4089999999999998</v>
      </c>
      <c r="D28" s="234">
        <f t="shared" si="10"/>
        <v>7.4089999999999998</v>
      </c>
      <c r="E28" s="235">
        <f>ROUND(INDEX('Tables 3 to 6'!AQ:AQ,MATCH(B28,'Tables 3 to 6'!B:B,0))/10,3)</f>
        <v>4.8780000000000001</v>
      </c>
      <c r="F28" s="235">
        <f t="shared" si="11"/>
        <v>4.8780000000000001</v>
      </c>
      <c r="G28" s="235"/>
      <c r="H28" s="235"/>
      <c r="I28" s="345"/>
      <c r="J28" s="456"/>
      <c r="K28" s="457"/>
      <c r="L28" s="457"/>
      <c r="M28" s="235"/>
      <c r="N28" s="235"/>
      <c r="O28" s="235"/>
      <c r="P28" s="235"/>
      <c r="T28" s="235"/>
      <c r="U28" s="232"/>
      <c r="X28" s="360">
        <f t="shared" si="9"/>
        <v>0.85999999999999988</v>
      </c>
      <c r="Y28" s="360"/>
      <c r="Z28" s="352">
        <f t="shared" si="5"/>
        <v>7533.5999999999985</v>
      </c>
      <c r="AA28" s="361">
        <f t="shared" si="0"/>
        <v>55816.442399999985</v>
      </c>
      <c r="AB28" s="352">
        <f t="shared" si="1"/>
        <v>33233.108640182814</v>
      </c>
      <c r="AD28" s="361">
        <f t="shared" si="2"/>
        <v>55816.442399999985</v>
      </c>
      <c r="AE28" s="352">
        <f t="shared" si="6"/>
        <v>35971.961442343883</v>
      </c>
      <c r="AG28" s="361">
        <f t="shared" si="3"/>
        <v>36748.900799999996</v>
      </c>
      <c r="AH28" s="352">
        <f t="shared" si="7"/>
        <v>26054.381929844254</v>
      </c>
      <c r="AJ28" s="361">
        <f t="shared" si="4"/>
        <v>36748.900799999996</v>
      </c>
      <c r="AK28" s="352">
        <f t="shared" si="8"/>
        <v>26067.862187926916</v>
      </c>
      <c r="AM28" s="235"/>
      <c r="AN28" s="235"/>
      <c r="AO28" s="235"/>
    </row>
    <row r="29" spans="1:41" x14ac:dyDescent="0.2">
      <c r="A29" s="232"/>
      <c r="B29" s="233">
        <v>2035</v>
      </c>
      <c r="C29" s="235">
        <f>ROUND(INDEX('Tables 3 to 6'!AP:AP,MATCH(B29,'Tables 3 to 6'!B:B,0))/10,3)</f>
        <v>7.56</v>
      </c>
      <c r="D29" s="234">
        <f t="shared" si="10"/>
        <v>7.56</v>
      </c>
      <c r="E29" s="235">
        <f>ROUND(INDEX('Tables 3 to 6'!AQ:AQ,MATCH(B29,'Tables 3 to 6'!B:B,0))/10,3)</f>
        <v>4.9779999999999998</v>
      </c>
      <c r="F29" s="235">
        <f t="shared" si="11"/>
        <v>4.9779999999999998</v>
      </c>
      <c r="G29" s="235"/>
      <c r="H29" s="235"/>
      <c r="I29" s="345"/>
      <c r="J29" s="456"/>
      <c r="K29" s="457"/>
      <c r="L29" s="457"/>
      <c r="M29" s="235"/>
      <c r="N29" s="235"/>
      <c r="O29" s="235"/>
      <c r="P29" s="235"/>
      <c r="T29" s="235"/>
      <c r="U29" s="232"/>
      <c r="W29" s="352" t="str">
        <f>'Tariff Page'!W29</f>
        <v>Discount Rate - 2013 IRP Update Page 39</v>
      </c>
      <c r="X29" s="360">
        <f t="shared" si="9"/>
        <v>0.85299999999999987</v>
      </c>
      <c r="Y29" s="360"/>
      <c r="Z29" s="352">
        <f t="shared" si="5"/>
        <v>7472.2799999999988</v>
      </c>
      <c r="AA29" s="361">
        <f t="shared" si="0"/>
        <v>56490.436799999981</v>
      </c>
      <c r="AB29" s="352">
        <f t="shared" si="1"/>
        <v>32962.606593111559</v>
      </c>
      <c r="AD29" s="361">
        <f t="shared" si="2"/>
        <v>56490.436799999981</v>
      </c>
      <c r="AE29" s="352">
        <f t="shared" si="6"/>
        <v>35679.166407348064</v>
      </c>
      <c r="AG29" s="361">
        <f t="shared" si="3"/>
        <v>37197.009839999992</v>
      </c>
      <c r="AH29" s="352">
        <f t="shared" si="7"/>
        <v>25842.3113792525</v>
      </c>
      <c r="AJ29" s="361">
        <f t="shared" si="4"/>
        <v>37197.009839999992</v>
      </c>
      <c r="AK29" s="352">
        <f t="shared" si="8"/>
        <v>25855.681914304256</v>
      </c>
      <c r="AM29" s="235"/>
      <c r="AN29" s="235"/>
      <c r="AO29" s="235"/>
    </row>
    <row r="30" spans="1:41" x14ac:dyDescent="0.2">
      <c r="A30" s="232"/>
      <c r="B30" s="233">
        <v>2036</v>
      </c>
      <c r="C30" s="235">
        <f>ROUND(INDEX('Tables 3 to 6'!AP:AP,MATCH(B30,'Tables 3 to 6'!B:B,0))/10,3)</f>
        <v>7.7270000000000003</v>
      </c>
      <c r="D30" s="234">
        <f t="shared" si="10"/>
        <v>7.7270000000000003</v>
      </c>
      <c r="E30" s="235">
        <f>ROUND(INDEX('Tables 3 to 6'!AQ:AQ,MATCH(B30,'Tables 3 to 6'!B:B,0))/10,3)</f>
        <v>5.0919999999999996</v>
      </c>
      <c r="F30" s="235">
        <f t="shared" si="11"/>
        <v>5.0919999999999996</v>
      </c>
      <c r="G30" s="235"/>
      <c r="H30" s="235"/>
      <c r="I30" s="345"/>
      <c r="J30" s="456"/>
      <c r="K30" s="457"/>
      <c r="L30" s="457"/>
      <c r="M30" s="235"/>
      <c r="N30" s="235"/>
      <c r="O30" s="235"/>
      <c r="P30" s="235"/>
      <c r="T30" s="235"/>
      <c r="U30" s="232"/>
      <c r="W30" s="363">
        <f>'Tariff Page'!W30</f>
        <v>6.8820000000000006E-2</v>
      </c>
      <c r="X30" s="360">
        <f t="shared" si="9"/>
        <v>0.84599999999999986</v>
      </c>
      <c r="Y30" s="360"/>
      <c r="Z30" s="352">
        <f t="shared" si="5"/>
        <v>7410.9599999999991</v>
      </c>
      <c r="AA30" s="361">
        <f t="shared" si="0"/>
        <v>57264.487919999992</v>
      </c>
      <c r="AB30" s="352">
        <f t="shared" si="1"/>
        <v>32692.104546040304</v>
      </c>
      <c r="AD30" s="361">
        <f t="shared" si="2"/>
        <v>57264.487919999992</v>
      </c>
      <c r="AE30" s="352">
        <f t="shared" si="6"/>
        <v>35386.371372352245</v>
      </c>
      <c r="AG30" s="361">
        <f t="shared" si="3"/>
        <v>37736.608319999992</v>
      </c>
      <c r="AH30" s="352">
        <f t="shared" si="7"/>
        <v>25630.240828660742</v>
      </c>
      <c r="AJ30" s="361">
        <f t="shared" si="4"/>
        <v>37736.608319999992</v>
      </c>
      <c r="AK30" s="352">
        <f t="shared" si="8"/>
        <v>25643.501640681596</v>
      </c>
      <c r="AL30" s="237"/>
      <c r="AM30" s="235"/>
      <c r="AN30" s="235"/>
      <c r="AO30" s="235"/>
    </row>
    <row r="31" spans="1:41" x14ac:dyDescent="0.2">
      <c r="A31" s="232"/>
      <c r="B31" s="233">
        <v>2037</v>
      </c>
      <c r="C31" s="235">
        <f>ROUND(INDEX('Tables 3 to 6'!AP:AP,MATCH(B31,'Tables 3 to 6'!B:B,0))/10,3)</f>
        <v>7.8979999999999997</v>
      </c>
      <c r="D31" s="234">
        <f t="shared" si="10"/>
        <v>7.8979999999999997</v>
      </c>
      <c r="E31" s="235">
        <f>ROUND(INDEX('Tables 3 to 6'!AQ:AQ,MATCH(B31,'Tables 3 to 6'!B:B,0))/10,3)</f>
        <v>5.2060000000000004</v>
      </c>
      <c r="F31" s="235">
        <f t="shared" si="11"/>
        <v>5.2060000000000004</v>
      </c>
      <c r="G31" s="235"/>
      <c r="H31" s="235"/>
      <c r="I31" s="345"/>
      <c r="J31" s="456"/>
      <c r="K31" s="457"/>
      <c r="L31" s="457"/>
      <c r="M31" s="235"/>
      <c r="N31" s="235"/>
      <c r="O31" s="235"/>
      <c r="P31" s="235"/>
      <c r="T31" s="235"/>
      <c r="U31" s="232"/>
      <c r="X31" s="360">
        <f t="shared" si="9"/>
        <v>0.83899999999999986</v>
      </c>
      <c r="Y31" s="360"/>
      <c r="Z31" s="352">
        <f t="shared" si="5"/>
        <v>7349.6399999999985</v>
      </c>
      <c r="AA31" s="361">
        <f t="shared" si="0"/>
        <v>58047.456719999987</v>
      </c>
      <c r="AB31" s="352">
        <f t="shared" si="1"/>
        <v>32421.602498969045</v>
      </c>
      <c r="AD31" s="361">
        <f t="shared" si="2"/>
        <v>58047.456719999987</v>
      </c>
      <c r="AE31" s="352">
        <f t="shared" si="6"/>
        <v>35093.576337356419</v>
      </c>
      <c r="AG31" s="361">
        <f t="shared" si="3"/>
        <v>38262.225839999999</v>
      </c>
      <c r="AH31" s="352">
        <f t="shared" si="7"/>
        <v>25418.170278068985</v>
      </c>
      <c r="AJ31" s="361">
        <f t="shared" si="4"/>
        <v>38262.225839999999</v>
      </c>
      <c r="AK31" s="352">
        <f t="shared" si="8"/>
        <v>25431.321367058932</v>
      </c>
      <c r="AM31" s="235"/>
      <c r="AN31" s="235"/>
      <c r="AO31" s="235"/>
    </row>
    <row r="32" spans="1:41" x14ac:dyDescent="0.2">
      <c r="A32" s="232"/>
      <c r="B32" s="233">
        <v>2038</v>
      </c>
      <c r="C32" s="235">
        <f>ROUND(INDEX('Tables 3 to 6'!AP:AP,MATCH(B32,'Tables 3 to 6'!B:B,0))/10,3)</f>
        <v>8.0679999999999996</v>
      </c>
      <c r="D32" s="234">
        <f t="shared" si="10"/>
        <v>8.0679999999999996</v>
      </c>
      <c r="E32" s="235">
        <f>ROUND(INDEX('Tables 3 to 6'!AQ:AQ,MATCH(B32,'Tables 3 to 6'!B:B,0))/10,3)</f>
        <v>5.32</v>
      </c>
      <c r="F32" s="235">
        <f t="shared" si="11"/>
        <v>5.32</v>
      </c>
      <c r="G32" s="235"/>
      <c r="H32" s="235"/>
      <c r="I32" s="345"/>
      <c r="J32" s="456"/>
      <c r="K32" s="457"/>
      <c r="L32" s="457"/>
      <c r="M32" s="235"/>
      <c r="N32" s="235"/>
      <c r="O32" s="235"/>
      <c r="P32" s="235"/>
      <c r="T32" s="235"/>
      <c r="U32" s="232"/>
      <c r="X32" s="360">
        <f t="shared" si="9"/>
        <v>0.83199999999999985</v>
      </c>
      <c r="Y32" s="360"/>
      <c r="Z32" s="352">
        <f t="shared" si="5"/>
        <v>7288.3199999999988</v>
      </c>
      <c r="AA32" s="361">
        <f t="shared" si="0"/>
        <v>58802.165759999982</v>
      </c>
      <c r="AB32" s="352">
        <f t="shared" si="1"/>
        <v>32151.10045189779</v>
      </c>
      <c r="AD32" s="361">
        <f t="shared" si="2"/>
        <v>58802.165759999982</v>
      </c>
      <c r="AE32" s="352">
        <f t="shared" si="6"/>
        <v>34800.7813023606</v>
      </c>
      <c r="AG32" s="361">
        <f t="shared" si="3"/>
        <v>38773.862399999998</v>
      </c>
      <c r="AH32" s="352">
        <f t="shared" si="7"/>
        <v>25206.099727477231</v>
      </c>
      <c r="AJ32" s="361">
        <f t="shared" si="4"/>
        <v>38773.862399999998</v>
      </c>
      <c r="AK32" s="352">
        <f t="shared" si="8"/>
        <v>25219.141093436272</v>
      </c>
      <c r="AM32" s="235"/>
      <c r="AN32" s="235"/>
      <c r="AO32" s="235"/>
    </row>
    <row r="33" spans="1:42" x14ac:dyDescent="0.2">
      <c r="A33" s="232"/>
      <c r="B33" s="233"/>
      <c r="C33" s="232"/>
      <c r="D33" s="232"/>
      <c r="E33" s="232"/>
      <c r="F33" s="232"/>
      <c r="G33" s="232"/>
      <c r="H33" s="333"/>
      <c r="I33" s="345"/>
      <c r="J33" s="456"/>
      <c r="K33" s="457"/>
      <c r="L33" s="457"/>
      <c r="M33" s="333"/>
      <c r="N33" s="333"/>
      <c r="O33" s="333"/>
      <c r="P33" s="333"/>
      <c r="T33" s="333"/>
      <c r="U33" s="232"/>
      <c r="AA33" s="361"/>
      <c r="AD33" s="361"/>
      <c r="AG33" s="361"/>
      <c r="AJ33" s="361"/>
      <c r="AM33" s="333"/>
      <c r="AN33" s="333"/>
      <c r="AO33" s="333"/>
    </row>
    <row r="34" spans="1:42" x14ac:dyDescent="0.2">
      <c r="A34" s="232"/>
      <c r="C34" s="230" t="s">
        <v>318</v>
      </c>
      <c r="D34" s="230"/>
      <c r="E34" s="230" t="s">
        <v>135</v>
      </c>
      <c r="F34" s="230"/>
      <c r="G34" s="230"/>
      <c r="H34" s="333"/>
      <c r="I34" s="345"/>
      <c r="J34" s="456"/>
      <c r="L34" s="457"/>
      <c r="M34" s="333"/>
      <c r="N34" s="333"/>
      <c r="O34" s="333"/>
      <c r="P34" s="333"/>
      <c r="T34" s="230"/>
      <c r="U34" s="232"/>
      <c r="X34" s="364"/>
      <c r="Y34" s="365" t="s">
        <v>284</v>
      </c>
      <c r="Z34" s="366">
        <f>NPV($W$30,Z9:Z28)</f>
        <v>88186.401549293907</v>
      </c>
      <c r="AA34" s="361">
        <f t="shared" ref="AA34:AK34" si="12">NPV($W$30,AA9:AA28)</f>
        <v>389018.29978688422</v>
      </c>
      <c r="AB34" s="361">
        <f t="shared" si="12"/>
        <v>389018.29978688428</v>
      </c>
      <c r="AC34" s="352">
        <f t="shared" si="12"/>
        <v>0</v>
      </c>
      <c r="AD34" s="361">
        <f t="shared" si="12"/>
        <v>421078.61265135603</v>
      </c>
      <c r="AE34" s="361">
        <f t="shared" si="12"/>
        <v>421078.61265135603</v>
      </c>
      <c r="AF34" s="352">
        <f t="shared" si="12"/>
        <v>0</v>
      </c>
      <c r="AG34" s="361">
        <f t="shared" si="12"/>
        <v>304985.95452159829</v>
      </c>
      <c r="AH34" s="361">
        <f t="shared" si="12"/>
        <v>304985.95452159829</v>
      </c>
      <c r="AI34" s="352">
        <f t="shared" si="12"/>
        <v>0</v>
      </c>
      <c r="AJ34" s="361">
        <f t="shared" si="12"/>
        <v>305143.7509870684</v>
      </c>
      <c r="AK34" s="361">
        <f t="shared" si="12"/>
        <v>305143.7509870684</v>
      </c>
      <c r="AM34" s="230"/>
      <c r="AN34" s="230"/>
      <c r="AO34" s="230"/>
    </row>
    <row r="35" spans="1:42" ht="14.25" x14ac:dyDescent="0.35">
      <c r="A35" s="232"/>
      <c r="B35" s="238"/>
      <c r="C35" s="231" t="s">
        <v>62</v>
      </c>
      <c r="D35" s="231" t="s">
        <v>63</v>
      </c>
      <c r="E35" s="231" t="s">
        <v>62</v>
      </c>
      <c r="F35" s="231" t="s">
        <v>63</v>
      </c>
      <c r="G35" s="231"/>
      <c r="H35" s="349"/>
      <c r="I35" s="345"/>
      <c r="K35" s="457"/>
      <c r="L35" s="457"/>
      <c r="M35" s="333"/>
      <c r="N35" s="333"/>
      <c r="O35" s="333"/>
      <c r="P35" s="333"/>
      <c r="T35" s="231"/>
      <c r="U35" s="232"/>
      <c r="X35" s="367"/>
      <c r="Y35" s="367"/>
      <c r="Z35" s="365"/>
      <c r="AM35" s="231"/>
      <c r="AN35" s="231"/>
      <c r="AO35" s="231"/>
    </row>
    <row r="36" spans="1:42" ht="24" x14ac:dyDescent="0.2">
      <c r="B36" s="239" t="s">
        <v>319</v>
      </c>
      <c r="C36" s="240">
        <f>-PMT($W$30,COUNT(C9:C28),NPV($W$30,C9:C28))</f>
        <v>4.4678438213846263</v>
      </c>
      <c r="D36" s="240">
        <f>-PMT($W$30,COUNT(D9:D28),NPV($W$30,D9:D28))</f>
        <v>4.826009451651359</v>
      </c>
      <c r="E36" s="240">
        <f>-PMT($W$30,COUNT(E9:E28),NPV($W$30,E9:E28))</f>
        <v>3.491821533250874</v>
      </c>
      <c r="F36" s="240">
        <f>-PMT($W$30,COUNT(F9:F28),NPV($W$30,F9:F28))</f>
        <v>3.4963938835040125</v>
      </c>
      <c r="G36" s="240"/>
      <c r="H36" s="240"/>
      <c r="T36" s="240"/>
      <c r="U36" s="232"/>
      <c r="X36" s="368"/>
      <c r="Y36" s="368" t="s">
        <v>285</v>
      </c>
      <c r="Z36" s="369">
        <f>-PMT($W$30,COUNT(Z9:Z28),NPV($W$30,Z9:Z28))</f>
        <v>8247.9838032258922</v>
      </c>
      <c r="AA36" s="370">
        <f>-PMT($W$30,COUNT(AA9:AA28),NPV($W$30,AA9:AA28))</f>
        <v>36384.483088440364</v>
      </c>
      <c r="AB36" s="371">
        <f>AA36/Z36</f>
        <v>4.4113184453890328</v>
      </c>
      <c r="AC36" s="370"/>
      <c r="AD36" s="370">
        <f>-PMT($W$30,COUNT(AD9:AD28),NPV($W$30,AD9:AD28))</f>
        <v>39383.05130969506</v>
      </c>
      <c r="AE36" s="371">
        <f>AD36/Z36</f>
        <v>4.7748701075639657</v>
      </c>
      <c r="AF36" s="370"/>
      <c r="AG36" s="370">
        <f>-PMT($W$30,COUNT(AG9:AG28),NPV($W$30,AG9:AG28))</f>
        <v>28525.023914253055</v>
      </c>
      <c r="AH36" s="371">
        <f>AG36/Z36</f>
        <v>3.4584238517898824</v>
      </c>
      <c r="AI36" s="370"/>
      <c r="AJ36" s="370">
        <f>-PMT($W$30,COUNT(AJ9:AJ28),NPV($W$30,AJ9:AJ28))</f>
        <v>28539.782456029774</v>
      </c>
      <c r="AK36" s="371">
        <f>AJ36/Z36</f>
        <v>3.4602132032397419</v>
      </c>
      <c r="AM36" s="240"/>
      <c r="AN36" s="240"/>
      <c r="AO36" s="240"/>
    </row>
    <row r="37" spans="1:42" x14ac:dyDescent="0.2">
      <c r="A37" s="238"/>
      <c r="U37" s="232"/>
      <c r="Z37" s="372"/>
      <c r="AA37" s="373"/>
      <c r="AB37" s="374"/>
      <c r="AD37" s="373"/>
      <c r="AE37" s="374"/>
      <c r="AG37" s="373"/>
      <c r="AH37" s="374"/>
      <c r="AJ37" s="373"/>
      <c r="AK37" s="374"/>
    </row>
    <row r="38" spans="1:42" x14ac:dyDescent="0.2">
      <c r="U38" s="232"/>
      <c r="AA38" s="375"/>
      <c r="AD38" s="375"/>
      <c r="AG38" s="375"/>
      <c r="AJ38" s="375"/>
    </row>
    <row r="39" spans="1:42" x14ac:dyDescent="0.2">
      <c r="C39" s="230" t="s">
        <v>134</v>
      </c>
      <c r="D39" s="230"/>
      <c r="E39" s="230" t="s">
        <v>135</v>
      </c>
      <c r="F39" s="230"/>
    </row>
    <row r="40" spans="1:42" ht="24" x14ac:dyDescent="0.35">
      <c r="A40" s="242"/>
      <c r="B40" s="239" t="s">
        <v>319</v>
      </c>
      <c r="C40" s="231" t="s">
        <v>62</v>
      </c>
      <c r="D40" s="231" t="s">
        <v>63</v>
      </c>
      <c r="E40" s="231" t="s">
        <v>62</v>
      </c>
      <c r="F40" s="231" t="s">
        <v>63</v>
      </c>
      <c r="G40" s="240"/>
      <c r="J40" s="228"/>
      <c r="L40" s="242"/>
      <c r="M40" s="242"/>
      <c r="N40" s="242"/>
      <c r="O40" s="242"/>
      <c r="P40" s="242"/>
      <c r="AM40" s="240"/>
      <c r="AN40" s="240"/>
      <c r="AO40" s="240"/>
    </row>
    <row r="41" spans="1:42" x14ac:dyDescent="0.2">
      <c r="A41" s="242"/>
      <c r="B41" s="240"/>
      <c r="C41" s="240">
        <f>AB36</f>
        <v>4.4113184453890328</v>
      </c>
      <c r="D41" s="240">
        <f>AE36</f>
        <v>4.7748701075639657</v>
      </c>
      <c r="E41" s="240">
        <f>AH36</f>
        <v>3.4584238517898824</v>
      </c>
      <c r="F41" s="240">
        <f>AK36</f>
        <v>3.4602132032397419</v>
      </c>
      <c r="J41" s="228"/>
      <c r="L41" s="242"/>
      <c r="M41" s="242"/>
      <c r="N41" s="242"/>
      <c r="O41" s="242"/>
      <c r="P41" s="242"/>
    </row>
    <row r="42" spans="1:42" x14ac:dyDescent="0.2">
      <c r="A42" s="232"/>
      <c r="J42" s="337"/>
      <c r="K42" s="333"/>
      <c r="L42" s="333"/>
      <c r="M42" s="333"/>
      <c r="N42" s="333"/>
      <c r="O42" s="333"/>
      <c r="P42" s="333"/>
      <c r="AP42" s="339"/>
    </row>
    <row r="43" spans="1:42" x14ac:dyDescent="0.2">
      <c r="A43" s="241"/>
      <c r="B43" s="259" t="s">
        <v>278</v>
      </c>
      <c r="G43" s="230"/>
      <c r="K43" s="457"/>
      <c r="M43" s="461"/>
      <c r="N43" s="461"/>
      <c r="O43" s="461"/>
      <c r="P43" s="461"/>
      <c r="AM43" s="230"/>
      <c r="AN43" s="230"/>
      <c r="AO43" s="230"/>
    </row>
    <row r="44" spans="1:42" ht="14.25" x14ac:dyDescent="0.35">
      <c r="A44" s="242"/>
      <c r="B44" s="259" t="s">
        <v>264</v>
      </c>
      <c r="G44" s="231"/>
      <c r="M44" s="461"/>
      <c r="N44" s="461"/>
      <c r="O44" s="461"/>
      <c r="P44" s="461"/>
      <c r="AM44" s="231"/>
      <c r="AN44" s="231"/>
      <c r="AO44" s="231"/>
    </row>
    <row r="45" spans="1:42" x14ac:dyDescent="0.2">
      <c r="B45" s="259" t="s">
        <v>286</v>
      </c>
    </row>
  </sheetData>
  <printOptions horizontalCentered="1"/>
  <pageMargins left="0.25" right="0.25" top="0.75" bottom="0.75" header="0.3" footer="0.3"/>
  <pageSetup scale="85" orientation="landscape" copies="3" r:id="rId1"/>
  <headerFooter alignWithMargins="0">
    <oddFooter>&amp;L&amp;8NPC Group - &amp;F   ( &amp;A )&amp;C &amp;R &amp;8&amp;D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45"/>
  <sheetViews>
    <sheetView showGridLines="0" topLeftCell="A30" zoomScale="110" zoomScaleNormal="110" workbookViewId="0">
      <selection activeCell="AD18" sqref="AD18"/>
    </sheetView>
  </sheetViews>
  <sheetFormatPr defaultRowHeight="12" x14ac:dyDescent="0.2"/>
  <cols>
    <col min="1" max="1" width="2.83203125" style="227" customWidth="1"/>
    <col min="2" max="2" width="19.6640625" style="227" customWidth="1"/>
    <col min="3" max="6" width="18.83203125" style="227" customWidth="1"/>
    <col min="7" max="7" width="4.6640625" style="227" customWidth="1"/>
    <col min="8" max="8" width="3.1640625" style="227" customWidth="1"/>
    <col min="9" max="21" width="1.83203125" style="336" customWidth="1"/>
    <col min="22" max="22" width="7.1640625" style="227" customWidth="1"/>
    <col min="23" max="23" width="9.33203125" style="376"/>
    <col min="24" max="24" width="11.6640625" style="352" customWidth="1"/>
    <col min="25" max="25" width="3.5" style="352" customWidth="1"/>
    <col min="26" max="26" width="17.1640625" style="352" customWidth="1"/>
    <col min="27" max="27" width="12.5" style="352" customWidth="1"/>
    <col min="28" max="28" width="11" style="352" customWidth="1"/>
    <col min="29" max="29" width="3.83203125" style="352" customWidth="1"/>
    <col min="30" max="31" width="12.5" style="352" customWidth="1"/>
    <col min="32" max="32" width="3.83203125" style="352" customWidth="1"/>
    <col min="33" max="34" width="12.5" style="352" customWidth="1"/>
    <col min="35" max="35" width="3.33203125" style="352" customWidth="1"/>
    <col min="36" max="37" width="12.5" style="352" customWidth="1"/>
    <col min="38" max="40" width="4.6640625" style="336" customWidth="1"/>
    <col min="41" max="49" width="5.83203125" style="336" customWidth="1"/>
    <col min="50" max="50" width="9.33203125" style="336"/>
    <col min="51" max="16384" width="9.33203125" style="227"/>
  </cols>
  <sheetData>
    <row r="1" spans="1:46" x14ac:dyDescent="0.2">
      <c r="A1" s="2"/>
      <c r="B1" s="2"/>
      <c r="C1" s="2"/>
      <c r="D1" s="2"/>
      <c r="E1" s="2"/>
      <c r="F1" s="2"/>
      <c r="G1" s="229"/>
      <c r="H1" s="330"/>
      <c r="I1" s="464"/>
      <c r="J1" s="342"/>
      <c r="K1" s="342"/>
      <c r="L1" s="342"/>
      <c r="M1" s="342"/>
      <c r="N1" s="342"/>
      <c r="O1" s="342"/>
      <c r="P1" s="342"/>
      <c r="T1" s="458"/>
      <c r="U1" s="342"/>
      <c r="X1" s="351"/>
      <c r="Y1" s="351"/>
      <c r="AL1" s="228"/>
      <c r="AM1" s="228"/>
      <c r="AN1" s="228"/>
      <c r="AO1" s="228"/>
      <c r="AP1" s="228"/>
    </row>
    <row r="2" spans="1:46" x14ac:dyDescent="0.2">
      <c r="A2" s="2"/>
      <c r="B2" s="2" t="s">
        <v>108</v>
      </c>
      <c r="C2" s="2"/>
      <c r="D2" s="2"/>
      <c r="E2" s="2"/>
      <c r="F2" s="2"/>
      <c r="G2" s="229"/>
      <c r="H2" s="451"/>
      <c r="J2" s="342"/>
      <c r="K2" s="342"/>
      <c r="L2" s="342"/>
      <c r="M2" s="342"/>
      <c r="N2" s="342"/>
      <c r="O2" s="342"/>
      <c r="P2" s="342"/>
      <c r="T2" s="342"/>
      <c r="U2" s="342"/>
      <c r="X2" s="351"/>
      <c r="Y2" s="351"/>
      <c r="AL2" s="228"/>
      <c r="AM2" s="228"/>
      <c r="AN2" s="228"/>
      <c r="AO2" s="228"/>
      <c r="AP2" s="228"/>
    </row>
    <row r="3" spans="1:46" x14ac:dyDescent="0.2">
      <c r="G3" s="229"/>
      <c r="H3" s="258"/>
      <c r="K3" s="465"/>
      <c r="L3" s="465"/>
      <c r="X3" s="351"/>
      <c r="Y3" s="351"/>
      <c r="AL3" s="228"/>
      <c r="AM3" s="228"/>
      <c r="AN3" s="228"/>
      <c r="AO3" s="228"/>
      <c r="AP3" s="228"/>
    </row>
    <row r="4" spans="1:46" x14ac:dyDescent="0.2">
      <c r="A4" s="228"/>
      <c r="B4" s="258" t="s">
        <v>268</v>
      </c>
      <c r="C4" s="228"/>
      <c r="D4" s="228"/>
      <c r="E4" s="228"/>
      <c r="F4" s="228"/>
      <c r="G4" s="229"/>
      <c r="H4" s="229"/>
      <c r="K4" s="452"/>
      <c r="L4" s="452"/>
      <c r="M4" s="452"/>
      <c r="N4" s="452"/>
      <c r="O4" s="452"/>
      <c r="P4" s="452"/>
      <c r="R4" s="452"/>
      <c r="S4" s="452"/>
      <c r="T4" s="228"/>
      <c r="X4" s="353"/>
      <c r="Y4" s="353"/>
      <c r="AA4" s="354"/>
      <c r="AD4" s="354"/>
      <c r="AG4" s="354"/>
      <c r="AJ4" s="354"/>
      <c r="AL4" s="228"/>
      <c r="AM4" s="228"/>
      <c r="AN4" s="228"/>
      <c r="AO4" s="344"/>
      <c r="AP4" s="344"/>
    </row>
    <row r="5" spans="1:46" x14ac:dyDescent="0.2">
      <c r="A5" s="228"/>
      <c r="B5" s="228"/>
      <c r="H5" s="453"/>
      <c r="J5" s="228"/>
      <c r="K5" s="228"/>
      <c r="L5" s="228"/>
      <c r="M5" s="228"/>
      <c r="N5" s="228"/>
      <c r="O5" s="228"/>
      <c r="P5" s="228"/>
      <c r="R5" s="228"/>
      <c r="S5" s="228"/>
      <c r="T5" s="332"/>
    </row>
    <row r="6" spans="1:46" x14ac:dyDescent="0.2">
      <c r="A6" s="228"/>
      <c r="B6" s="229" t="s">
        <v>136</v>
      </c>
      <c r="C6" s="230" t="s">
        <v>320</v>
      </c>
      <c r="D6" s="230"/>
      <c r="E6" s="230" t="s">
        <v>178</v>
      </c>
      <c r="F6" s="230"/>
      <c r="H6" s="228"/>
      <c r="J6" s="228"/>
      <c r="K6" s="228"/>
      <c r="L6" s="228"/>
      <c r="M6" s="228"/>
      <c r="N6" s="228"/>
      <c r="O6" s="228"/>
      <c r="P6" s="228"/>
      <c r="R6" s="228"/>
      <c r="S6" s="228"/>
      <c r="T6" s="228"/>
      <c r="Y6" s="355"/>
      <c r="AA6" s="352" t="s">
        <v>287</v>
      </c>
      <c r="AD6" s="352" t="s">
        <v>288</v>
      </c>
      <c r="AG6" s="352" t="s">
        <v>289</v>
      </c>
      <c r="AJ6" s="352" t="s">
        <v>290</v>
      </c>
      <c r="AP6" s="230"/>
      <c r="AQ6" s="230"/>
    </row>
    <row r="7" spans="1:46" ht="14.25" x14ac:dyDescent="0.35">
      <c r="A7" s="228"/>
      <c r="B7" s="229" t="s">
        <v>133</v>
      </c>
      <c r="C7" s="231" t="s">
        <v>62</v>
      </c>
      <c r="D7" s="231" t="s">
        <v>63</v>
      </c>
      <c r="E7" s="231" t="s">
        <v>62</v>
      </c>
      <c r="F7" s="231" t="s">
        <v>63</v>
      </c>
      <c r="H7" s="228"/>
      <c r="J7" s="231"/>
      <c r="K7" s="231"/>
      <c r="L7" s="231"/>
      <c r="M7" s="231"/>
      <c r="N7" s="231"/>
      <c r="O7" s="231"/>
      <c r="P7" s="231"/>
      <c r="R7" s="231"/>
      <c r="S7" s="231"/>
      <c r="T7" s="228"/>
      <c r="X7" s="356" t="s">
        <v>291</v>
      </c>
      <c r="Y7" s="357"/>
      <c r="Z7" s="358" t="s">
        <v>282</v>
      </c>
      <c r="AA7" s="358" t="s">
        <v>281</v>
      </c>
      <c r="AB7" s="352" t="s">
        <v>283</v>
      </c>
      <c r="AD7" s="358" t="s">
        <v>281</v>
      </c>
      <c r="AE7" s="352" t="s">
        <v>283</v>
      </c>
      <c r="AG7" s="358" t="s">
        <v>281</v>
      </c>
      <c r="AH7" s="352" t="s">
        <v>283</v>
      </c>
      <c r="AJ7" s="358" t="s">
        <v>281</v>
      </c>
      <c r="AK7" s="352" t="s">
        <v>283</v>
      </c>
      <c r="AP7" s="231"/>
      <c r="AR7" s="335"/>
      <c r="AS7" s="335"/>
      <c r="AT7" s="335"/>
    </row>
    <row r="8" spans="1:46" hidden="1" x14ac:dyDescent="0.2">
      <c r="A8" s="232"/>
      <c r="B8" s="233">
        <v>2014</v>
      </c>
      <c r="C8" s="234">
        <f>ROUND('Table 2D SolarTracking'!C66/10,3)</f>
        <v>2.8410000000000002</v>
      </c>
      <c r="D8" s="234">
        <f>ROUND('Table 2D SolarTracking'!G66/10,3)</f>
        <v>3.59</v>
      </c>
      <c r="E8" s="234">
        <f>ROUND('Table 2D SolarTracking'!D66/10,3)</f>
        <v>2.274</v>
      </c>
      <c r="F8" s="234">
        <f>ROUND('Table 2D SolarTracking'!H66/10,3)</f>
        <v>2.3570000000000002</v>
      </c>
      <c r="H8" s="234"/>
      <c r="I8" s="345"/>
      <c r="J8" s="456"/>
      <c r="K8" s="457"/>
      <c r="L8" s="457"/>
      <c r="M8" s="235"/>
      <c r="N8" s="235"/>
      <c r="O8" s="235"/>
      <c r="P8" s="235"/>
      <c r="R8" s="457"/>
      <c r="S8" s="454"/>
      <c r="T8" s="235"/>
      <c r="U8" s="346"/>
      <c r="X8" s="359">
        <v>1</v>
      </c>
      <c r="Y8" s="360"/>
      <c r="Z8" s="352">
        <f>1*8760*$X8</f>
        <v>8760</v>
      </c>
      <c r="AA8" s="361">
        <f t="shared" ref="AA8:AA32" si="0">C8*1*8760*$X8</f>
        <v>24887.160000000003</v>
      </c>
      <c r="AB8" s="352">
        <f>Z8*$AB$36</f>
        <v>40363.016816288546</v>
      </c>
      <c r="AD8" s="361">
        <f t="shared" ref="AD8:AD32" si="1">D8*1*8760*$X8</f>
        <v>31448.399999999998</v>
      </c>
      <c r="AE8" s="352">
        <f>Z8*$AE$36</f>
        <v>43547.729376940959</v>
      </c>
      <c r="AG8" s="361">
        <f t="shared" ref="AG8:AG32" si="2">E8*1*8760*$X8</f>
        <v>19920.240000000002</v>
      </c>
      <c r="AH8" s="352">
        <f>Z8*$AH$36</f>
        <v>30865.192941679365</v>
      </c>
      <c r="AJ8" s="361">
        <f t="shared" ref="AJ8:AJ32" si="3">F8*1*8760*$X8</f>
        <v>20647.320000000003</v>
      </c>
      <c r="AK8" s="352">
        <f>Z8*$AK$36</f>
        <v>30880.86766038014</v>
      </c>
      <c r="AO8" s="345"/>
      <c r="AP8" s="346"/>
      <c r="AQ8" s="347"/>
      <c r="AR8" s="347"/>
    </row>
    <row r="9" spans="1:46" x14ac:dyDescent="0.2">
      <c r="A9" s="232"/>
      <c r="B9" s="233">
        <v>2015</v>
      </c>
      <c r="C9" s="234">
        <f>ROUND('Table 2D SolarTracking'!C67/10,3)</f>
        <v>3.3959999999999999</v>
      </c>
      <c r="D9" s="234">
        <f>ROUND('Table 2D SolarTracking'!G67/10,3)</f>
        <v>3.5920000000000001</v>
      </c>
      <c r="E9" s="234">
        <f>ROUND('Table 2D SolarTracking'!D67/10,3)</f>
        <v>2.6360000000000001</v>
      </c>
      <c r="F9" s="234">
        <f>ROUND('Table 2D SolarTracking'!H67/10,3)</f>
        <v>2.274</v>
      </c>
      <c r="H9" s="234"/>
      <c r="I9" s="345"/>
      <c r="J9" s="456"/>
      <c r="K9" s="457"/>
      <c r="L9" s="457"/>
      <c r="M9" s="235"/>
      <c r="N9" s="235"/>
      <c r="O9" s="235"/>
      <c r="P9" s="235"/>
      <c r="R9" s="457"/>
      <c r="S9" s="454"/>
      <c r="T9" s="235"/>
      <c r="X9" s="360">
        <f>X8-0.007</f>
        <v>0.99299999999999999</v>
      </c>
      <c r="Y9" s="360"/>
      <c r="Z9" s="352">
        <f t="shared" ref="Z9:Z32" si="4">1*8760*$X9</f>
        <v>8698.68</v>
      </c>
      <c r="AA9" s="361">
        <f t="shared" si="0"/>
        <v>29540.717280000001</v>
      </c>
      <c r="AB9" s="352">
        <f t="shared" ref="AB9:AB32" si="5">Z9*$AB$36</f>
        <v>40080.475698574526</v>
      </c>
      <c r="AD9" s="361">
        <f t="shared" si="1"/>
        <v>31245.658560000003</v>
      </c>
      <c r="AE9" s="352">
        <f t="shared" ref="AE9:AE32" si="6">Z9*$AE$36</f>
        <v>43242.895271302368</v>
      </c>
      <c r="AG9" s="361">
        <f t="shared" si="2"/>
        <v>22929.72048</v>
      </c>
      <c r="AH9" s="352">
        <f t="shared" ref="AH9:AH32" si="7">Z9*$AH$36</f>
        <v>30649.136591087612</v>
      </c>
      <c r="AJ9" s="361">
        <f t="shared" si="3"/>
        <v>19780.798320000002</v>
      </c>
      <c r="AK9" s="352">
        <f t="shared" ref="AK9:AK32" si="8">Z9*$AK$36</f>
        <v>30664.701586757477</v>
      </c>
      <c r="AO9" s="346"/>
      <c r="AP9" s="346"/>
      <c r="AQ9" s="347"/>
      <c r="AR9" s="347"/>
    </row>
    <row r="10" spans="1:46" x14ac:dyDescent="0.2">
      <c r="A10" s="232"/>
      <c r="B10" s="233">
        <v>2016</v>
      </c>
      <c r="C10" s="234">
        <f>ROUND('Table 2D SolarTracking'!C68/10,3)</f>
        <v>3.0569999999999999</v>
      </c>
      <c r="D10" s="234">
        <f>ROUND('Table 2D SolarTracking'!G68/10,3)</f>
        <v>3.4420000000000002</v>
      </c>
      <c r="E10" s="234">
        <f>ROUND('Table 2D SolarTracking'!D68/10,3)</f>
        <v>2.3780000000000001</v>
      </c>
      <c r="F10" s="234">
        <f>ROUND('Table 2D SolarTracking'!H68/10,3)</f>
        <v>2.1949999999999998</v>
      </c>
      <c r="H10" s="234"/>
      <c r="I10" s="345"/>
      <c r="J10" s="456"/>
      <c r="K10" s="457"/>
      <c r="L10" s="457"/>
      <c r="M10" s="235"/>
      <c r="N10" s="235"/>
      <c r="O10" s="235"/>
      <c r="P10" s="235"/>
      <c r="T10" s="235"/>
      <c r="X10" s="360">
        <f t="shared" ref="X10:X32" si="9">X9-0.007</f>
        <v>0.98599999999999999</v>
      </c>
      <c r="Y10" s="360"/>
      <c r="Z10" s="352">
        <f t="shared" si="4"/>
        <v>8637.36</v>
      </c>
      <c r="AA10" s="361">
        <f t="shared" si="0"/>
        <v>26404.409520000001</v>
      </c>
      <c r="AB10" s="352">
        <f t="shared" si="5"/>
        <v>39797.934580860507</v>
      </c>
      <c r="AD10" s="361">
        <f t="shared" si="1"/>
        <v>29729.793120000002</v>
      </c>
      <c r="AE10" s="352">
        <f t="shared" si="6"/>
        <v>42938.061165663785</v>
      </c>
      <c r="AG10" s="361">
        <f t="shared" si="2"/>
        <v>20539.642080000001</v>
      </c>
      <c r="AH10" s="352">
        <f t="shared" si="7"/>
        <v>30433.080240495856</v>
      </c>
      <c r="AJ10" s="361">
        <f t="shared" si="3"/>
        <v>18959.005199999996</v>
      </c>
      <c r="AK10" s="352">
        <f t="shared" si="8"/>
        <v>30448.535513134819</v>
      </c>
      <c r="AO10" s="346"/>
      <c r="AP10" s="346"/>
      <c r="AQ10" s="347"/>
      <c r="AR10" s="347"/>
    </row>
    <row r="11" spans="1:46" x14ac:dyDescent="0.2">
      <c r="A11" s="232"/>
      <c r="B11" s="233">
        <v>2017</v>
      </c>
      <c r="C11" s="234">
        <f>ROUND('Table 2D SolarTracking'!C69/10,3)</f>
        <v>3.1269999999999998</v>
      </c>
      <c r="D11" s="234">
        <f>ROUND('Table 2D SolarTracking'!G69/10,3)</f>
        <v>3.677</v>
      </c>
      <c r="E11" s="234">
        <f>ROUND('Table 2D SolarTracking'!D69/10,3)</f>
        <v>2.4409999999999998</v>
      </c>
      <c r="F11" s="234">
        <f>ROUND('Table 2D SolarTracking'!H69/10,3)</f>
        <v>2.39</v>
      </c>
      <c r="H11" s="234"/>
      <c r="I11" s="345"/>
      <c r="J11" s="456"/>
      <c r="K11" s="457"/>
      <c r="L11" s="457"/>
      <c r="M11" s="235"/>
      <c r="N11" s="235"/>
      <c r="O11" s="235"/>
      <c r="P11" s="235"/>
      <c r="T11" s="235"/>
      <c r="X11" s="360">
        <f t="shared" si="9"/>
        <v>0.97899999999999998</v>
      </c>
      <c r="Y11" s="360"/>
      <c r="Z11" s="352">
        <f t="shared" si="4"/>
        <v>8576.0399999999991</v>
      </c>
      <c r="AA11" s="361">
        <f t="shared" si="0"/>
        <v>26817.277079999996</v>
      </c>
      <c r="AB11" s="352">
        <f t="shared" si="5"/>
        <v>39515.39346314648</v>
      </c>
      <c r="AD11" s="361">
        <f t="shared" si="1"/>
        <v>31534.09908</v>
      </c>
      <c r="AE11" s="352">
        <f t="shared" si="6"/>
        <v>42633.227060025194</v>
      </c>
      <c r="AG11" s="361">
        <f t="shared" si="2"/>
        <v>20934.11364</v>
      </c>
      <c r="AH11" s="352">
        <f t="shared" si="7"/>
        <v>30217.023889904096</v>
      </c>
      <c r="AJ11" s="361">
        <f t="shared" si="3"/>
        <v>20496.7356</v>
      </c>
      <c r="AK11" s="352">
        <f t="shared" si="8"/>
        <v>30232.369439512153</v>
      </c>
      <c r="AO11" s="346"/>
      <c r="AP11" s="346"/>
      <c r="AQ11" s="347"/>
      <c r="AR11" s="347"/>
    </row>
    <row r="12" spans="1:46" x14ac:dyDescent="0.2">
      <c r="A12" s="232"/>
      <c r="B12" s="233">
        <v>2018</v>
      </c>
      <c r="C12" s="234">
        <f>ROUND('Table 2D SolarTracking'!C70/10,3)</f>
        <v>3.41</v>
      </c>
      <c r="D12" s="234">
        <f>ROUND('Table 2D SolarTracking'!G70/10,3)</f>
        <v>3.9180000000000001</v>
      </c>
      <c r="E12" s="234">
        <f>ROUND('Table 2D SolarTracking'!D70/10,3)</f>
        <v>2.6640000000000001</v>
      </c>
      <c r="F12" s="234">
        <f>ROUND('Table 2D SolarTracking'!H70/10,3)</f>
        <v>2.5760000000000001</v>
      </c>
      <c r="H12" s="234"/>
      <c r="I12" s="345"/>
      <c r="J12" s="456"/>
      <c r="K12" s="457"/>
      <c r="L12" s="457"/>
      <c r="M12" s="235"/>
      <c r="N12" s="235"/>
      <c r="O12" s="235"/>
      <c r="P12" s="235"/>
      <c r="T12" s="235"/>
      <c r="X12" s="360">
        <f t="shared" si="9"/>
        <v>0.97199999999999998</v>
      </c>
      <c r="Y12" s="360"/>
      <c r="Z12" s="352">
        <f t="shared" si="4"/>
        <v>8514.7199999999993</v>
      </c>
      <c r="AA12" s="361">
        <f t="shared" si="0"/>
        <v>29035.195200000002</v>
      </c>
      <c r="AB12" s="352">
        <f t="shared" si="5"/>
        <v>39232.85234543246</v>
      </c>
      <c r="AD12" s="361">
        <f t="shared" si="1"/>
        <v>33360.672959999996</v>
      </c>
      <c r="AE12" s="352">
        <f t="shared" si="6"/>
        <v>42328.392954386603</v>
      </c>
      <c r="AG12" s="361">
        <f t="shared" si="2"/>
        <v>22683.214080000002</v>
      </c>
      <c r="AH12" s="352">
        <f t="shared" si="7"/>
        <v>30000.96753931234</v>
      </c>
      <c r="AJ12" s="361">
        <f t="shared" si="3"/>
        <v>21933.918720000001</v>
      </c>
      <c r="AK12" s="352">
        <f t="shared" si="8"/>
        <v>30016.203365889491</v>
      </c>
      <c r="AO12" s="346"/>
      <c r="AP12" s="346"/>
      <c r="AQ12" s="347"/>
      <c r="AR12" s="347"/>
    </row>
    <row r="13" spans="1:46" x14ac:dyDescent="0.2">
      <c r="A13" s="232"/>
      <c r="B13" s="233">
        <v>2019</v>
      </c>
      <c r="C13" s="234">
        <f>ROUND('Table 2D SolarTracking'!C71/10,3)</f>
        <v>3.5529999999999999</v>
      </c>
      <c r="D13" s="234">
        <f>ROUND('Table 2D SolarTracking'!G71/10,3)</f>
        <v>4.1239999999999997</v>
      </c>
      <c r="E13" s="234">
        <f>ROUND('Table 2D SolarTracking'!D71/10,3)</f>
        <v>2.8130000000000002</v>
      </c>
      <c r="F13" s="234">
        <f>ROUND('Table 2D SolarTracking'!H71/10,3)</f>
        <v>2.7730000000000001</v>
      </c>
      <c r="H13" s="234"/>
      <c r="I13" s="345"/>
      <c r="J13" s="456"/>
      <c r="K13" s="457"/>
      <c r="L13" s="457"/>
      <c r="M13" s="235"/>
      <c r="N13" s="235"/>
      <c r="O13" s="235"/>
      <c r="P13" s="235"/>
      <c r="T13" s="235"/>
      <c r="X13" s="360">
        <f t="shared" si="9"/>
        <v>0.96499999999999997</v>
      </c>
      <c r="Y13" s="360"/>
      <c r="Z13" s="352">
        <f t="shared" si="4"/>
        <v>8453.4</v>
      </c>
      <c r="AA13" s="361">
        <f t="shared" si="0"/>
        <v>30034.930199999999</v>
      </c>
      <c r="AB13" s="352">
        <f t="shared" si="5"/>
        <v>38950.311227718441</v>
      </c>
      <c r="AD13" s="361">
        <f t="shared" si="1"/>
        <v>34861.821599999996</v>
      </c>
      <c r="AE13" s="352">
        <f t="shared" si="6"/>
        <v>42023.55884874802</v>
      </c>
      <c r="AG13" s="361">
        <f t="shared" si="2"/>
        <v>23779.414199999999</v>
      </c>
      <c r="AH13" s="352">
        <f t="shared" si="7"/>
        <v>29784.911188720587</v>
      </c>
      <c r="AJ13" s="361">
        <f t="shared" si="3"/>
        <v>23441.278199999997</v>
      </c>
      <c r="AK13" s="352">
        <f t="shared" si="8"/>
        <v>29800.037292266832</v>
      </c>
      <c r="AO13" s="346"/>
      <c r="AP13" s="346"/>
      <c r="AQ13" s="347"/>
      <c r="AR13" s="347"/>
    </row>
    <row r="14" spans="1:46" x14ac:dyDescent="0.2">
      <c r="A14" s="232"/>
      <c r="B14" s="233">
        <v>2020</v>
      </c>
      <c r="C14" s="234">
        <f>ROUND('Table 2D SolarTracking'!C72/10,3)</f>
        <v>3.7879999999999998</v>
      </c>
      <c r="D14" s="234">
        <f>ROUND('Table 2D SolarTracking'!G72/10,3)</f>
        <v>4.4320000000000004</v>
      </c>
      <c r="E14" s="234">
        <f>ROUND('Table 2D SolarTracking'!D72/10,3)</f>
        <v>3.1480000000000001</v>
      </c>
      <c r="F14" s="234">
        <f>ROUND('Table 2D SolarTracking'!H72/10,3)</f>
        <v>3.4870000000000001</v>
      </c>
      <c r="H14" s="234"/>
      <c r="I14" s="345"/>
      <c r="J14" s="456"/>
      <c r="K14" s="457"/>
      <c r="L14" s="457"/>
      <c r="M14" s="235"/>
      <c r="N14" s="235"/>
      <c r="O14" s="235"/>
      <c r="P14" s="235"/>
      <c r="T14" s="235"/>
      <c r="X14" s="360">
        <f t="shared" si="9"/>
        <v>0.95799999999999996</v>
      </c>
      <c r="Y14" s="360"/>
      <c r="Z14" s="352">
        <f t="shared" si="4"/>
        <v>8392.08</v>
      </c>
      <c r="AA14" s="361">
        <f t="shared" si="0"/>
        <v>31789.199039999996</v>
      </c>
      <c r="AB14" s="352">
        <f t="shared" si="5"/>
        <v>38667.770110004421</v>
      </c>
      <c r="AD14" s="361">
        <f t="shared" si="1"/>
        <v>37193.698560000004</v>
      </c>
      <c r="AE14" s="352">
        <f t="shared" si="6"/>
        <v>41718.724743109437</v>
      </c>
      <c r="AG14" s="361">
        <f t="shared" si="2"/>
        <v>26418.267839999997</v>
      </c>
      <c r="AH14" s="352">
        <f t="shared" si="7"/>
        <v>29568.854838128831</v>
      </c>
      <c r="AJ14" s="361">
        <f t="shared" si="3"/>
        <v>29263.182960000002</v>
      </c>
      <c r="AK14" s="352">
        <f t="shared" si="8"/>
        <v>29583.871218644173</v>
      </c>
      <c r="AO14" s="346"/>
      <c r="AP14" s="346"/>
      <c r="AQ14" s="347"/>
      <c r="AR14" s="347"/>
    </row>
    <row r="15" spans="1:46" x14ac:dyDescent="0.2">
      <c r="A15" s="232"/>
      <c r="B15" s="233">
        <v>2021</v>
      </c>
      <c r="C15" s="234">
        <f>ROUND('Table 2D SolarTracking'!C73/10,3)</f>
        <v>4.0670000000000002</v>
      </c>
      <c r="D15" s="234">
        <f>ROUND('Table 2D SolarTracking'!G73/10,3)</f>
        <v>4.3940000000000001</v>
      </c>
      <c r="E15" s="234">
        <f>ROUND('Table 2D SolarTracking'!D73/10,3)</f>
        <v>3.7170000000000001</v>
      </c>
      <c r="F15" s="234">
        <f>ROUND('Table 2D SolarTracking'!H73/10,3)</f>
        <v>3.93</v>
      </c>
      <c r="H15" s="234"/>
      <c r="I15" s="345"/>
      <c r="J15" s="456"/>
      <c r="K15" s="457"/>
      <c r="L15" s="457"/>
      <c r="M15" s="235"/>
      <c r="N15" s="235"/>
      <c r="O15" s="235"/>
      <c r="P15" s="235"/>
      <c r="T15" s="235"/>
      <c r="X15" s="360">
        <f t="shared" si="9"/>
        <v>0.95099999999999996</v>
      </c>
      <c r="Y15" s="360"/>
      <c r="Z15" s="352">
        <f t="shared" si="4"/>
        <v>8330.76</v>
      </c>
      <c r="AA15" s="361">
        <f t="shared" si="0"/>
        <v>33881.200919999996</v>
      </c>
      <c r="AB15" s="352">
        <f t="shared" si="5"/>
        <v>38385.228992290409</v>
      </c>
      <c r="AD15" s="361">
        <f t="shared" si="1"/>
        <v>36605.35944</v>
      </c>
      <c r="AE15" s="352">
        <f t="shared" si="6"/>
        <v>41413.890637470853</v>
      </c>
      <c r="AG15" s="361">
        <f t="shared" si="2"/>
        <v>30965.43492</v>
      </c>
      <c r="AH15" s="352">
        <f t="shared" si="7"/>
        <v>29352.798487537078</v>
      </c>
      <c r="AJ15" s="361">
        <f t="shared" si="3"/>
        <v>32739.8868</v>
      </c>
      <c r="AK15" s="352">
        <f t="shared" si="8"/>
        <v>29367.705145021511</v>
      </c>
      <c r="AO15" s="346"/>
      <c r="AP15" s="346"/>
      <c r="AQ15" s="347"/>
      <c r="AR15" s="347"/>
    </row>
    <row r="16" spans="1:46" x14ac:dyDescent="0.2">
      <c r="A16" s="232"/>
      <c r="B16" s="233">
        <v>2022</v>
      </c>
      <c r="C16" s="234">
        <f>ROUND('Table 2D SolarTracking'!C74/10,3)</f>
        <v>4.0519999999999996</v>
      </c>
      <c r="D16" s="234">
        <f>ROUND('Table 2D SolarTracking'!G74/10,3)</f>
        <v>4.5469999999999997</v>
      </c>
      <c r="E16" s="234">
        <f>ROUND('Table 2D SolarTracking'!D74/10,3)</f>
        <v>3.8639999999999999</v>
      </c>
      <c r="F16" s="234">
        <f>ROUND('Table 2D SolarTracking'!H74/10,3)</f>
        <v>4.008</v>
      </c>
      <c r="H16" s="234"/>
      <c r="I16" s="345"/>
      <c r="J16" s="456"/>
      <c r="K16" s="457"/>
      <c r="L16" s="457"/>
      <c r="M16" s="235"/>
      <c r="N16" s="235"/>
      <c r="O16" s="235"/>
      <c r="P16" s="235"/>
      <c r="T16" s="235"/>
      <c r="X16" s="360">
        <f t="shared" si="9"/>
        <v>0.94399999999999995</v>
      </c>
      <c r="Y16" s="360"/>
      <c r="Z16" s="352">
        <f t="shared" si="4"/>
        <v>8269.4399999999987</v>
      </c>
      <c r="AA16" s="361">
        <f t="shared" si="0"/>
        <v>33507.770879999996</v>
      </c>
      <c r="AB16" s="352">
        <f t="shared" si="5"/>
        <v>38102.687874576382</v>
      </c>
      <c r="AD16" s="361">
        <f t="shared" si="1"/>
        <v>37601.143679999994</v>
      </c>
      <c r="AE16" s="352">
        <f t="shared" si="6"/>
        <v>41109.056531832255</v>
      </c>
      <c r="AG16" s="361">
        <f t="shared" si="2"/>
        <v>31953.116159999998</v>
      </c>
      <c r="AH16" s="352">
        <f t="shared" si="7"/>
        <v>29136.742136945315</v>
      </c>
      <c r="AJ16" s="361">
        <f t="shared" si="3"/>
        <v>33143.915520000002</v>
      </c>
      <c r="AK16" s="352">
        <f t="shared" si="8"/>
        <v>29151.539071398845</v>
      </c>
      <c r="AO16" s="346"/>
      <c r="AP16" s="346"/>
      <c r="AQ16" s="347"/>
      <c r="AR16" s="347"/>
    </row>
    <row r="17" spans="1:44" x14ac:dyDescent="0.2">
      <c r="A17" s="232"/>
      <c r="B17" s="233">
        <v>2023</v>
      </c>
      <c r="C17" s="234">
        <f>ROUND('Table 2D SolarTracking'!C75/10,3)</f>
        <v>4.226</v>
      </c>
      <c r="D17" s="234">
        <f>ROUND('Table 2D SolarTracking'!G75/10,3)</f>
        <v>4.6369999999999996</v>
      </c>
      <c r="E17" s="234">
        <f>ROUND('Table 2D SolarTracking'!D75/10,3)</f>
        <v>4.048</v>
      </c>
      <c r="F17" s="234">
        <f>ROUND('Table 2D SolarTracking'!H75/10,3)</f>
        <v>4.0940000000000003</v>
      </c>
      <c r="H17" s="234"/>
      <c r="I17" s="345"/>
      <c r="J17" s="456"/>
      <c r="K17" s="457"/>
      <c r="L17" s="457"/>
      <c r="M17" s="235"/>
      <c r="N17" s="235"/>
      <c r="O17" s="235"/>
      <c r="P17" s="235"/>
      <c r="T17" s="235"/>
      <c r="X17" s="360">
        <f t="shared" si="9"/>
        <v>0.93699999999999994</v>
      </c>
      <c r="Y17" s="360"/>
      <c r="Z17" s="352">
        <f t="shared" si="4"/>
        <v>8208.119999999999</v>
      </c>
      <c r="AA17" s="361">
        <f t="shared" si="0"/>
        <v>34687.515119999996</v>
      </c>
      <c r="AB17" s="352">
        <f t="shared" si="5"/>
        <v>37820.146756862363</v>
      </c>
      <c r="AD17" s="361">
        <f t="shared" si="1"/>
        <v>38061.052439999992</v>
      </c>
      <c r="AE17" s="352">
        <f t="shared" si="6"/>
        <v>40804.222426193672</v>
      </c>
      <c r="AG17" s="361">
        <f t="shared" si="2"/>
        <v>33226.46976</v>
      </c>
      <c r="AH17" s="352">
        <f t="shared" si="7"/>
        <v>28920.685786353562</v>
      </c>
      <c r="AJ17" s="361">
        <f t="shared" si="3"/>
        <v>33604.043279999998</v>
      </c>
      <c r="AK17" s="352">
        <f t="shared" si="8"/>
        <v>28935.372997776187</v>
      </c>
      <c r="AO17" s="346"/>
      <c r="AP17" s="346"/>
      <c r="AQ17" s="347"/>
      <c r="AR17" s="347"/>
    </row>
    <row r="18" spans="1:44" x14ac:dyDescent="0.2">
      <c r="A18" s="232"/>
      <c r="B18" s="233">
        <v>2024</v>
      </c>
      <c r="C18" s="234">
        <f>ROUND('Table 2D SolarTracking'!C76/10,3)</f>
        <v>4.4029999999999996</v>
      </c>
      <c r="D18" s="234">
        <f>ROUND('Table 2D SolarTracking'!G76/10,3)</f>
        <v>4.923</v>
      </c>
      <c r="E18" s="234">
        <f>ROUND('Table 2D SolarTracking'!D76/10,3)</f>
        <v>4.22</v>
      </c>
      <c r="F18" s="234">
        <f>ROUND('Table 2D SolarTracking'!H76/10,3)</f>
        <v>4.3129999999999997</v>
      </c>
      <c r="H18" s="234"/>
      <c r="I18" s="345"/>
      <c r="J18" s="456"/>
      <c r="K18" s="457"/>
      <c r="L18" s="457"/>
      <c r="M18" s="235"/>
      <c r="N18" s="235"/>
      <c r="O18" s="235"/>
      <c r="P18" s="235"/>
      <c r="T18" s="235"/>
      <c r="X18" s="360">
        <f t="shared" si="9"/>
        <v>0.92999999999999994</v>
      </c>
      <c r="Y18" s="360"/>
      <c r="Z18" s="352">
        <f t="shared" si="4"/>
        <v>8146.7999999999993</v>
      </c>
      <c r="AA18" s="361">
        <f t="shared" si="0"/>
        <v>35870.360399999998</v>
      </c>
      <c r="AB18" s="352">
        <f t="shared" si="5"/>
        <v>37537.605639148343</v>
      </c>
      <c r="AD18" s="361">
        <f t="shared" si="1"/>
        <v>40106.696400000001</v>
      </c>
      <c r="AE18" s="352">
        <f t="shared" si="6"/>
        <v>40499.388320555088</v>
      </c>
      <c r="AG18" s="361">
        <f t="shared" si="2"/>
        <v>34379.495999999992</v>
      </c>
      <c r="AH18" s="352">
        <f t="shared" si="7"/>
        <v>28704.629435761806</v>
      </c>
      <c r="AJ18" s="361">
        <f t="shared" si="3"/>
        <v>35137.148399999998</v>
      </c>
      <c r="AK18" s="352">
        <f t="shared" si="8"/>
        <v>28719.206924153525</v>
      </c>
      <c r="AO18" s="346"/>
      <c r="AP18" s="346"/>
      <c r="AQ18" s="347"/>
      <c r="AR18" s="347"/>
    </row>
    <row r="19" spans="1:44" x14ac:dyDescent="0.2">
      <c r="A19" s="232"/>
      <c r="B19" s="233">
        <v>2025</v>
      </c>
      <c r="C19" s="234">
        <f>ROUND('Table 2D SolarTracking'!C77/10,3)</f>
        <v>4.6239999999999997</v>
      </c>
      <c r="D19" s="234">
        <f>ROUND('Table 2D SolarTracking'!G77/10,3)</f>
        <v>5.2690000000000001</v>
      </c>
      <c r="E19" s="234">
        <f>ROUND('Table 2D SolarTracking'!D77/10,3)</f>
        <v>4.4269999999999996</v>
      </c>
      <c r="F19" s="234">
        <f>ROUND('Table 2D SolarTracking'!H77/10,3)</f>
        <v>4.5880000000000001</v>
      </c>
      <c r="H19" s="234"/>
      <c r="I19" s="345"/>
      <c r="J19" s="456"/>
      <c r="K19" s="457"/>
      <c r="L19" s="457"/>
      <c r="M19" s="235"/>
      <c r="N19" s="235"/>
      <c r="O19" s="235"/>
      <c r="P19" s="235"/>
      <c r="T19" s="235"/>
      <c r="X19" s="360">
        <f t="shared" si="9"/>
        <v>0.92299999999999993</v>
      </c>
      <c r="Y19" s="360"/>
      <c r="Z19" s="352">
        <f t="shared" si="4"/>
        <v>8085.48</v>
      </c>
      <c r="AA19" s="361">
        <f t="shared" si="0"/>
        <v>37387.259519999992</v>
      </c>
      <c r="AB19" s="352">
        <f t="shared" si="5"/>
        <v>37255.064521434324</v>
      </c>
      <c r="AD19" s="361">
        <f t="shared" si="1"/>
        <v>42602.394119999997</v>
      </c>
      <c r="AE19" s="352">
        <f t="shared" si="6"/>
        <v>40194.554214916498</v>
      </c>
      <c r="AG19" s="361">
        <f t="shared" si="2"/>
        <v>35794.419959999992</v>
      </c>
      <c r="AH19" s="352">
        <f t="shared" si="7"/>
        <v>28488.573085170054</v>
      </c>
      <c r="AJ19" s="361">
        <f t="shared" si="3"/>
        <v>37096.182239999995</v>
      </c>
      <c r="AK19" s="352">
        <f t="shared" si="8"/>
        <v>28503.040850530866</v>
      </c>
      <c r="AO19" s="346"/>
      <c r="AP19" s="346"/>
      <c r="AQ19" s="347"/>
      <c r="AR19" s="347"/>
    </row>
    <row r="20" spans="1:44" x14ac:dyDescent="0.2">
      <c r="A20" s="232"/>
      <c r="B20" s="233">
        <v>2026</v>
      </c>
      <c r="C20" s="234">
        <f>ROUND('Table 2D SolarTracking'!C78/10,3)</f>
        <v>4.8129999999999997</v>
      </c>
      <c r="D20" s="234">
        <f>ROUND('Table 2D SolarTracking'!G78/10,3)</f>
        <v>5.5439999999999996</v>
      </c>
      <c r="E20" s="234">
        <f>ROUND('Table 2D SolarTracking'!D78/10,3)</f>
        <v>4.6379999999999999</v>
      </c>
      <c r="F20" s="234">
        <f>ROUND('Table 2D SolarTracking'!H78/10,3)</f>
        <v>4.8369999999999997</v>
      </c>
      <c r="H20" s="234"/>
      <c r="I20" s="345"/>
      <c r="J20" s="456"/>
      <c r="K20" s="457"/>
      <c r="L20" s="457"/>
      <c r="M20" s="235"/>
      <c r="N20" s="235"/>
      <c r="O20" s="235"/>
      <c r="P20" s="235"/>
      <c r="T20" s="235"/>
      <c r="X20" s="360">
        <f t="shared" si="9"/>
        <v>0.91599999999999993</v>
      </c>
      <c r="Y20" s="360"/>
      <c r="Z20" s="352">
        <f t="shared" si="4"/>
        <v>8024.1599999999989</v>
      </c>
      <c r="AA20" s="361">
        <f t="shared" si="0"/>
        <v>38620.282079999997</v>
      </c>
      <c r="AB20" s="352">
        <f t="shared" si="5"/>
        <v>36972.523403720304</v>
      </c>
      <c r="AD20" s="361">
        <f t="shared" si="1"/>
        <v>44485.943039999991</v>
      </c>
      <c r="AE20" s="352">
        <f t="shared" si="6"/>
        <v>39889.720109277907</v>
      </c>
      <c r="AG20" s="361">
        <f t="shared" si="2"/>
        <v>37216.054079999994</v>
      </c>
      <c r="AH20" s="352">
        <f t="shared" si="7"/>
        <v>28272.516734578294</v>
      </c>
      <c r="AJ20" s="361">
        <f t="shared" si="3"/>
        <v>38812.861919999996</v>
      </c>
      <c r="AK20" s="352">
        <f t="shared" si="8"/>
        <v>28286.874776908204</v>
      </c>
      <c r="AO20" s="346"/>
      <c r="AP20" s="346"/>
      <c r="AQ20" s="347"/>
      <c r="AR20" s="347"/>
    </row>
    <row r="21" spans="1:44" x14ac:dyDescent="0.2">
      <c r="A21" s="232"/>
      <c r="B21" s="233">
        <v>2027</v>
      </c>
      <c r="C21" s="235">
        <f>ROUND(INDEX('Tables 3 to 6'!AX:AX,MATCH(B21,'Tables 3 to 6'!B:B,0))/10,3)</f>
        <v>6.734</v>
      </c>
      <c r="D21" s="234">
        <f t="shared" ref="D21:D32" si="10">C21</f>
        <v>6.734</v>
      </c>
      <c r="E21" s="235">
        <f>ROUND(INDEX('Tables 3 to 6'!AY:AY,MATCH(B21,'Tables 3 to 6'!B:B,0))/10,3)</f>
        <v>4.0049999999999999</v>
      </c>
      <c r="F21" s="235">
        <f t="shared" ref="F21:F32" si="11">E21</f>
        <v>4.0049999999999999</v>
      </c>
      <c r="H21" s="234"/>
      <c r="I21" s="345"/>
      <c r="J21" s="456"/>
      <c r="K21" s="457"/>
      <c r="L21" s="457"/>
      <c r="M21" s="235"/>
      <c r="N21" s="235"/>
      <c r="O21" s="235"/>
      <c r="P21" s="235"/>
      <c r="T21" s="235"/>
      <c r="X21" s="360">
        <f t="shared" si="9"/>
        <v>0.90899999999999992</v>
      </c>
      <c r="Y21" s="360"/>
      <c r="Z21" s="352">
        <f t="shared" si="4"/>
        <v>7962.8399999999992</v>
      </c>
      <c r="AA21" s="361">
        <f t="shared" si="0"/>
        <v>53621.764559999989</v>
      </c>
      <c r="AB21" s="352">
        <f t="shared" si="5"/>
        <v>36689.982286006285</v>
      </c>
      <c r="AD21" s="361">
        <f t="shared" si="1"/>
        <v>53621.764559999989</v>
      </c>
      <c r="AE21" s="352">
        <f t="shared" si="6"/>
        <v>39584.886003639323</v>
      </c>
      <c r="AG21" s="361">
        <f t="shared" si="2"/>
        <v>31891.174199999994</v>
      </c>
      <c r="AH21" s="352">
        <f t="shared" si="7"/>
        <v>28056.460383986541</v>
      </c>
      <c r="AJ21" s="361">
        <f t="shared" si="3"/>
        <v>31891.174199999994</v>
      </c>
      <c r="AK21" s="352">
        <f t="shared" si="8"/>
        <v>28070.708703285542</v>
      </c>
      <c r="AO21" s="346"/>
      <c r="AP21" s="346"/>
      <c r="AQ21" s="347"/>
      <c r="AR21" s="347"/>
    </row>
    <row r="22" spans="1:44" x14ac:dyDescent="0.2">
      <c r="A22" s="232"/>
      <c r="B22" s="233">
        <v>2028</v>
      </c>
      <c r="C22" s="235">
        <f>ROUND(INDEX('Tables 3 to 6'!AX:AX,MATCH(B22,'Tables 3 to 6'!B:B,0))/10,3)</f>
        <v>6.9450000000000003</v>
      </c>
      <c r="D22" s="234">
        <f t="shared" si="10"/>
        <v>6.9450000000000003</v>
      </c>
      <c r="E22" s="235">
        <f>ROUND(INDEX('Tables 3 to 6'!AY:AY,MATCH(B22,'Tables 3 to 6'!B:B,0))/10,3)</f>
        <v>4.1639999999999997</v>
      </c>
      <c r="F22" s="235">
        <f t="shared" si="11"/>
        <v>4.1639999999999997</v>
      </c>
      <c r="H22" s="234"/>
      <c r="I22" s="345"/>
      <c r="J22" s="456"/>
      <c r="K22" s="457"/>
      <c r="L22" s="457"/>
      <c r="M22" s="235"/>
      <c r="N22" s="235"/>
      <c r="O22" s="235"/>
      <c r="P22" s="235"/>
      <c r="T22" s="235"/>
      <c r="X22" s="360">
        <f t="shared" si="9"/>
        <v>0.90199999999999991</v>
      </c>
      <c r="Y22" s="360"/>
      <c r="Z22" s="352">
        <f t="shared" si="4"/>
        <v>7901.5199999999995</v>
      </c>
      <c r="AA22" s="361">
        <f t="shared" si="0"/>
        <v>54876.056400000001</v>
      </c>
      <c r="AB22" s="352">
        <f t="shared" si="5"/>
        <v>36407.441168292266</v>
      </c>
      <c r="AD22" s="361">
        <f t="shared" si="1"/>
        <v>54876.056400000001</v>
      </c>
      <c r="AE22" s="352">
        <f t="shared" si="6"/>
        <v>39280.05189800074</v>
      </c>
      <c r="AG22" s="361">
        <f t="shared" si="2"/>
        <v>32901.929279999997</v>
      </c>
      <c r="AH22" s="352">
        <f t="shared" si="7"/>
        <v>27840.404033394785</v>
      </c>
      <c r="AJ22" s="361">
        <f t="shared" si="3"/>
        <v>32901.929279999997</v>
      </c>
      <c r="AK22" s="352">
        <f t="shared" si="8"/>
        <v>27854.542629662883</v>
      </c>
      <c r="AO22" s="346"/>
      <c r="AP22" s="346"/>
      <c r="AQ22" s="347"/>
      <c r="AR22" s="347"/>
    </row>
    <row r="23" spans="1:44" x14ac:dyDescent="0.2">
      <c r="A23" s="232"/>
      <c r="B23" s="233">
        <v>2029</v>
      </c>
      <c r="C23" s="235">
        <f>ROUND(INDEX('Tables 3 to 6'!AX:AX,MATCH(B23,'Tables 3 to 6'!B:B,0))/10,3)</f>
        <v>7.19</v>
      </c>
      <c r="D23" s="234">
        <f t="shared" si="10"/>
        <v>7.19</v>
      </c>
      <c r="E23" s="235">
        <f>ROUND(INDEX('Tables 3 to 6'!AY:AY,MATCH(B23,'Tables 3 to 6'!B:B,0))/10,3)</f>
        <v>4.3550000000000004</v>
      </c>
      <c r="F23" s="235">
        <f t="shared" si="11"/>
        <v>4.3550000000000004</v>
      </c>
      <c r="H23" s="234"/>
      <c r="I23" s="345"/>
      <c r="J23" s="456"/>
      <c r="K23" s="457"/>
      <c r="L23" s="457"/>
      <c r="M23" s="235"/>
      <c r="N23" s="235"/>
      <c r="O23" s="235"/>
      <c r="P23" s="235"/>
      <c r="T23" s="235"/>
      <c r="X23" s="360">
        <f t="shared" si="9"/>
        <v>0.89499999999999991</v>
      </c>
      <c r="Y23" s="360"/>
      <c r="Z23" s="352">
        <f t="shared" si="4"/>
        <v>7840.1999999999989</v>
      </c>
      <c r="AA23" s="361">
        <f t="shared" si="0"/>
        <v>56371.037999999993</v>
      </c>
      <c r="AB23" s="352">
        <f t="shared" si="5"/>
        <v>36124.900050578239</v>
      </c>
      <c r="AD23" s="361">
        <f t="shared" si="1"/>
        <v>56371.037999999993</v>
      </c>
      <c r="AE23" s="352">
        <f t="shared" si="6"/>
        <v>38975.217792362149</v>
      </c>
      <c r="AG23" s="361">
        <f t="shared" si="2"/>
        <v>34144.070999999996</v>
      </c>
      <c r="AH23" s="352">
        <f t="shared" si="7"/>
        <v>27624.347682803029</v>
      </c>
      <c r="AJ23" s="361">
        <f t="shared" si="3"/>
        <v>34144.070999999996</v>
      </c>
      <c r="AK23" s="352">
        <f t="shared" si="8"/>
        <v>27638.376556040221</v>
      </c>
      <c r="AO23" s="346"/>
      <c r="AP23" s="346"/>
      <c r="AQ23" s="347"/>
      <c r="AR23" s="347"/>
    </row>
    <row r="24" spans="1:44" x14ac:dyDescent="0.2">
      <c r="A24" s="232"/>
      <c r="B24" s="233">
        <v>2030</v>
      </c>
      <c r="C24" s="235">
        <f>ROUND(INDEX('Tables 3 to 6'!AX:AX,MATCH(B24,'Tables 3 to 6'!B:B,0))/10,3)</f>
        <v>7.4359999999999999</v>
      </c>
      <c r="D24" s="234">
        <f t="shared" si="10"/>
        <v>7.4359999999999999</v>
      </c>
      <c r="E24" s="235">
        <f>ROUND(INDEX('Tables 3 to 6'!AY:AY,MATCH(B24,'Tables 3 to 6'!B:B,0))/10,3)</f>
        <v>4.548</v>
      </c>
      <c r="F24" s="235">
        <f t="shared" si="11"/>
        <v>4.548</v>
      </c>
      <c r="H24" s="234"/>
      <c r="I24" s="345"/>
      <c r="J24" s="456"/>
      <c r="K24" s="457"/>
      <c r="L24" s="457"/>
      <c r="M24" s="235"/>
      <c r="N24" s="235"/>
      <c r="O24" s="235"/>
      <c r="P24" s="235"/>
      <c r="T24" s="235"/>
      <c r="X24" s="360">
        <f t="shared" si="9"/>
        <v>0.8879999999999999</v>
      </c>
      <c r="Y24" s="360"/>
      <c r="Z24" s="352">
        <f t="shared" si="4"/>
        <v>7778.8799999999992</v>
      </c>
      <c r="AA24" s="361">
        <f t="shared" si="0"/>
        <v>57843.751679999994</v>
      </c>
      <c r="AB24" s="352">
        <f t="shared" si="5"/>
        <v>35842.358932864227</v>
      </c>
      <c r="AD24" s="361">
        <f t="shared" si="1"/>
        <v>57843.751679999994</v>
      </c>
      <c r="AE24" s="352">
        <f t="shared" si="6"/>
        <v>38670.383686723566</v>
      </c>
      <c r="AG24" s="361">
        <f t="shared" si="2"/>
        <v>35378.346239999999</v>
      </c>
      <c r="AH24" s="352">
        <f t="shared" si="7"/>
        <v>27408.291332211273</v>
      </c>
      <c r="AJ24" s="361">
        <f t="shared" si="3"/>
        <v>35378.346239999999</v>
      </c>
      <c r="AK24" s="352">
        <f t="shared" si="8"/>
        <v>27422.210482417559</v>
      </c>
      <c r="AO24" s="346"/>
      <c r="AP24" s="346"/>
      <c r="AQ24" s="347"/>
      <c r="AR24" s="347"/>
    </row>
    <row r="25" spans="1:44" x14ac:dyDescent="0.2">
      <c r="A25" s="232"/>
      <c r="B25" s="233">
        <v>2031</v>
      </c>
      <c r="C25" s="235">
        <f>ROUND(INDEX('Tables 3 to 6'!AX:AX,MATCH(B25,'Tables 3 to 6'!B:B,0))/10,3)</f>
        <v>7.5940000000000003</v>
      </c>
      <c r="D25" s="234">
        <f t="shared" si="10"/>
        <v>7.5940000000000003</v>
      </c>
      <c r="E25" s="235">
        <f>ROUND(INDEX('Tables 3 to 6'!AY:AY,MATCH(B25,'Tables 3 to 6'!B:B,0))/10,3)</f>
        <v>4.6479999999999997</v>
      </c>
      <c r="F25" s="235">
        <f t="shared" si="11"/>
        <v>4.6479999999999997</v>
      </c>
      <c r="H25" s="234"/>
      <c r="I25" s="345"/>
      <c r="J25" s="456"/>
      <c r="K25" s="457"/>
      <c r="L25" s="457"/>
      <c r="M25" s="235"/>
      <c r="N25" s="235"/>
      <c r="O25" s="235"/>
      <c r="P25" s="235"/>
      <c r="T25" s="235"/>
      <c r="U25" s="333"/>
      <c r="X25" s="360">
        <f t="shared" si="9"/>
        <v>0.88099999999999989</v>
      </c>
      <c r="Y25" s="360"/>
      <c r="Z25" s="352">
        <f t="shared" si="4"/>
        <v>7717.5599999999995</v>
      </c>
      <c r="AA25" s="361">
        <f t="shared" si="0"/>
        <v>58607.150639999993</v>
      </c>
      <c r="AB25" s="352">
        <f t="shared" si="5"/>
        <v>35559.817815150207</v>
      </c>
      <c r="AD25" s="361">
        <f t="shared" si="1"/>
        <v>58607.150639999993</v>
      </c>
      <c r="AE25" s="352">
        <f t="shared" si="6"/>
        <v>38365.549581084982</v>
      </c>
      <c r="AG25" s="361">
        <f t="shared" si="2"/>
        <v>35871.218879999993</v>
      </c>
      <c r="AH25" s="352">
        <f t="shared" si="7"/>
        <v>27192.23498161952</v>
      </c>
      <c r="AJ25" s="361">
        <f t="shared" si="3"/>
        <v>35871.218879999993</v>
      </c>
      <c r="AK25" s="352">
        <f t="shared" si="8"/>
        <v>27206.0444087949</v>
      </c>
      <c r="AO25" s="346"/>
      <c r="AP25" s="346"/>
      <c r="AQ25" s="347"/>
      <c r="AR25" s="347"/>
    </row>
    <row r="26" spans="1:44" x14ac:dyDescent="0.2">
      <c r="A26" s="232"/>
      <c r="B26" s="233">
        <v>2032</v>
      </c>
      <c r="C26" s="235">
        <f>ROUND(INDEX('Tables 3 to 6'!AX:AX,MATCH(B26,'Tables 3 to 6'!B:B,0))/10,3)</f>
        <v>7.7469999999999999</v>
      </c>
      <c r="D26" s="234">
        <f t="shared" si="10"/>
        <v>7.7469999999999999</v>
      </c>
      <c r="E26" s="235">
        <f>ROUND(INDEX('Tables 3 to 6'!AY:AY,MATCH(B26,'Tables 3 to 6'!B:B,0))/10,3)</f>
        <v>4.742</v>
      </c>
      <c r="F26" s="235">
        <f t="shared" si="11"/>
        <v>4.742</v>
      </c>
      <c r="H26" s="234"/>
      <c r="I26" s="345"/>
      <c r="J26" s="456"/>
      <c r="K26" s="457"/>
      <c r="L26" s="457"/>
      <c r="M26" s="235"/>
      <c r="N26" s="235"/>
      <c r="O26" s="235"/>
      <c r="P26" s="235"/>
      <c r="T26" s="235"/>
      <c r="U26" s="333"/>
      <c r="X26" s="360">
        <f t="shared" si="9"/>
        <v>0.87399999999999989</v>
      </c>
      <c r="Y26" s="360"/>
      <c r="Z26" s="352">
        <f t="shared" si="4"/>
        <v>7656.2399999999989</v>
      </c>
      <c r="AA26" s="361">
        <f t="shared" si="0"/>
        <v>59312.891279999996</v>
      </c>
      <c r="AB26" s="352">
        <f t="shared" si="5"/>
        <v>35277.27669743618</v>
      </c>
      <c r="AD26" s="361">
        <f t="shared" si="1"/>
        <v>59312.891279999996</v>
      </c>
      <c r="AE26" s="352">
        <f t="shared" si="6"/>
        <v>38060.715475446392</v>
      </c>
      <c r="AG26" s="361">
        <f t="shared" si="2"/>
        <v>36305.890079999997</v>
      </c>
      <c r="AH26" s="352">
        <f t="shared" si="7"/>
        <v>26976.17863102776</v>
      </c>
      <c r="AJ26" s="361">
        <f t="shared" si="3"/>
        <v>36305.890079999997</v>
      </c>
      <c r="AK26" s="352">
        <f t="shared" si="8"/>
        <v>26989.878335172238</v>
      </c>
      <c r="AO26" s="346"/>
      <c r="AP26" s="346"/>
      <c r="AQ26" s="347"/>
      <c r="AR26" s="347"/>
    </row>
    <row r="27" spans="1:44" x14ac:dyDescent="0.2">
      <c r="A27" s="232"/>
      <c r="B27" s="233">
        <v>2033</v>
      </c>
      <c r="C27" s="235">
        <f>ROUND(INDEX('Tables 3 to 6'!AX:AX,MATCH(B27,'Tables 3 to 6'!B:B,0))/10,3)</f>
        <v>7.9080000000000004</v>
      </c>
      <c r="D27" s="234">
        <f t="shared" si="10"/>
        <v>7.9080000000000004</v>
      </c>
      <c r="E27" s="235">
        <f>ROUND(INDEX('Tables 3 to 6'!AY:AY,MATCH(B27,'Tables 3 to 6'!B:B,0))/10,3)</f>
        <v>4.8419999999999996</v>
      </c>
      <c r="F27" s="235">
        <f t="shared" si="11"/>
        <v>4.8419999999999996</v>
      </c>
      <c r="H27" s="234"/>
      <c r="I27" s="345"/>
      <c r="J27" s="456"/>
      <c r="K27" s="457"/>
      <c r="L27" s="457"/>
      <c r="M27" s="235"/>
      <c r="N27" s="235"/>
      <c r="O27" s="235"/>
      <c r="P27" s="235"/>
      <c r="T27" s="235"/>
      <c r="U27" s="333"/>
      <c r="X27" s="360">
        <f t="shared" si="9"/>
        <v>0.86699999999999988</v>
      </c>
      <c r="Y27" s="360"/>
      <c r="Z27" s="352">
        <f t="shared" si="4"/>
        <v>7594.9199999999992</v>
      </c>
      <c r="AA27" s="361">
        <f t="shared" si="0"/>
        <v>60060.627359999991</v>
      </c>
      <c r="AB27" s="352">
        <f t="shared" si="5"/>
        <v>34994.735579722161</v>
      </c>
      <c r="AD27" s="361">
        <f t="shared" si="1"/>
        <v>60060.627359999991</v>
      </c>
      <c r="AE27" s="352">
        <f t="shared" si="6"/>
        <v>37755.881369807801</v>
      </c>
      <c r="AG27" s="361">
        <f t="shared" si="2"/>
        <v>36774.60263999999</v>
      </c>
      <c r="AH27" s="352">
        <f t="shared" si="7"/>
        <v>26760.122280436008</v>
      </c>
      <c r="AJ27" s="361">
        <f t="shared" si="3"/>
        <v>36774.60263999999</v>
      </c>
      <c r="AK27" s="352">
        <f t="shared" si="8"/>
        <v>26773.712261549575</v>
      </c>
      <c r="AO27" s="346"/>
      <c r="AP27" s="346"/>
      <c r="AQ27" s="347"/>
      <c r="AR27" s="347"/>
    </row>
    <row r="28" spans="1:44" x14ac:dyDescent="0.2">
      <c r="A28" s="232"/>
      <c r="B28" s="233">
        <v>2034</v>
      </c>
      <c r="C28" s="235">
        <f>ROUND(INDEX('Tables 3 to 6'!AX:AX,MATCH(B28,'Tables 3 to 6'!B:B,0))/10,3)</f>
        <v>8.0690000000000008</v>
      </c>
      <c r="D28" s="234">
        <f t="shared" si="10"/>
        <v>8.0690000000000008</v>
      </c>
      <c r="E28" s="235">
        <f>ROUND(INDEX('Tables 3 to 6'!AY:AY,MATCH(B28,'Tables 3 to 6'!B:B,0))/10,3)</f>
        <v>4.9429999999999996</v>
      </c>
      <c r="F28" s="235">
        <f t="shared" si="11"/>
        <v>4.9429999999999996</v>
      </c>
      <c r="H28" s="234"/>
      <c r="I28" s="345"/>
      <c r="J28" s="456"/>
      <c r="K28" s="457"/>
      <c r="L28" s="457"/>
      <c r="M28" s="235"/>
      <c r="N28" s="235"/>
      <c r="O28" s="235"/>
      <c r="P28" s="235"/>
      <c r="T28" s="235"/>
      <c r="U28" s="333"/>
      <c r="X28" s="360">
        <f t="shared" si="9"/>
        <v>0.85999999999999988</v>
      </c>
      <c r="Y28" s="360"/>
      <c r="Z28" s="352">
        <f t="shared" si="4"/>
        <v>7533.5999999999985</v>
      </c>
      <c r="AA28" s="361">
        <f t="shared" si="0"/>
        <v>60788.618399999992</v>
      </c>
      <c r="AB28" s="352">
        <f t="shared" si="5"/>
        <v>34712.194462008141</v>
      </c>
      <c r="AD28" s="361">
        <f t="shared" si="1"/>
        <v>60788.618399999992</v>
      </c>
      <c r="AE28" s="352">
        <f t="shared" si="6"/>
        <v>37451.047264169218</v>
      </c>
      <c r="AG28" s="361">
        <f t="shared" si="2"/>
        <v>37238.58479999999</v>
      </c>
      <c r="AH28" s="352">
        <f t="shared" si="7"/>
        <v>26544.065929844248</v>
      </c>
      <c r="AJ28" s="361">
        <f t="shared" si="3"/>
        <v>37238.58479999999</v>
      </c>
      <c r="AK28" s="352">
        <f t="shared" si="8"/>
        <v>26557.546187926913</v>
      </c>
      <c r="AO28" s="346"/>
      <c r="AP28" s="346"/>
      <c r="AQ28" s="347"/>
      <c r="AR28" s="347"/>
    </row>
    <row r="29" spans="1:44" x14ac:dyDescent="0.2">
      <c r="A29" s="232"/>
      <c r="B29" s="233">
        <v>2035</v>
      </c>
      <c r="C29" s="235">
        <f>ROUND(INDEX('Tables 3 to 6'!AX:AX,MATCH(B29,'Tables 3 to 6'!B:B,0))/10,3)</f>
        <v>8.2330000000000005</v>
      </c>
      <c r="D29" s="234">
        <f t="shared" si="10"/>
        <v>8.2330000000000005</v>
      </c>
      <c r="E29" s="235">
        <f>ROUND(INDEX('Tables 3 to 6'!AY:AY,MATCH(B29,'Tables 3 to 6'!B:B,0))/10,3)</f>
        <v>5.0430000000000001</v>
      </c>
      <c r="F29" s="235">
        <f t="shared" si="11"/>
        <v>5.0430000000000001</v>
      </c>
      <c r="H29" s="234"/>
      <c r="I29" s="345"/>
      <c r="J29" s="456"/>
      <c r="K29" s="457"/>
      <c r="L29" s="457"/>
      <c r="M29" s="235"/>
      <c r="N29" s="235"/>
      <c r="O29" s="235"/>
      <c r="P29" s="235"/>
      <c r="T29" s="235"/>
      <c r="U29" s="333"/>
      <c r="W29" s="352" t="str">
        <f>'Tariff Page'!W29</f>
        <v>Discount Rate - 2013 IRP Update Page 39</v>
      </c>
      <c r="X29" s="360">
        <f t="shared" si="9"/>
        <v>0.85299999999999987</v>
      </c>
      <c r="Y29" s="360"/>
      <c r="Z29" s="352">
        <f t="shared" si="4"/>
        <v>7472.2799999999988</v>
      </c>
      <c r="AA29" s="361">
        <f t="shared" si="0"/>
        <v>61519.281239999989</v>
      </c>
      <c r="AB29" s="352">
        <f t="shared" si="5"/>
        <v>34429.653344294122</v>
      </c>
      <c r="AD29" s="361">
        <f t="shared" si="1"/>
        <v>61519.281239999989</v>
      </c>
      <c r="AE29" s="352">
        <f t="shared" si="6"/>
        <v>37146.213158530627</v>
      </c>
      <c r="AG29" s="361">
        <f t="shared" si="2"/>
        <v>37682.708039999998</v>
      </c>
      <c r="AH29" s="352">
        <f t="shared" si="7"/>
        <v>26328.009579252495</v>
      </c>
      <c r="AJ29" s="361">
        <f t="shared" si="3"/>
        <v>37682.708039999998</v>
      </c>
      <c r="AK29" s="352">
        <f t="shared" si="8"/>
        <v>26341.380114304255</v>
      </c>
      <c r="AO29" s="346"/>
      <c r="AP29" s="346"/>
      <c r="AQ29" s="347"/>
      <c r="AR29" s="347"/>
    </row>
    <row r="30" spans="1:44" x14ac:dyDescent="0.2">
      <c r="A30" s="232"/>
      <c r="B30" s="233">
        <v>2036</v>
      </c>
      <c r="C30" s="235">
        <f>ROUND(INDEX('Tables 3 to 6'!AX:AX,MATCH(B30,'Tables 3 to 6'!B:B,0))/10,3)</f>
        <v>8.4130000000000003</v>
      </c>
      <c r="D30" s="234">
        <f t="shared" si="10"/>
        <v>8.4130000000000003</v>
      </c>
      <c r="E30" s="235">
        <f>ROUND(INDEX('Tables 3 to 6'!AY:AY,MATCH(B30,'Tables 3 to 6'!B:B,0))/10,3)</f>
        <v>5.157</v>
      </c>
      <c r="F30" s="235">
        <f t="shared" si="11"/>
        <v>5.157</v>
      </c>
      <c r="H30" s="234"/>
      <c r="I30" s="345"/>
      <c r="J30" s="456"/>
      <c r="K30" s="457"/>
      <c r="L30" s="457"/>
      <c r="M30" s="235"/>
      <c r="N30" s="235"/>
      <c r="O30" s="235"/>
      <c r="P30" s="235"/>
      <c r="T30" s="235"/>
      <c r="U30" s="333"/>
      <c r="W30" s="363">
        <f>'Tariff Page'!W30</f>
        <v>6.8820000000000006E-2</v>
      </c>
      <c r="X30" s="360">
        <f t="shared" si="9"/>
        <v>0.84599999999999986</v>
      </c>
      <c r="Y30" s="360"/>
      <c r="Z30" s="352">
        <f t="shared" si="4"/>
        <v>7410.9599999999991</v>
      </c>
      <c r="AA30" s="361">
        <f t="shared" si="0"/>
        <v>62348.406479999991</v>
      </c>
      <c r="AB30" s="352">
        <f t="shared" si="5"/>
        <v>34147.112226580102</v>
      </c>
      <c r="AD30" s="361">
        <f t="shared" si="1"/>
        <v>62348.406479999991</v>
      </c>
      <c r="AE30" s="352">
        <f t="shared" si="6"/>
        <v>36841.379052892044</v>
      </c>
      <c r="AG30" s="361">
        <f t="shared" si="2"/>
        <v>38218.320719999996</v>
      </c>
      <c r="AH30" s="352">
        <f t="shared" si="7"/>
        <v>26111.953228660739</v>
      </c>
      <c r="AJ30" s="361">
        <f t="shared" si="3"/>
        <v>38218.320719999996</v>
      </c>
      <c r="AK30" s="352">
        <f t="shared" si="8"/>
        <v>26125.214040681592</v>
      </c>
      <c r="AO30" s="346"/>
      <c r="AP30" s="346"/>
      <c r="AQ30" s="347"/>
      <c r="AR30" s="347"/>
    </row>
    <row r="31" spans="1:44" x14ac:dyDescent="0.2">
      <c r="A31" s="232"/>
      <c r="B31" s="233">
        <v>2037</v>
      </c>
      <c r="C31" s="235">
        <f>ROUND(INDEX('Tables 3 to 6'!AX:AX,MATCH(B31,'Tables 3 to 6'!B:B,0))/10,3)</f>
        <v>8.5960000000000001</v>
      </c>
      <c r="D31" s="234">
        <f t="shared" si="10"/>
        <v>8.5960000000000001</v>
      </c>
      <c r="E31" s="235">
        <f>ROUND(INDEX('Tables 3 to 6'!AY:AY,MATCH(B31,'Tables 3 to 6'!B:B,0))/10,3)</f>
        <v>5.2709999999999999</v>
      </c>
      <c r="F31" s="235">
        <f t="shared" si="11"/>
        <v>5.2709999999999999</v>
      </c>
      <c r="H31" s="234"/>
      <c r="I31" s="345"/>
      <c r="J31" s="456"/>
      <c r="K31" s="457"/>
      <c r="L31" s="457"/>
      <c r="M31" s="235"/>
      <c r="N31" s="235"/>
      <c r="O31" s="235"/>
      <c r="P31" s="235"/>
      <c r="T31" s="235"/>
      <c r="U31" s="333"/>
      <c r="X31" s="360">
        <f t="shared" si="9"/>
        <v>0.83899999999999986</v>
      </c>
      <c r="Y31" s="360"/>
      <c r="Z31" s="352">
        <f t="shared" si="4"/>
        <v>7349.6399999999985</v>
      </c>
      <c r="AA31" s="361">
        <f t="shared" si="0"/>
        <v>63177.505439999994</v>
      </c>
      <c r="AB31" s="352">
        <f t="shared" si="5"/>
        <v>33864.571108866083</v>
      </c>
      <c r="AD31" s="361">
        <f t="shared" si="1"/>
        <v>63177.505439999994</v>
      </c>
      <c r="AE31" s="352">
        <f t="shared" si="6"/>
        <v>36536.544947253453</v>
      </c>
      <c r="AG31" s="361">
        <f t="shared" si="2"/>
        <v>38739.952439999994</v>
      </c>
      <c r="AH31" s="352">
        <f t="shared" si="7"/>
        <v>25895.896878068983</v>
      </c>
      <c r="AJ31" s="361">
        <f t="shared" si="3"/>
        <v>38739.952439999994</v>
      </c>
      <c r="AK31" s="352">
        <f t="shared" si="8"/>
        <v>25909.04796705893</v>
      </c>
      <c r="AO31" s="346"/>
      <c r="AP31" s="346"/>
      <c r="AQ31" s="347"/>
      <c r="AR31" s="347"/>
    </row>
    <row r="32" spans="1:44" x14ac:dyDescent="0.2">
      <c r="A32" s="232"/>
      <c r="B32" s="233">
        <v>2038</v>
      </c>
      <c r="C32" s="235">
        <f>ROUND(INDEX('Tables 3 to 6'!AX:AX,MATCH(B32,'Tables 3 to 6'!B:B,0))/10,3)</f>
        <v>8.7789999999999999</v>
      </c>
      <c r="D32" s="234">
        <f t="shared" si="10"/>
        <v>8.7789999999999999</v>
      </c>
      <c r="E32" s="235">
        <f>ROUND(INDEX('Tables 3 to 6'!AY:AY,MATCH(B32,'Tables 3 to 6'!B:B,0))/10,3)</f>
        <v>5.3849999999999998</v>
      </c>
      <c r="F32" s="235">
        <f t="shared" si="11"/>
        <v>5.3849999999999998</v>
      </c>
      <c r="H32" s="234"/>
      <c r="I32" s="345"/>
      <c r="J32" s="456"/>
      <c r="K32" s="457"/>
      <c r="L32" s="457"/>
      <c r="M32" s="235"/>
      <c r="N32" s="235"/>
      <c r="O32" s="235"/>
      <c r="P32" s="235"/>
      <c r="T32" s="235"/>
      <c r="U32" s="333"/>
      <c r="X32" s="360">
        <f t="shared" si="9"/>
        <v>0.83199999999999985</v>
      </c>
      <c r="Y32" s="360"/>
      <c r="Z32" s="352">
        <f t="shared" si="4"/>
        <v>7288.3199999999988</v>
      </c>
      <c r="AA32" s="361">
        <f t="shared" si="0"/>
        <v>63984.161279999986</v>
      </c>
      <c r="AB32" s="352">
        <f t="shared" si="5"/>
        <v>33582.029991152063</v>
      </c>
      <c r="AD32" s="361">
        <f t="shared" si="1"/>
        <v>63984.161279999986</v>
      </c>
      <c r="AE32" s="352">
        <f t="shared" si="6"/>
        <v>36231.710841614869</v>
      </c>
      <c r="AG32" s="361">
        <f t="shared" si="2"/>
        <v>39247.60319999999</v>
      </c>
      <c r="AH32" s="352">
        <f t="shared" si="7"/>
        <v>25679.840527477227</v>
      </c>
      <c r="AJ32" s="361">
        <f t="shared" si="3"/>
        <v>39247.60319999999</v>
      </c>
      <c r="AK32" s="352">
        <f t="shared" si="8"/>
        <v>25692.881893436272</v>
      </c>
      <c r="AO32" s="346"/>
      <c r="AP32" s="346"/>
      <c r="AQ32" s="347"/>
      <c r="AR32" s="347"/>
    </row>
    <row r="33" spans="1:49" ht="15.75" customHeight="1" x14ac:dyDescent="0.2">
      <c r="A33" s="232"/>
      <c r="B33" s="233"/>
      <c r="C33" s="232"/>
      <c r="D33" s="232"/>
      <c r="E33" s="232"/>
      <c r="F33" s="232"/>
      <c r="H33" s="232"/>
      <c r="I33" s="345"/>
      <c r="J33" s="456"/>
      <c r="K33" s="457"/>
      <c r="L33" s="457"/>
      <c r="M33" s="333"/>
      <c r="N33" s="333"/>
      <c r="O33" s="333"/>
      <c r="P33" s="333"/>
      <c r="T33" s="333"/>
      <c r="U33" s="333"/>
      <c r="AA33" s="361"/>
      <c r="AD33" s="361"/>
      <c r="AG33" s="361"/>
      <c r="AJ33" s="361"/>
      <c r="AQ33" s="347"/>
      <c r="AR33" s="347"/>
    </row>
    <row r="34" spans="1:49" x14ac:dyDescent="0.2">
      <c r="A34" s="232"/>
      <c r="C34" s="230" t="s">
        <v>318</v>
      </c>
      <c r="D34" s="230"/>
      <c r="E34" s="230" t="s">
        <v>135</v>
      </c>
      <c r="F34" s="230"/>
      <c r="H34" s="232"/>
      <c r="I34" s="345"/>
      <c r="J34" s="456"/>
      <c r="L34" s="457"/>
      <c r="M34" s="333"/>
      <c r="N34" s="333"/>
      <c r="O34" s="333"/>
      <c r="P34" s="333"/>
      <c r="T34" s="230"/>
      <c r="U34" s="333"/>
      <c r="X34" s="364"/>
      <c r="Y34" s="365" t="s">
        <v>284</v>
      </c>
      <c r="Z34" s="366">
        <f>NPV($W$30,Z9:Z28)</f>
        <v>88186.401549293907</v>
      </c>
      <c r="AA34" s="361">
        <f t="shared" ref="AA34:AK34" si="12">NPV($W$30,AA9:AA28)</f>
        <v>406332.1014500141</v>
      </c>
      <c r="AB34" s="361">
        <f t="shared" si="12"/>
        <v>406332.1014500141</v>
      </c>
      <c r="AC34" s="352">
        <f t="shared" si="12"/>
        <v>0</v>
      </c>
      <c r="AD34" s="361">
        <f t="shared" si="12"/>
        <v>438392.41431448603</v>
      </c>
      <c r="AE34" s="361">
        <f t="shared" si="12"/>
        <v>438392.41431448597</v>
      </c>
      <c r="AF34" s="352">
        <f t="shared" si="12"/>
        <v>0</v>
      </c>
      <c r="AG34" s="361">
        <f t="shared" si="12"/>
        <v>310718.07062230236</v>
      </c>
      <c r="AH34" s="361">
        <f t="shared" si="12"/>
        <v>310718.07062230224</v>
      </c>
      <c r="AI34" s="352">
        <f t="shared" si="12"/>
        <v>0</v>
      </c>
      <c r="AJ34" s="361">
        <f t="shared" si="12"/>
        <v>310875.86708777247</v>
      </c>
      <c r="AK34" s="361">
        <f t="shared" si="12"/>
        <v>310875.86708777258</v>
      </c>
    </row>
    <row r="35" spans="1:49" ht="14.25" x14ac:dyDescent="0.35">
      <c r="A35" s="232"/>
      <c r="B35" s="238"/>
      <c r="C35" s="231" t="s">
        <v>62</v>
      </c>
      <c r="D35" s="231" t="s">
        <v>63</v>
      </c>
      <c r="E35" s="231" t="s">
        <v>62</v>
      </c>
      <c r="F35" s="231" t="s">
        <v>63</v>
      </c>
      <c r="H35" s="455"/>
      <c r="I35" s="345"/>
      <c r="K35" s="457"/>
      <c r="L35" s="457"/>
      <c r="M35" s="333"/>
      <c r="N35" s="333"/>
      <c r="O35" s="333"/>
      <c r="P35" s="333"/>
      <c r="T35" s="231"/>
      <c r="U35" s="333"/>
      <c r="X35" s="367"/>
      <c r="Y35" s="367"/>
      <c r="Z35" s="365"/>
    </row>
    <row r="36" spans="1:49" ht="24" x14ac:dyDescent="0.2">
      <c r="B36" s="239" t="s">
        <v>319</v>
      </c>
      <c r="C36" s="240">
        <f>-PMT($W$30,COUNT(C9:C28),NPV($W$30,C9:C28))</f>
        <v>4.6723742624875229</v>
      </c>
      <c r="D36" s="240">
        <f>-PMT($W$30,COUNT(D9:D28),NPV($W$30,D9:D28))</f>
        <v>5.0305398927542564</v>
      </c>
      <c r="E36" s="240">
        <f>-PMT($W$30,COUNT(E9:E28),NPV($W$30,E9:E28))</f>
        <v>3.5568215332508748</v>
      </c>
      <c r="F36" s="240">
        <f>-PMT($W$30,COUNT(F9:F28),NPV($W$30,F9:F28))</f>
        <v>3.5613938835040129</v>
      </c>
      <c r="H36" s="240"/>
      <c r="T36" s="240"/>
      <c r="U36" s="333"/>
      <c r="X36" s="368"/>
      <c r="Y36" s="368" t="s">
        <v>285</v>
      </c>
      <c r="Z36" s="369">
        <f>-PMT($W$30,COUNT(Z9:Z28),NPV($W$30,Z9:Z28))</f>
        <v>8247.9838032258922</v>
      </c>
      <c r="AA36" s="370">
        <f>-PMT($W$30,COUNT(AA9:AA28),NPV($W$30,AA9:AA28))</f>
        <v>38003.825222612126</v>
      </c>
      <c r="AB36" s="371">
        <f>AA36/Z36</f>
        <v>4.607650321494126</v>
      </c>
      <c r="AC36" s="370"/>
      <c r="AD36" s="370">
        <f>-PMT($W$30,COUNT(AD9:AD28),NPV($W$30,AD9:AD28))</f>
        <v>41002.393443866822</v>
      </c>
      <c r="AE36" s="371">
        <f>AD36/Z36</f>
        <v>4.9712019836690589</v>
      </c>
      <c r="AF36" s="370"/>
      <c r="AG36" s="370">
        <f>-PMT($W$30,COUNT(AG9:AG28),NPV($W$30,AG9:AG28))</f>
        <v>29061.142861462733</v>
      </c>
      <c r="AH36" s="371">
        <f>AG36/Z36</f>
        <v>3.5234238517898819</v>
      </c>
      <c r="AI36" s="370"/>
      <c r="AJ36" s="370">
        <f>-PMT($W$30,COUNT(AJ9:AJ28),NPV($W$30,AJ9:AJ28))</f>
        <v>29075.901403239455</v>
      </c>
      <c r="AK36" s="371">
        <f>AJ36/Z36</f>
        <v>3.5252132032397419</v>
      </c>
      <c r="AO36" s="240"/>
    </row>
    <row r="37" spans="1:49" x14ac:dyDescent="0.2">
      <c r="A37" s="238"/>
      <c r="U37" s="333"/>
      <c r="Z37" s="372"/>
      <c r="AA37" s="373"/>
      <c r="AB37" s="374"/>
      <c r="AD37" s="373"/>
      <c r="AE37" s="374"/>
      <c r="AG37" s="373"/>
      <c r="AH37" s="374"/>
      <c r="AJ37" s="373"/>
      <c r="AK37" s="374"/>
    </row>
    <row r="38" spans="1:49" x14ac:dyDescent="0.2">
      <c r="U38" s="333"/>
      <c r="AA38" s="375"/>
      <c r="AD38" s="375"/>
      <c r="AG38" s="375"/>
      <c r="AJ38" s="375"/>
    </row>
    <row r="39" spans="1:49" x14ac:dyDescent="0.2">
      <c r="C39" s="230" t="s">
        <v>134</v>
      </c>
      <c r="D39" s="230"/>
      <c r="E39" s="230" t="s">
        <v>135</v>
      </c>
      <c r="F39" s="230"/>
    </row>
    <row r="40" spans="1:49" ht="24" x14ac:dyDescent="0.35">
      <c r="A40" s="242"/>
      <c r="B40" s="239" t="s">
        <v>319</v>
      </c>
      <c r="C40" s="231" t="s">
        <v>62</v>
      </c>
      <c r="D40" s="231" t="s">
        <v>63</v>
      </c>
      <c r="E40" s="231" t="s">
        <v>62</v>
      </c>
      <c r="F40" s="231" t="s">
        <v>63</v>
      </c>
      <c r="J40" s="228"/>
      <c r="L40" s="242"/>
      <c r="M40" s="242"/>
      <c r="N40" s="242"/>
      <c r="O40" s="242"/>
      <c r="P40" s="242"/>
      <c r="AQ40" s="337"/>
      <c r="AR40" s="347"/>
      <c r="AS40" s="347"/>
      <c r="AT40" s="348"/>
      <c r="AU40" s="348"/>
      <c r="AV40" s="347"/>
    </row>
    <row r="41" spans="1:49" x14ac:dyDescent="0.2">
      <c r="A41" s="242"/>
      <c r="B41" s="240"/>
      <c r="C41" s="240">
        <f>AB36</f>
        <v>4.607650321494126</v>
      </c>
      <c r="D41" s="240">
        <f>AE36</f>
        <v>4.9712019836690589</v>
      </c>
      <c r="E41" s="240">
        <f>AH36</f>
        <v>3.5234238517898819</v>
      </c>
      <c r="F41" s="240">
        <f>AK36</f>
        <v>3.5252132032397419</v>
      </c>
      <c r="J41" s="228"/>
      <c r="L41" s="242"/>
      <c r="M41" s="242"/>
      <c r="N41" s="242"/>
      <c r="O41" s="242"/>
      <c r="P41" s="242"/>
      <c r="AQ41" s="337"/>
    </row>
    <row r="42" spans="1:49" x14ac:dyDescent="0.2">
      <c r="A42" s="232"/>
      <c r="B42" s="238"/>
      <c r="C42" s="232"/>
      <c r="D42" s="232"/>
      <c r="E42" s="232"/>
      <c r="F42" s="232"/>
      <c r="J42" s="337"/>
      <c r="K42" s="333"/>
      <c r="L42" s="333"/>
      <c r="M42" s="333"/>
      <c r="N42" s="333"/>
      <c r="O42" s="333"/>
      <c r="P42" s="333"/>
      <c r="AQ42" s="343"/>
      <c r="AR42" s="339"/>
      <c r="AS42" s="339"/>
      <c r="AT42" s="338"/>
      <c r="AU42" s="340"/>
      <c r="AV42" s="339"/>
      <c r="AW42" s="339"/>
    </row>
    <row r="43" spans="1:49" x14ac:dyDescent="0.2">
      <c r="A43" s="241"/>
      <c r="B43" s="259" t="s">
        <v>266</v>
      </c>
      <c r="K43" s="457"/>
      <c r="M43" s="461"/>
      <c r="N43" s="461"/>
      <c r="O43" s="461"/>
      <c r="P43" s="461"/>
      <c r="AQ43" s="349"/>
      <c r="AR43" s="349"/>
      <c r="AS43" s="341"/>
      <c r="AT43" s="349"/>
      <c r="AU43" s="350"/>
    </row>
    <row r="44" spans="1:49" x14ac:dyDescent="0.2">
      <c r="A44" s="242"/>
      <c r="B44" s="259" t="s">
        <v>267</v>
      </c>
      <c r="M44" s="461"/>
      <c r="N44" s="461"/>
      <c r="O44" s="461"/>
      <c r="P44" s="461"/>
    </row>
    <row r="45" spans="1:49" x14ac:dyDescent="0.2">
      <c r="B45" s="259" t="s">
        <v>286</v>
      </c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4"/>
  <sheetViews>
    <sheetView showGridLines="0" topLeftCell="A25" zoomScale="110" zoomScaleNormal="110" workbookViewId="0">
      <selection activeCell="B1" sqref="B1"/>
    </sheetView>
  </sheetViews>
  <sheetFormatPr defaultRowHeight="12" x14ac:dyDescent="0.2"/>
  <cols>
    <col min="1" max="1" width="2.83203125" style="227" customWidth="1"/>
    <col min="2" max="2" width="19.6640625" style="227" customWidth="1"/>
    <col min="3" max="6" width="18.83203125" style="227" customWidth="1"/>
    <col min="7" max="7" width="3.6640625" style="227" customWidth="1"/>
    <col min="8" max="8" width="2" style="227" customWidth="1"/>
    <col min="9" max="20" width="2.1640625" style="336" customWidth="1"/>
    <col min="21" max="21" width="10.1640625" style="227" customWidth="1"/>
    <col min="22" max="22" width="7.1640625" style="227" customWidth="1"/>
    <col min="23" max="16384" width="9.33203125" style="227"/>
  </cols>
  <sheetData>
    <row r="1" spans="1:21" x14ac:dyDescent="0.2">
      <c r="A1" s="2"/>
      <c r="B1" s="2"/>
      <c r="C1" s="2"/>
      <c r="D1" s="2"/>
      <c r="E1" s="2"/>
      <c r="F1" s="2"/>
      <c r="G1" s="229"/>
      <c r="H1" s="462"/>
      <c r="I1" s="464"/>
      <c r="J1" s="342"/>
      <c r="K1" s="342"/>
      <c r="L1" s="342"/>
      <c r="M1" s="342"/>
      <c r="N1" s="342"/>
      <c r="O1" s="342"/>
      <c r="P1" s="342"/>
      <c r="T1" s="458"/>
      <c r="U1" s="2"/>
    </row>
    <row r="2" spans="1:21" x14ac:dyDescent="0.2">
      <c r="A2" s="2"/>
      <c r="B2" s="2" t="s">
        <v>108</v>
      </c>
      <c r="C2" s="2"/>
      <c r="D2" s="2"/>
      <c r="E2" s="2"/>
      <c r="F2" s="2"/>
      <c r="G2" s="229"/>
      <c r="H2" s="451"/>
      <c r="J2" s="342"/>
      <c r="K2" s="342"/>
      <c r="L2" s="342"/>
      <c r="M2" s="342"/>
      <c r="N2" s="342"/>
      <c r="O2" s="342"/>
      <c r="P2" s="342"/>
      <c r="T2" s="342"/>
      <c r="U2" s="2"/>
    </row>
    <row r="3" spans="1:21" x14ac:dyDescent="0.2">
      <c r="G3" s="229"/>
      <c r="H3" s="258"/>
      <c r="K3" s="465"/>
      <c r="L3" s="465"/>
    </row>
    <row r="4" spans="1:21" x14ac:dyDescent="0.2">
      <c r="A4" s="228"/>
      <c r="B4" s="258" t="s">
        <v>176</v>
      </c>
      <c r="C4" s="228"/>
      <c r="D4" s="228"/>
      <c r="E4" s="228"/>
      <c r="F4" s="228"/>
      <c r="G4" s="229"/>
      <c r="H4" s="229"/>
      <c r="K4" s="452"/>
      <c r="L4" s="452"/>
      <c r="M4" s="452"/>
      <c r="N4" s="452"/>
      <c r="O4" s="452"/>
      <c r="P4" s="452"/>
      <c r="R4" s="452"/>
      <c r="S4" s="452"/>
      <c r="T4" s="228"/>
    </row>
    <row r="5" spans="1:21" x14ac:dyDescent="0.2">
      <c r="A5" s="228"/>
      <c r="B5" s="228"/>
      <c r="H5" s="453"/>
      <c r="J5" s="228"/>
      <c r="K5" s="228"/>
      <c r="L5" s="228"/>
      <c r="M5" s="228"/>
      <c r="N5" s="228"/>
      <c r="O5" s="228"/>
      <c r="P5" s="228"/>
      <c r="R5" s="228"/>
      <c r="S5" s="228"/>
      <c r="T5" s="332"/>
    </row>
    <row r="6" spans="1:21" x14ac:dyDescent="0.2">
      <c r="A6" s="228"/>
      <c r="B6" s="229" t="s">
        <v>136</v>
      </c>
      <c r="C6" s="230" t="s">
        <v>320</v>
      </c>
      <c r="D6" s="230"/>
      <c r="E6" s="230" t="s">
        <v>178</v>
      </c>
      <c r="F6" s="230"/>
      <c r="H6" s="228"/>
      <c r="J6" s="228"/>
      <c r="K6" s="228"/>
      <c r="L6" s="228"/>
      <c r="M6" s="228"/>
      <c r="N6" s="228"/>
      <c r="O6" s="228"/>
      <c r="P6" s="228"/>
      <c r="R6" s="228"/>
      <c r="S6" s="228"/>
      <c r="T6" s="228"/>
    </row>
    <row r="7" spans="1:21" ht="14.25" x14ac:dyDescent="0.35">
      <c r="A7" s="228"/>
      <c r="B7" s="229" t="s">
        <v>133</v>
      </c>
      <c r="C7" s="231" t="s">
        <v>62</v>
      </c>
      <c r="D7" s="231" t="s">
        <v>63</v>
      </c>
      <c r="E7" s="231" t="s">
        <v>62</v>
      </c>
      <c r="F7" s="231" t="s">
        <v>63</v>
      </c>
      <c r="H7" s="228"/>
      <c r="J7" s="231"/>
      <c r="K7" s="231"/>
      <c r="L7" s="231"/>
      <c r="M7" s="231"/>
      <c r="N7" s="231"/>
      <c r="O7" s="231"/>
      <c r="P7" s="231"/>
      <c r="R7" s="231"/>
      <c r="S7" s="231"/>
      <c r="T7" s="228"/>
    </row>
    <row r="8" spans="1:21" hidden="1" x14ac:dyDescent="0.2">
      <c r="A8" s="232"/>
      <c r="B8" s="233">
        <v>2014</v>
      </c>
      <c r="C8" s="234">
        <f>ROUND('Table 2B Wind'!C66/10,3)</f>
        <v>2.7389999999999999</v>
      </c>
      <c r="D8" s="234">
        <f>ROUND('Table 2B Wind'!G66/10,3)</f>
        <v>3.488</v>
      </c>
      <c r="E8" s="234">
        <f>ROUND('Table 2B Wind'!D66/10,3)</f>
        <v>2.1720000000000002</v>
      </c>
      <c r="F8" s="234">
        <f>ROUND('Table 2B Wind'!H66/10,3)</f>
        <v>2.2549999999999999</v>
      </c>
      <c r="H8" s="234"/>
      <c r="I8" s="345"/>
      <c r="J8" s="456"/>
      <c r="K8" s="457"/>
      <c r="L8" s="457"/>
      <c r="M8" s="235"/>
      <c r="N8" s="235"/>
      <c r="O8" s="235"/>
      <c r="P8" s="235"/>
      <c r="R8" s="457"/>
      <c r="S8" s="454"/>
      <c r="T8" s="235"/>
      <c r="U8" s="331"/>
    </row>
    <row r="9" spans="1:21" x14ac:dyDescent="0.2">
      <c r="A9" s="232"/>
      <c r="B9" s="233">
        <v>2015</v>
      </c>
      <c r="C9" s="234">
        <f>ROUND('Table 2B Wind'!C67/10,3)</f>
        <v>3.2869999999999999</v>
      </c>
      <c r="D9" s="234">
        <f>ROUND('Table 2B Wind'!G67/10,3)</f>
        <v>3.4830000000000001</v>
      </c>
      <c r="E9" s="234">
        <f>ROUND('Table 2B Wind'!D67/10,3)</f>
        <v>2.5270000000000001</v>
      </c>
      <c r="F9" s="234">
        <f>ROUND('Table 2B Wind'!H67/10,3)</f>
        <v>2.165</v>
      </c>
      <c r="H9" s="234"/>
      <c r="I9" s="345"/>
      <c r="J9" s="456"/>
      <c r="K9" s="457"/>
      <c r="L9" s="457"/>
      <c r="M9" s="235"/>
      <c r="N9" s="235"/>
      <c r="O9" s="235"/>
      <c r="P9" s="235"/>
      <c r="R9" s="457"/>
      <c r="S9" s="454"/>
      <c r="T9" s="235"/>
    </row>
    <row r="10" spans="1:21" x14ac:dyDescent="0.2">
      <c r="A10" s="232"/>
      <c r="B10" s="233">
        <v>2016</v>
      </c>
      <c r="C10" s="234">
        <f>ROUND('Table 2B Wind'!C68/10,3)</f>
        <v>2.9470000000000001</v>
      </c>
      <c r="D10" s="234">
        <f>ROUND('Table 2B Wind'!G68/10,3)</f>
        <v>3.3319999999999999</v>
      </c>
      <c r="E10" s="234">
        <f>ROUND('Table 2B Wind'!D68/10,3)</f>
        <v>2.2679999999999998</v>
      </c>
      <c r="F10" s="234">
        <f>ROUND('Table 2B Wind'!H68/10,3)</f>
        <v>2.085</v>
      </c>
      <c r="H10" s="234"/>
      <c r="I10" s="345"/>
      <c r="J10" s="456"/>
      <c r="K10" s="457"/>
      <c r="L10" s="457"/>
      <c r="M10" s="235"/>
      <c r="N10" s="235"/>
      <c r="O10" s="235"/>
      <c r="P10" s="235"/>
      <c r="T10" s="235"/>
    </row>
    <row r="11" spans="1:21" x14ac:dyDescent="0.2">
      <c r="A11" s="232"/>
      <c r="B11" s="233">
        <v>2017</v>
      </c>
      <c r="C11" s="234">
        <f>ROUND('Table 2B Wind'!C69/10,3)</f>
        <v>3.0089999999999999</v>
      </c>
      <c r="D11" s="234">
        <f>ROUND('Table 2B Wind'!G69/10,3)</f>
        <v>3.5590000000000002</v>
      </c>
      <c r="E11" s="234">
        <f>ROUND('Table 2B Wind'!D69/10,3)</f>
        <v>2.323</v>
      </c>
      <c r="F11" s="234">
        <f>ROUND('Table 2B Wind'!H69/10,3)</f>
        <v>2.2719999999999998</v>
      </c>
      <c r="H11" s="234"/>
      <c r="I11" s="345"/>
      <c r="J11" s="456"/>
      <c r="K11" s="457"/>
      <c r="L11" s="457"/>
      <c r="M11" s="235"/>
      <c r="N11" s="235"/>
      <c r="O11" s="235"/>
      <c r="P11" s="235"/>
      <c r="T11" s="235"/>
    </row>
    <row r="12" spans="1:21" x14ac:dyDescent="0.2">
      <c r="A12" s="232"/>
      <c r="B12" s="233">
        <v>2018</v>
      </c>
      <c r="C12" s="234">
        <f>ROUND('Table 2B Wind'!C70/10,3)</f>
        <v>3.2650000000000001</v>
      </c>
      <c r="D12" s="234">
        <f>ROUND('Table 2B Wind'!G70/10,3)</f>
        <v>3.7730000000000001</v>
      </c>
      <c r="E12" s="234">
        <f>ROUND('Table 2B Wind'!D70/10,3)</f>
        <v>2.5190000000000001</v>
      </c>
      <c r="F12" s="234">
        <f>ROUND('Table 2B Wind'!H70/10,3)</f>
        <v>2.431</v>
      </c>
      <c r="H12" s="234"/>
      <c r="I12" s="345"/>
      <c r="J12" s="456"/>
      <c r="K12" s="457"/>
      <c r="L12" s="457"/>
      <c r="M12" s="235"/>
      <c r="N12" s="235"/>
      <c r="O12" s="235"/>
      <c r="P12" s="235"/>
      <c r="T12" s="235"/>
    </row>
    <row r="13" spans="1:21" x14ac:dyDescent="0.2">
      <c r="A13" s="232"/>
      <c r="B13" s="233">
        <v>2019</v>
      </c>
      <c r="C13" s="234">
        <f>ROUND('Table 2B Wind'!C71/10,3)</f>
        <v>3.3780000000000001</v>
      </c>
      <c r="D13" s="234">
        <f>ROUND('Table 2B Wind'!G71/10,3)</f>
        <v>3.9489999999999998</v>
      </c>
      <c r="E13" s="234">
        <f>ROUND('Table 2B Wind'!D71/10,3)</f>
        <v>2.6379999999999999</v>
      </c>
      <c r="F13" s="234">
        <f>ROUND('Table 2B Wind'!H71/10,3)</f>
        <v>2.5979999999999999</v>
      </c>
      <c r="H13" s="234"/>
      <c r="I13" s="345"/>
      <c r="J13" s="456"/>
      <c r="K13" s="457"/>
      <c r="L13" s="457"/>
      <c r="M13" s="235"/>
      <c r="N13" s="235"/>
      <c r="O13" s="235"/>
      <c r="P13" s="235"/>
      <c r="T13" s="235"/>
    </row>
    <row r="14" spans="1:21" x14ac:dyDescent="0.2">
      <c r="A14" s="232"/>
      <c r="B14" s="233">
        <v>2020</v>
      </c>
      <c r="C14" s="234">
        <f>ROUND('Table 2B Wind'!C72/10,3)</f>
        <v>3.556</v>
      </c>
      <c r="D14" s="234">
        <f>ROUND('Table 2B Wind'!G72/10,3)</f>
        <v>4.2</v>
      </c>
      <c r="E14" s="234">
        <f>ROUND('Table 2B Wind'!D72/10,3)</f>
        <v>2.9159999999999999</v>
      </c>
      <c r="F14" s="234">
        <f>ROUND('Table 2B Wind'!H72/10,3)</f>
        <v>3.2549999999999999</v>
      </c>
      <c r="H14" s="234"/>
      <c r="I14" s="345"/>
      <c r="J14" s="456"/>
      <c r="K14" s="457"/>
      <c r="L14" s="457"/>
      <c r="M14" s="235"/>
      <c r="N14" s="235"/>
      <c r="O14" s="235"/>
      <c r="P14" s="235"/>
      <c r="T14" s="235"/>
    </row>
    <row r="15" spans="1:21" x14ac:dyDescent="0.2">
      <c r="A15" s="232"/>
      <c r="B15" s="233">
        <v>2021</v>
      </c>
      <c r="C15" s="234">
        <f>ROUND('Table 2B Wind'!C73/10,3)</f>
        <v>3.7650000000000001</v>
      </c>
      <c r="D15" s="234">
        <f>ROUND('Table 2B Wind'!G73/10,3)</f>
        <v>4.0919999999999996</v>
      </c>
      <c r="E15" s="234">
        <f>ROUND('Table 2B Wind'!D73/10,3)</f>
        <v>3.415</v>
      </c>
      <c r="F15" s="234">
        <f>ROUND('Table 2B Wind'!H73/10,3)</f>
        <v>3.6280000000000001</v>
      </c>
      <c r="H15" s="234"/>
      <c r="I15" s="345"/>
      <c r="J15" s="456"/>
      <c r="K15" s="457"/>
      <c r="L15" s="457"/>
      <c r="M15" s="235"/>
      <c r="N15" s="235"/>
      <c r="O15" s="235"/>
      <c r="P15" s="235"/>
      <c r="T15" s="235"/>
    </row>
    <row r="16" spans="1:21" x14ac:dyDescent="0.2">
      <c r="A16" s="232"/>
      <c r="B16" s="233">
        <v>2022</v>
      </c>
      <c r="C16" s="234">
        <f>ROUND('Table 2B Wind'!C74/10,3)</f>
        <v>3.6579999999999999</v>
      </c>
      <c r="D16" s="234">
        <f>ROUND('Table 2B Wind'!G74/10,3)</f>
        <v>4.1529999999999996</v>
      </c>
      <c r="E16" s="234">
        <f>ROUND('Table 2B Wind'!D74/10,3)</f>
        <v>3.47</v>
      </c>
      <c r="F16" s="234">
        <f>ROUND('Table 2B Wind'!H74/10,3)</f>
        <v>3.6139999999999999</v>
      </c>
      <c r="H16" s="234"/>
      <c r="I16" s="345"/>
      <c r="J16" s="456"/>
      <c r="K16" s="457"/>
      <c r="L16" s="457"/>
      <c r="M16" s="235"/>
      <c r="N16" s="235"/>
      <c r="O16" s="235"/>
      <c r="P16" s="235"/>
      <c r="T16" s="235"/>
    </row>
    <row r="17" spans="1:23" x14ac:dyDescent="0.2">
      <c r="A17" s="232"/>
      <c r="B17" s="233">
        <v>2023</v>
      </c>
      <c r="C17" s="234">
        <f>ROUND('Table 2B Wind'!C75/10,3)</f>
        <v>3.74</v>
      </c>
      <c r="D17" s="234">
        <f>ROUND('Table 2B Wind'!G75/10,3)</f>
        <v>4.1509999999999998</v>
      </c>
      <c r="E17" s="234">
        <f>ROUND('Table 2B Wind'!D75/10,3)</f>
        <v>3.5619999999999998</v>
      </c>
      <c r="F17" s="234">
        <f>ROUND('Table 2B Wind'!H75/10,3)</f>
        <v>3.6080000000000001</v>
      </c>
      <c r="H17" s="234"/>
      <c r="I17" s="345"/>
      <c r="J17" s="456"/>
      <c r="K17" s="457"/>
      <c r="L17" s="457"/>
      <c r="M17" s="235"/>
      <c r="N17" s="235"/>
      <c r="O17" s="235"/>
      <c r="P17" s="235"/>
      <c r="T17" s="235"/>
    </row>
    <row r="18" spans="1:23" x14ac:dyDescent="0.2">
      <c r="A18" s="232"/>
      <c r="B18" s="233">
        <v>2024</v>
      </c>
      <c r="C18" s="234">
        <f>ROUND('Table 2B Wind'!C76/10,3)</f>
        <v>4.0090000000000003</v>
      </c>
      <c r="D18" s="234">
        <f>ROUND('Table 2B Wind'!G76/10,3)</f>
        <v>4.5289999999999999</v>
      </c>
      <c r="E18" s="234">
        <f>ROUND('Table 2B Wind'!D76/10,3)</f>
        <v>3.8260000000000001</v>
      </c>
      <c r="F18" s="234">
        <f>ROUND('Table 2B Wind'!H76/10,3)</f>
        <v>3.919</v>
      </c>
      <c r="H18" s="234"/>
      <c r="I18" s="345"/>
      <c r="J18" s="456"/>
      <c r="K18" s="457"/>
      <c r="L18" s="457"/>
      <c r="M18" s="235"/>
      <c r="N18" s="235"/>
      <c r="O18" s="235"/>
      <c r="P18" s="235"/>
      <c r="T18" s="235"/>
    </row>
    <row r="19" spans="1:23" x14ac:dyDescent="0.2">
      <c r="A19" s="232"/>
      <c r="B19" s="233">
        <v>2025</v>
      </c>
      <c r="C19" s="234">
        <f>ROUND('Table 2B Wind'!C77/10,3)</f>
        <v>4.2249999999999996</v>
      </c>
      <c r="D19" s="234">
        <f>ROUND('Table 2B Wind'!G77/10,3)</f>
        <v>4.87</v>
      </c>
      <c r="E19" s="234">
        <f>ROUND('Table 2B Wind'!D77/10,3)</f>
        <v>4.0279999999999996</v>
      </c>
      <c r="F19" s="234">
        <f>ROUND('Table 2B Wind'!H77/10,3)</f>
        <v>4.1890000000000001</v>
      </c>
      <c r="H19" s="234"/>
      <c r="I19" s="345"/>
      <c r="J19" s="456"/>
      <c r="K19" s="457"/>
      <c r="L19" s="457"/>
      <c r="M19" s="235"/>
      <c r="N19" s="235"/>
      <c r="O19" s="235"/>
      <c r="P19" s="235"/>
      <c r="T19" s="235"/>
    </row>
    <row r="20" spans="1:23" x14ac:dyDescent="0.2">
      <c r="A20" s="232"/>
      <c r="B20" s="233">
        <v>2026</v>
      </c>
      <c r="C20" s="234">
        <f>ROUND('Table 2B Wind'!C78/10,3)</f>
        <v>4.3710000000000004</v>
      </c>
      <c r="D20" s="234">
        <f>ROUND('Table 2B Wind'!G78/10,3)</f>
        <v>5.1020000000000003</v>
      </c>
      <c r="E20" s="234">
        <f>ROUND('Table 2B Wind'!D78/10,3)</f>
        <v>4.1959999999999997</v>
      </c>
      <c r="F20" s="234">
        <f>ROUND('Table 2B Wind'!H78/10,3)</f>
        <v>4.3949999999999996</v>
      </c>
      <c r="H20" s="234"/>
      <c r="I20" s="345"/>
      <c r="J20" s="456"/>
      <c r="K20" s="457"/>
      <c r="L20" s="457"/>
      <c r="M20" s="235"/>
      <c r="N20" s="235"/>
      <c r="O20" s="235"/>
      <c r="P20" s="235"/>
      <c r="T20" s="235"/>
      <c r="W20" s="236"/>
    </row>
    <row r="21" spans="1:23" x14ac:dyDescent="0.2">
      <c r="A21" s="232"/>
      <c r="B21" s="233">
        <v>2027</v>
      </c>
      <c r="C21" s="235">
        <f>ROUND(INDEX('Tables 3 to 6'!AH:AH,MATCH(B21,'Tables 3 to 6'!B:B,0))/10,3)</f>
        <v>4.2130000000000001</v>
      </c>
      <c r="D21" s="234">
        <f t="shared" ref="D21:D32" si="0">C21</f>
        <v>4.2130000000000001</v>
      </c>
      <c r="E21" s="235">
        <f>ROUND(INDEX('Tables 3 to 6'!AI:AI,MATCH(B21,'Tables 3 to 6'!B:B,0))/10,3)</f>
        <v>3.5470000000000002</v>
      </c>
      <c r="F21" s="235">
        <f t="shared" ref="F21:F32" si="1">E21</f>
        <v>3.5470000000000002</v>
      </c>
      <c r="H21" s="234"/>
      <c r="I21" s="345"/>
      <c r="J21" s="456"/>
      <c r="K21" s="457"/>
      <c r="L21" s="457"/>
      <c r="M21" s="235"/>
      <c r="N21" s="235"/>
      <c r="O21" s="235"/>
      <c r="P21" s="235"/>
      <c r="T21" s="235"/>
    </row>
    <row r="22" spans="1:23" x14ac:dyDescent="0.2">
      <c r="A22" s="232"/>
      <c r="B22" s="233">
        <v>2028</v>
      </c>
      <c r="C22" s="235">
        <f>ROUND(INDEX('Tables 3 to 6'!AH:AH,MATCH(B22,'Tables 3 to 6'!B:B,0))/10,3)</f>
        <v>4.4050000000000002</v>
      </c>
      <c r="D22" s="234">
        <f t="shared" si="0"/>
        <v>4.4050000000000002</v>
      </c>
      <c r="E22" s="235">
        <f>ROUND(INDEX('Tables 3 to 6'!AI:AI,MATCH(B22,'Tables 3 to 6'!B:B,0))/10,3)</f>
        <v>3.726</v>
      </c>
      <c r="F22" s="235">
        <f t="shared" si="1"/>
        <v>3.726</v>
      </c>
      <c r="H22" s="234"/>
      <c r="I22" s="345"/>
      <c r="J22" s="456"/>
      <c r="K22" s="457"/>
      <c r="L22" s="457"/>
      <c r="M22" s="235"/>
      <c r="N22" s="235"/>
      <c r="O22" s="235"/>
      <c r="P22" s="235"/>
      <c r="T22" s="235"/>
    </row>
    <row r="23" spans="1:23" x14ac:dyDescent="0.2">
      <c r="A23" s="232"/>
      <c r="B23" s="233">
        <v>2029</v>
      </c>
      <c r="C23" s="235">
        <f>ROUND(INDEX('Tables 3 to 6'!AH:AH,MATCH(B23,'Tables 3 to 6'!B:B,0))/10,3)</f>
        <v>4.5659999999999998</v>
      </c>
      <c r="D23" s="234">
        <f t="shared" si="0"/>
        <v>4.5659999999999998</v>
      </c>
      <c r="E23" s="235">
        <f>ROUND(INDEX('Tables 3 to 6'!AI:AI,MATCH(B23,'Tables 3 to 6'!B:B,0))/10,3)</f>
        <v>3.8740000000000001</v>
      </c>
      <c r="F23" s="235">
        <f t="shared" si="1"/>
        <v>3.8740000000000001</v>
      </c>
      <c r="H23" s="234"/>
      <c r="I23" s="345"/>
      <c r="J23" s="456"/>
      <c r="K23" s="457"/>
      <c r="L23" s="457"/>
      <c r="M23" s="235"/>
      <c r="N23" s="235"/>
      <c r="O23" s="235"/>
      <c r="P23" s="235"/>
      <c r="T23" s="235"/>
    </row>
    <row r="24" spans="1:23" x14ac:dyDescent="0.2">
      <c r="A24" s="232"/>
      <c r="B24" s="233">
        <v>2030</v>
      </c>
      <c r="C24" s="235">
        <f>ROUND(INDEX('Tables 3 to 6'!AH:AH,MATCH(B24,'Tables 3 to 6'!B:B,0))/10,3)</f>
        <v>4.7930000000000001</v>
      </c>
      <c r="D24" s="234">
        <f t="shared" si="0"/>
        <v>4.7930000000000001</v>
      </c>
      <c r="E24" s="235">
        <f>ROUND(INDEX('Tables 3 to 6'!AI:AI,MATCH(B24,'Tables 3 to 6'!B:B,0))/10,3)</f>
        <v>4.0880000000000001</v>
      </c>
      <c r="F24" s="235">
        <f t="shared" si="1"/>
        <v>4.0880000000000001</v>
      </c>
      <c r="H24" s="234"/>
      <c r="I24" s="345"/>
      <c r="J24" s="456"/>
      <c r="K24" s="457"/>
      <c r="L24" s="457"/>
      <c r="M24" s="235"/>
      <c r="N24" s="235"/>
      <c r="O24" s="235"/>
      <c r="P24" s="235"/>
      <c r="T24" s="235"/>
    </row>
    <row r="25" spans="1:23" x14ac:dyDescent="0.2">
      <c r="A25" s="232"/>
      <c r="B25" s="233">
        <v>2031</v>
      </c>
      <c r="C25" s="235">
        <f>ROUND(INDEX('Tables 3 to 6'!AH:AH,MATCH(B25,'Tables 3 to 6'!B:B,0))/10,3)</f>
        <v>4.827</v>
      </c>
      <c r="D25" s="234">
        <f t="shared" si="0"/>
        <v>4.827</v>
      </c>
      <c r="E25" s="235">
        <f>ROUND(INDEX('Tables 3 to 6'!AI:AI,MATCH(B25,'Tables 3 to 6'!B:B,0))/10,3)</f>
        <v>4.1079999999999997</v>
      </c>
      <c r="F25" s="235">
        <f t="shared" si="1"/>
        <v>4.1079999999999997</v>
      </c>
      <c r="H25" s="234"/>
      <c r="I25" s="345"/>
      <c r="J25" s="456"/>
      <c r="K25" s="457"/>
      <c r="L25" s="457"/>
      <c r="M25" s="235"/>
      <c r="N25" s="235"/>
      <c r="O25" s="235"/>
      <c r="P25" s="235"/>
      <c r="T25" s="235"/>
      <c r="U25" s="232"/>
    </row>
    <row r="26" spans="1:23" x14ac:dyDescent="0.2">
      <c r="A26" s="232"/>
      <c r="B26" s="233">
        <v>2032</v>
      </c>
      <c r="C26" s="235">
        <f>ROUND(INDEX('Tables 3 to 6'!AH:AH,MATCH(B26,'Tables 3 to 6'!B:B,0))/10,3)</f>
        <v>4.9059999999999997</v>
      </c>
      <c r="D26" s="234">
        <f t="shared" si="0"/>
        <v>4.9059999999999997</v>
      </c>
      <c r="E26" s="235">
        <f>ROUND(INDEX('Tables 3 to 6'!AI:AI,MATCH(B26,'Tables 3 to 6'!B:B,0))/10,3)</f>
        <v>4.173</v>
      </c>
      <c r="F26" s="235">
        <f t="shared" si="1"/>
        <v>4.173</v>
      </c>
      <c r="H26" s="234"/>
      <c r="I26" s="345"/>
      <c r="J26" s="456"/>
      <c r="K26" s="457"/>
      <c r="L26" s="457"/>
      <c r="M26" s="235"/>
      <c r="N26" s="235"/>
      <c r="O26" s="235"/>
      <c r="P26" s="235"/>
      <c r="T26" s="235"/>
      <c r="U26" s="232"/>
    </row>
    <row r="27" spans="1:23" x14ac:dyDescent="0.2">
      <c r="A27" s="232"/>
      <c r="B27" s="233">
        <v>2033</v>
      </c>
      <c r="C27" s="235">
        <f>ROUND(INDEX('Tables 3 to 6'!AH:AH,MATCH(B27,'Tables 3 to 6'!B:B,0))/10,3)</f>
        <v>4.9740000000000002</v>
      </c>
      <c r="D27" s="234">
        <f t="shared" si="0"/>
        <v>4.9740000000000002</v>
      </c>
      <c r="E27" s="235">
        <f>ROUND(INDEX('Tables 3 to 6'!AI:AI,MATCH(B27,'Tables 3 to 6'!B:B,0))/10,3)</f>
        <v>4.226</v>
      </c>
      <c r="F27" s="235">
        <f t="shared" si="1"/>
        <v>4.226</v>
      </c>
      <c r="H27" s="234"/>
      <c r="I27" s="345"/>
      <c r="J27" s="456"/>
      <c r="K27" s="457"/>
      <c r="L27" s="457"/>
      <c r="M27" s="235"/>
      <c r="N27" s="235"/>
      <c r="O27" s="235"/>
      <c r="P27" s="235"/>
      <c r="T27" s="235"/>
      <c r="U27" s="232"/>
    </row>
    <row r="28" spans="1:23" x14ac:dyDescent="0.2">
      <c r="A28" s="232"/>
      <c r="B28" s="233">
        <v>2034</v>
      </c>
      <c r="C28" s="235">
        <f>ROUND(INDEX('Tables 3 to 6'!AH:AH,MATCH(B28,'Tables 3 to 6'!B:B,0))/10,3)</f>
        <v>5.0730000000000004</v>
      </c>
      <c r="D28" s="234">
        <f t="shared" si="0"/>
        <v>5.0730000000000004</v>
      </c>
      <c r="E28" s="235">
        <f>ROUND(INDEX('Tables 3 to 6'!AI:AI,MATCH(B28,'Tables 3 to 6'!B:B,0))/10,3)</f>
        <v>4.3099999999999996</v>
      </c>
      <c r="F28" s="235">
        <f t="shared" si="1"/>
        <v>4.3099999999999996</v>
      </c>
      <c r="H28" s="234"/>
      <c r="I28" s="345"/>
      <c r="J28" s="456"/>
      <c r="K28" s="457"/>
      <c r="L28" s="457"/>
      <c r="M28" s="235"/>
      <c r="N28" s="235"/>
      <c r="O28" s="235"/>
      <c r="P28" s="235"/>
      <c r="T28" s="235"/>
      <c r="U28" s="232"/>
    </row>
    <row r="29" spans="1:23" x14ac:dyDescent="0.2">
      <c r="A29" s="232"/>
      <c r="B29" s="233">
        <v>2035</v>
      </c>
      <c r="C29" s="235">
        <f>ROUND(INDEX('Tables 3 to 6'!AH:AH,MATCH(B29,'Tables 3 to 6'!B:B,0))/10,3)</f>
        <v>5.1710000000000003</v>
      </c>
      <c r="D29" s="234">
        <f t="shared" si="0"/>
        <v>5.1710000000000003</v>
      </c>
      <c r="E29" s="235">
        <f>ROUND(INDEX('Tables 3 to 6'!AI:AI,MATCH(B29,'Tables 3 to 6'!B:B,0))/10,3)</f>
        <v>4.3920000000000003</v>
      </c>
      <c r="F29" s="235">
        <f t="shared" si="1"/>
        <v>4.3920000000000003</v>
      </c>
      <c r="H29" s="234"/>
      <c r="I29" s="345"/>
      <c r="J29" s="456"/>
      <c r="K29" s="457"/>
      <c r="L29" s="457"/>
      <c r="M29" s="235"/>
      <c r="N29" s="235"/>
      <c r="O29" s="235"/>
      <c r="P29" s="235"/>
      <c r="T29" s="235"/>
      <c r="U29" s="232"/>
      <c r="W29" s="227" t="str">
        <f>'Tariff Page'!W29</f>
        <v>Discount Rate - 2013 IRP Update Page 39</v>
      </c>
    </row>
    <row r="30" spans="1:23" x14ac:dyDescent="0.2">
      <c r="A30" s="232"/>
      <c r="B30" s="233">
        <v>2036</v>
      </c>
      <c r="C30" s="235">
        <f>ROUND(INDEX('Tables 3 to 6'!AH:AH,MATCH(B30,'Tables 3 to 6'!B:B,0))/10,3)</f>
        <v>5.2830000000000004</v>
      </c>
      <c r="D30" s="234">
        <f t="shared" si="0"/>
        <v>5.2830000000000004</v>
      </c>
      <c r="E30" s="235">
        <f>ROUND(INDEX('Tables 3 to 6'!AI:AI,MATCH(B30,'Tables 3 to 6'!B:B,0))/10,3)</f>
        <v>4.4889999999999999</v>
      </c>
      <c r="F30" s="235">
        <f t="shared" si="1"/>
        <v>4.4889999999999999</v>
      </c>
      <c r="H30" s="234"/>
      <c r="I30" s="345"/>
      <c r="J30" s="456"/>
      <c r="K30" s="457"/>
      <c r="L30" s="457"/>
      <c r="M30" s="235"/>
      <c r="N30" s="235"/>
      <c r="O30" s="235"/>
      <c r="P30" s="235"/>
      <c r="T30" s="235"/>
      <c r="U30" s="232"/>
      <c r="W30" s="237">
        <f>'Tariff Page'!W30</f>
        <v>6.8820000000000006E-2</v>
      </c>
    </row>
    <row r="31" spans="1:23" x14ac:dyDescent="0.2">
      <c r="A31" s="232"/>
      <c r="B31" s="233">
        <v>2037</v>
      </c>
      <c r="C31" s="235">
        <f>ROUND(INDEX('Tables 3 to 6'!AH:AH,MATCH(B31,'Tables 3 to 6'!B:B,0))/10,3)</f>
        <v>5.3970000000000002</v>
      </c>
      <c r="D31" s="234">
        <f t="shared" si="0"/>
        <v>5.3970000000000002</v>
      </c>
      <c r="E31" s="235">
        <f>ROUND(INDEX('Tables 3 to 6'!AI:AI,MATCH(B31,'Tables 3 to 6'!B:B,0))/10,3)</f>
        <v>4.585</v>
      </c>
      <c r="F31" s="235">
        <f t="shared" si="1"/>
        <v>4.585</v>
      </c>
      <c r="H31" s="234"/>
      <c r="I31" s="345"/>
      <c r="J31" s="456"/>
      <c r="K31" s="457"/>
      <c r="L31" s="457"/>
      <c r="M31" s="235"/>
      <c r="N31" s="235"/>
      <c r="O31" s="235"/>
      <c r="P31" s="235"/>
      <c r="T31" s="235"/>
      <c r="U31" s="232"/>
    </row>
    <row r="32" spans="1:23" x14ac:dyDescent="0.2">
      <c r="A32" s="232"/>
      <c r="B32" s="233">
        <v>2038</v>
      </c>
      <c r="C32" s="235">
        <f>ROUND(INDEX('Tables 3 to 6'!AH:AH,MATCH(B32,'Tables 3 to 6'!B:B,0))/10,3)</f>
        <v>5.5049999999999999</v>
      </c>
      <c r="D32" s="234">
        <f t="shared" si="0"/>
        <v>5.5049999999999999</v>
      </c>
      <c r="E32" s="235">
        <f>ROUND(INDEX('Tables 3 to 6'!AI:AI,MATCH(B32,'Tables 3 to 6'!B:B,0))/10,3)</f>
        <v>4.6769999999999996</v>
      </c>
      <c r="F32" s="235">
        <f t="shared" si="1"/>
        <v>4.6769999999999996</v>
      </c>
      <c r="H32" s="234"/>
      <c r="I32" s="345"/>
      <c r="J32" s="456"/>
      <c r="K32" s="457"/>
      <c r="L32" s="457"/>
      <c r="M32" s="235"/>
      <c r="N32" s="235"/>
      <c r="O32" s="235"/>
      <c r="P32" s="235"/>
      <c r="T32" s="235"/>
      <c r="U32" s="232"/>
    </row>
    <row r="33" spans="1:21" x14ac:dyDescent="0.2">
      <c r="A33" s="232"/>
      <c r="B33" s="233"/>
      <c r="C33" s="232"/>
      <c r="D33" s="232"/>
      <c r="E33" s="232"/>
      <c r="F33" s="232"/>
      <c r="H33" s="232"/>
      <c r="I33" s="345"/>
      <c r="J33" s="456"/>
      <c r="K33" s="457"/>
      <c r="L33" s="457"/>
      <c r="M33" s="333"/>
      <c r="N33" s="333"/>
      <c r="O33" s="333"/>
      <c r="P33" s="333"/>
      <c r="T33" s="333"/>
      <c r="U33" s="232"/>
    </row>
    <row r="34" spans="1:21" x14ac:dyDescent="0.2">
      <c r="A34" s="232"/>
      <c r="C34" s="230" t="s">
        <v>318</v>
      </c>
      <c r="D34" s="230"/>
      <c r="E34" s="230" t="s">
        <v>135</v>
      </c>
      <c r="F34" s="230"/>
      <c r="H34" s="232"/>
      <c r="I34" s="345"/>
      <c r="J34" s="456"/>
      <c r="L34" s="457"/>
      <c r="M34" s="333"/>
      <c r="N34" s="333"/>
      <c r="O34" s="333"/>
      <c r="P34" s="333"/>
      <c r="T34" s="230"/>
      <c r="U34" s="232"/>
    </row>
    <row r="35" spans="1:21" ht="14.25" x14ac:dyDescent="0.35">
      <c r="A35" s="232"/>
      <c r="B35" s="238"/>
      <c r="C35" s="231" t="s">
        <v>62</v>
      </c>
      <c r="D35" s="231" t="s">
        <v>63</v>
      </c>
      <c r="E35" s="231" t="s">
        <v>62</v>
      </c>
      <c r="F35" s="231" t="s">
        <v>63</v>
      </c>
      <c r="H35" s="455"/>
      <c r="I35" s="345"/>
      <c r="K35" s="457"/>
      <c r="L35" s="457"/>
      <c r="M35" s="333"/>
      <c r="N35" s="333"/>
      <c r="O35" s="333"/>
      <c r="P35" s="333"/>
      <c r="T35" s="231"/>
      <c r="U35" s="232"/>
    </row>
    <row r="36" spans="1:21" ht="24" x14ac:dyDescent="0.2">
      <c r="B36" s="239" t="s">
        <v>319</v>
      </c>
      <c r="C36" s="240">
        <f>-PMT($W$30,COUNT(C9:C28),NPV($W$30,C9:C28))</f>
        <v>3.8046190184447144</v>
      </c>
      <c r="D36" s="240">
        <f>-PMT($W$30,COUNT(D9:D28),NPV($W$30,D9:D28))</f>
        <v>4.1627846487114475</v>
      </c>
      <c r="E36" s="240">
        <f>-PMT($W$30,COUNT(E9:E28),NPV($W$30,E9:E28))</f>
        <v>3.2428960892459484</v>
      </c>
      <c r="F36" s="240">
        <f>-PMT($W$30,COUNT(F9:F28),NPV($W$30,F9:F28))</f>
        <v>3.2474684394990851</v>
      </c>
      <c r="H36" s="240"/>
      <c r="T36" s="240"/>
      <c r="U36" s="232"/>
    </row>
    <row r="37" spans="1:21" x14ac:dyDescent="0.2">
      <c r="A37" s="238"/>
      <c r="U37" s="232"/>
    </row>
    <row r="38" spans="1:21" x14ac:dyDescent="0.2">
      <c r="A38" s="241"/>
      <c r="B38" s="259" t="s">
        <v>274</v>
      </c>
      <c r="U38" s="232"/>
    </row>
    <row r="39" spans="1:21" x14ac:dyDescent="0.2">
      <c r="A39" s="242"/>
      <c r="B39" s="259" t="s">
        <v>264</v>
      </c>
    </row>
    <row r="40" spans="1:21" x14ac:dyDescent="0.2">
      <c r="A40" s="242"/>
      <c r="B40" s="232"/>
      <c r="C40" s="243"/>
      <c r="D40" s="243"/>
      <c r="E40" s="243"/>
      <c r="F40" s="243"/>
      <c r="J40" s="228"/>
      <c r="L40" s="242"/>
      <c r="M40" s="242"/>
      <c r="N40" s="242"/>
      <c r="O40" s="242"/>
      <c r="P40" s="242"/>
    </row>
    <row r="41" spans="1:21" x14ac:dyDescent="0.2">
      <c r="A41" s="242"/>
      <c r="B41" s="239"/>
      <c r="C41" s="243"/>
      <c r="D41" s="243"/>
      <c r="E41" s="243"/>
      <c r="F41" s="243"/>
      <c r="J41" s="228"/>
      <c r="L41" s="242"/>
      <c r="M41" s="242"/>
      <c r="N41" s="242"/>
      <c r="O41" s="242"/>
      <c r="P41" s="242"/>
    </row>
    <row r="42" spans="1:21" x14ac:dyDescent="0.2">
      <c r="A42" s="232"/>
      <c r="B42" s="238"/>
      <c r="C42" s="232"/>
      <c r="D42" s="232"/>
      <c r="E42" s="232"/>
      <c r="F42" s="232"/>
      <c r="J42" s="337"/>
      <c r="K42" s="333"/>
      <c r="L42" s="333"/>
      <c r="M42" s="333"/>
      <c r="N42" s="333"/>
      <c r="O42" s="333"/>
      <c r="P42" s="333"/>
    </row>
    <row r="43" spans="1:21" x14ac:dyDescent="0.2">
      <c r="A43" s="241"/>
      <c r="K43" s="457"/>
      <c r="M43" s="461"/>
      <c r="N43" s="461"/>
      <c r="O43" s="461"/>
      <c r="P43" s="461"/>
    </row>
    <row r="44" spans="1:21" x14ac:dyDescent="0.2">
      <c r="A44" s="241"/>
      <c r="M44" s="461"/>
      <c r="N44" s="461"/>
      <c r="O44" s="461"/>
      <c r="P44" s="461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M312"/>
  <sheetViews>
    <sheetView view="pageBreakPreview" topLeftCell="C1" zoomScale="60" zoomScaleNormal="100" workbookViewId="0">
      <selection activeCell="R29" sqref="R29"/>
    </sheetView>
  </sheetViews>
  <sheetFormatPr defaultColWidth="8.83203125" defaultRowHeight="12.75" x14ac:dyDescent="0.2"/>
  <cols>
    <col min="1" max="1" width="1.5" style="378" customWidth="1"/>
    <col min="2" max="2" width="25.83203125" style="378" bestFit="1" customWidth="1"/>
    <col min="3" max="3" width="16.83203125" style="378" bestFit="1" customWidth="1"/>
    <col min="4" max="4" width="7.83203125" style="378" bestFit="1" customWidth="1"/>
    <col min="5" max="5" width="3" style="378" customWidth="1"/>
    <col min="6" max="6" width="8.1640625" style="378" customWidth="1"/>
    <col min="7" max="7" width="21.1640625" style="378" customWidth="1"/>
    <col min="8" max="10" width="8.83203125" style="378"/>
    <col min="11" max="11" width="14" style="432" bestFit="1" customWidth="1"/>
    <col min="12" max="12" width="9" style="435" bestFit="1" customWidth="1"/>
    <col min="13" max="13" width="7.83203125" style="435" bestFit="1" customWidth="1"/>
    <col min="14" max="14" width="9" style="435" bestFit="1" customWidth="1"/>
    <col min="15" max="15" width="10.33203125" style="435" customWidth="1"/>
    <col min="16" max="16" width="3.1640625" style="378" customWidth="1"/>
    <col min="17" max="17" width="10" style="245" customWidth="1"/>
    <col min="18" max="18" width="10.83203125" style="378" customWidth="1"/>
    <col min="19" max="19" width="10.1640625" style="378" customWidth="1"/>
    <col min="20" max="20" width="3.1640625" style="378" customWidth="1"/>
    <col min="21" max="21" width="8.83203125" style="378"/>
    <col min="22" max="22" width="10.1640625" style="378" customWidth="1"/>
    <col min="23" max="23" width="9.6640625" style="378" customWidth="1"/>
    <col min="24" max="24" width="8.83203125" style="378"/>
    <col min="25" max="25" width="9.83203125" style="378" customWidth="1"/>
    <col min="26" max="26" width="8.83203125" style="378"/>
    <col min="27" max="27" width="10.5" style="378" customWidth="1"/>
    <col min="28" max="16384" width="8.83203125" style="378"/>
  </cols>
  <sheetData>
    <row r="1" spans="2:39" ht="15.75" x14ac:dyDescent="0.25">
      <c r="B1" s="1" t="s">
        <v>292</v>
      </c>
      <c r="C1" s="377"/>
      <c r="D1" s="377"/>
      <c r="E1" s="377"/>
      <c r="F1" s="377"/>
      <c r="G1" s="377"/>
      <c r="K1" s="379" t="s">
        <v>293</v>
      </c>
      <c r="L1" s="380"/>
      <c r="M1" s="379"/>
      <c r="N1" s="380"/>
      <c r="O1" s="381"/>
    </row>
    <row r="2" spans="2:39" ht="15.75" x14ac:dyDescent="0.25">
      <c r="B2" s="1" t="s">
        <v>294</v>
      </c>
      <c r="C2" s="377"/>
      <c r="D2" s="377"/>
      <c r="E2" s="377"/>
      <c r="F2" s="377"/>
      <c r="G2" s="377"/>
      <c r="K2" s="382"/>
      <c r="L2" s="383"/>
      <c r="M2" s="383"/>
      <c r="N2" s="383"/>
      <c r="O2" s="383"/>
    </row>
    <row r="3" spans="2:39" x14ac:dyDescent="0.2">
      <c r="B3" s="377"/>
      <c r="C3" s="377"/>
      <c r="D3" s="377"/>
      <c r="E3" s="377"/>
      <c r="F3" s="377"/>
      <c r="G3" s="377"/>
      <c r="K3" s="384" t="str">
        <f>"Official Forward Price Curve dated "&amp;TEXT(C4,"mmmm YYYY")</f>
        <v>Official Forward Price Curve dated March 2014</v>
      </c>
      <c r="L3" s="385"/>
      <c r="M3" s="385"/>
      <c r="N3" s="385"/>
      <c r="O3" s="385"/>
    </row>
    <row r="4" spans="2:39" ht="13.5" thickBot="1" x14ac:dyDescent="0.25">
      <c r="B4" s="386" t="s">
        <v>295</v>
      </c>
      <c r="C4" s="387">
        <v>41729</v>
      </c>
      <c r="D4" s="377"/>
      <c r="E4" s="388"/>
      <c r="F4" s="377"/>
      <c r="G4" s="377"/>
      <c r="K4" s="389"/>
      <c r="L4" s="390"/>
      <c r="M4" s="390"/>
      <c r="N4" s="390"/>
      <c r="O4" s="390"/>
    </row>
    <row r="5" spans="2:39" x14ac:dyDescent="0.2">
      <c r="B5" s="386"/>
      <c r="C5" s="391"/>
      <c r="E5" s="388"/>
      <c r="F5" s="392"/>
      <c r="G5" s="393" t="s">
        <v>296</v>
      </c>
      <c r="K5" s="394"/>
      <c r="L5" s="395" t="s">
        <v>293</v>
      </c>
      <c r="M5" s="395"/>
      <c r="N5" s="395"/>
      <c r="O5" s="395"/>
      <c r="U5" s="394"/>
      <c r="V5" s="395" t="s">
        <v>293</v>
      </c>
      <c r="W5" s="395"/>
      <c r="X5" s="395"/>
      <c r="Y5" s="395"/>
      <c r="AB5" s="378" t="s">
        <v>48</v>
      </c>
      <c r="AC5" s="378" t="s">
        <v>49</v>
      </c>
      <c r="AD5" s="378" t="s">
        <v>50</v>
      </c>
      <c r="AE5" s="378" t="s">
        <v>51</v>
      </c>
      <c r="AF5" s="378" t="s">
        <v>52</v>
      </c>
      <c r="AG5" s="378" t="s">
        <v>53</v>
      </c>
      <c r="AH5" s="378" t="s">
        <v>54</v>
      </c>
      <c r="AI5" s="378" t="s">
        <v>55</v>
      </c>
      <c r="AJ5" s="378" t="s">
        <v>56</v>
      </c>
      <c r="AK5" s="378" t="s">
        <v>57</v>
      </c>
      <c r="AL5" s="378" t="s">
        <v>58</v>
      </c>
      <c r="AM5" s="378" t="s">
        <v>59</v>
      </c>
    </row>
    <row r="6" spans="2:39" x14ac:dyDescent="0.2">
      <c r="B6" s="396" t="s">
        <v>297</v>
      </c>
      <c r="F6" s="397" t="s">
        <v>2</v>
      </c>
      <c r="G6" s="398" t="s">
        <v>298</v>
      </c>
      <c r="K6" s="399"/>
      <c r="L6" s="395" t="s">
        <v>111</v>
      </c>
      <c r="M6" s="395"/>
      <c r="N6" s="395" t="s">
        <v>112</v>
      </c>
      <c r="O6" s="395"/>
      <c r="U6" s="399"/>
      <c r="V6" s="395" t="s">
        <v>111</v>
      </c>
      <c r="W6" s="395"/>
      <c r="X6" s="395" t="s">
        <v>112</v>
      </c>
      <c r="Y6" s="395"/>
      <c r="AA6" s="378" t="s">
        <v>308</v>
      </c>
      <c r="AB6" s="378">
        <v>1</v>
      </c>
      <c r="AC6" s="378">
        <v>2</v>
      </c>
      <c r="AD6" s="378">
        <v>3</v>
      </c>
      <c r="AE6" s="378">
        <v>4</v>
      </c>
      <c r="AF6" s="378">
        <v>5</v>
      </c>
      <c r="AG6" s="378">
        <v>6</v>
      </c>
      <c r="AH6" s="378">
        <v>7</v>
      </c>
      <c r="AI6" s="378">
        <v>8</v>
      </c>
      <c r="AJ6" s="378">
        <v>9</v>
      </c>
      <c r="AK6" s="378">
        <v>10</v>
      </c>
      <c r="AL6" s="378">
        <v>11</v>
      </c>
      <c r="AM6" s="378">
        <v>12</v>
      </c>
    </row>
    <row r="7" spans="2:39" ht="39" thickBot="1" x14ac:dyDescent="0.25">
      <c r="B7" s="400" t="s">
        <v>120</v>
      </c>
      <c r="C7" s="401" t="s">
        <v>105</v>
      </c>
      <c r="D7" s="402" t="s">
        <v>2</v>
      </c>
      <c r="F7" s="403"/>
      <c r="G7" s="404" t="s">
        <v>41</v>
      </c>
      <c r="I7" s="378" t="s">
        <v>120</v>
      </c>
      <c r="J7" s="378" t="s">
        <v>2</v>
      </c>
      <c r="K7" s="405" t="s">
        <v>299</v>
      </c>
      <c r="L7" s="406" t="s">
        <v>300</v>
      </c>
      <c r="M7" s="406" t="s">
        <v>301</v>
      </c>
      <c r="N7" s="406" t="s">
        <v>300</v>
      </c>
      <c r="O7" s="407" t="s">
        <v>301</v>
      </c>
      <c r="Q7" s="245" t="s">
        <v>306</v>
      </c>
      <c r="R7" s="439" t="s">
        <v>305</v>
      </c>
      <c r="S7" s="439" t="s">
        <v>307</v>
      </c>
      <c r="T7" s="439"/>
      <c r="U7" s="405" t="s">
        <v>2</v>
      </c>
      <c r="V7" s="406" t="s">
        <v>300</v>
      </c>
      <c r="W7" s="406" t="s">
        <v>301</v>
      </c>
      <c r="X7" s="406" t="s">
        <v>300</v>
      </c>
      <c r="Y7" s="407" t="s">
        <v>301</v>
      </c>
      <c r="AB7" s="378" t="s">
        <v>48</v>
      </c>
      <c r="AC7" s="378" t="s">
        <v>49</v>
      </c>
      <c r="AD7" s="378" t="s">
        <v>50</v>
      </c>
      <c r="AE7" s="378" t="s">
        <v>51</v>
      </c>
      <c r="AF7" s="378" t="s">
        <v>52</v>
      </c>
      <c r="AG7" s="378" t="s">
        <v>53</v>
      </c>
      <c r="AH7" s="378" t="s">
        <v>54</v>
      </c>
      <c r="AI7" s="378" t="s">
        <v>55</v>
      </c>
      <c r="AJ7" s="378" t="s">
        <v>56</v>
      </c>
      <c r="AK7" s="378" t="s">
        <v>57</v>
      </c>
      <c r="AL7" s="378" t="s">
        <v>58</v>
      </c>
      <c r="AM7" s="378" t="s">
        <v>59</v>
      </c>
    </row>
    <row r="8" spans="2:39" x14ac:dyDescent="0.2">
      <c r="B8" s="408">
        <v>41640</v>
      </c>
      <c r="C8" s="409">
        <v>4.6327583807413237</v>
      </c>
      <c r="D8" s="410">
        <f t="shared" ref="D8:D71" si="0">YEAR(B8)</f>
        <v>2014</v>
      </c>
      <c r="F8" s="411">
        <f>YEAR(B8)</f>
        <v>2014</v>
      </c>
      <c r="G8" s="412">
        <f t="shared" ref="G8:G32" si="1">ROUND(AVERAGEIF($D$8:$D$307,$F8,$C$8:$C$307),2)</f>
        <v>4.75</v>
      </c>
      <c r="I8" s="60">
        <f>MONTH(K8)</f>
        <v>1</v>
      </c>
      <c r="J8" s="441">
        <f>YEAR(K8)</f>
        <v>2014</v>
      </c>
      <c r="K8" s="413">
        <f t="shared" ref="K8:K71" si="2">B8</f>
        <v>41640</v>
      </c>
      <c r="L8" s="414">
        <v>40.979192880483772</v>
      </c>
      <c r="M8" s="414">
        <v>40.193454889150765</v>
      </c>
      <c r="N8" s="414">
        <v>38.848157698108302</v>
      </c>
      <c r="O8" s="415">
        <v>34.127866806522491</v>
      </c>
      <c r="Q8" s="438">
        <v>37.519378422615716</v>
      </c>
      <c r="R8" s="440">
        <f>M8/Q8</f>
        <v>1.071271875466977</v>
      </c>
      <c r="S8" s="440">
        <f>O8/Q8</f>
        <v>0.90960640184676111</v>
      </c>
      <c r="U8" s="411">
        <f>F8</f>
        <v>2014</v>
      </c>
      <c r="V8" s="416">
        <f t="shared" ref="V8:V32" si="3">ROUND(AVERAGEIF($D$8:$D$307,$U8,L$8:L$307),2)</f>
        <v>41.38</v>
      </c>
      <c r="W8" s="416">
        <f t="shared" ref="W8:W32" si="4">ROUND(AVERAGEIF($D$8:$D$307,$U8,M$8:M$307),2)</f>
        <v>45.54</v>
      </c>
      <c r="X8" s="416">
        <f t="shared" ref="X8:X32" si="5">ROUND(AVERAGEIF($D$8:$D$307,$U8,N$8:N$307),2)</f>
        <v>28.96</v>
      </c>
      <c r="Y8" s="416">
        <f t="shared" ref="Y8:Y32" si="6">ROUND(AVERAGEIF($D$8:$D$307,$U8,O$8:O$307),2)</f>
        <v>34.159999999999997</v>
      </c>
      <c r="AA8" s="378">
        <v>2014</v>
      </c>
      <c r="AB8" s="427">
        <f>SUMIFS($R:$R,$J:$J,$AA8,$I:$I,AB$6)</f>
        <v>1.071271875466977</v>
      </c>
      <c r="AC8" s="427">
        <f t="shared" ref="AC8:AM20" si="7">SUMIFS($R:$R,$J:$J,$AA8,$I:$I,AC$6)</f>
        <v>1.0957862244954411</v>
      </c>
      <c r="AD8" s="427">
        <f t="shared" si="7"/>
        <v>1.1041972899642289</v>
      </c>
      <c r="AE8" s="427">
        <f t="shared" si="7"/>
        <v>1.1147236414305621</v>
      </c>
      <c r="AF8" s="427">
        <f t="shared" si="7"/>
        <v>1.1502519468621164</v>
      </c>
      <c r="AG8" s="427">
        <f t="shared" si="7"/>
        <v>1.1739130434782608</v>
      </c>
      <c r="AH8" s="427">
        <f t="shared" si="7"/>
        <v>1.161407586923191</v>
      </c>
      <c r="AI8" s="427">
        <f t="shared" si="7"/>
        <v>1.181088076634655</v>
      </c>
      <c r="AJ8" s="427">
        <f t="shared" si="7"/>
        <v>1.1540304228051261</v>
      </c>
      <c r="AK8" s="427">
        <f t="shared" si="7"/>
        <v>1.0883672039243169</v>
      </c>
      <c r="AL8" s="427">
        <f t="shared" si="7"/>
        <v>1.0904164446857776</v>
      </c>
      <c r="AM8" s="427">
        <f t="shared" si="7"/>
        <v>1.089130434782609</v>
      </c>
    </row>
    <row r="9" spans="2:39" x14ac:dyDescent="0.2">
      <c r="B9" s="417">
        <f t="shared" ref="B9:B72" si="8">EDATE(B8,1)</f>
        <v>41671</v>
      </c>
      <c r="C9" s="409">
        <v>7.1042078120409053</v>
      </c>
      <c r="D9" s="418">
        <f t="shared" si="0"/>
        <v>2014</v>
      </c>
      <c r="F9" s="411">
        <f t="shared" ref="F9:F32" si="9">F8+1</f>
        <v>2015</v>
      </c>
      <c r="G9" s="412">
        <f t="shared" si="1"/>
        <v>4.17</v>
      </c>
      <c r="I9" s="60">
        <f t="shared" ref="I9:I72" si="10">MONTH(K9)</f>
        <v>2</v>
      </c>
      <c r="J9" s="441">
        <f t="shared" ref="J9:J72" si="11">YEAR(K9)</f>
        <v>2014</v>
      </c>
      <c r="K9" s="413">
        <f t="shared" si="2"/>
        <v>41671</v>
      </c>
      <c r="L9" s="414">
        <v>73.625555833180741</v>
      </c>
      <c r="M9" s="414">
        <v>61.148478507995605</v>
      </c>
      <c r="N9" s="414">
        <v>63.960103852408274</v>
      </c>
      <c r="O9" s="415">
        <v>48.676376342773438</v>
      </c>
      <c r="Q9" s="438">
        <v>55.803291865757537</v>
      </c>
      <c r="R9" s="440">
        <f t="shared" ref="R9:R72" si="12">M9/Q9</f>
        <v>1.0957862244954411</v>
      </c>
      <c r="S9" s="440">
        <f t="shared" ref="S9:S72" si="13">O9/Q9</f>
        <v>0.87228503400607849</v>
      </c>
      <c r="U9" s="411">
        <f t="shared" ref="U9:U32" si="14">U8+1</f>
        <v>2015</v>
      </c>
      <c r="V9" s="416">
        <f t="shared" si="3"/>
        <v>38.69</v>
      </c>
      <c r="W9" s="416">
        <f t="shared" si="4"/>
        <v>40.75</v>
      </c>
      <c r="X9" s="416">
        <f t="shared" si="5"/>
        <v>27.75</v>
      </c>
      <c r="Y9" s="416">
        <f t="shared" si="6"/>
        <v>30.13</v>
      </c>
      <c r="AA9" s="378">
        <v>2015</v>
      </c>
      <c r="AB9" s="427">
        <f t="shared" ref="AB9:AB20" si="15">SUMIFS($R:$R,$J:$J,$AA9,$I:$I,AB$6)</f>
        <v>1.0954295387219635</v>
      </c>
      <c r="AC9" s="427">
        <f t="shared" si="7"/>
        <v>1.0925233644859813</v>
      </c>
      <c r="AD9" s="427">
        <f t="shared" si="7"/>
        <v>1.0952511254303117</v>
      </c>
      <c r="AE9" s="427">
        <f t="shared" si="7"/>
        <v>1.1006139479165247</v>
      </c>
      <c r="AF9" s="427">
        <f t="shared" si="7"/>
        <v>1.1874134693388319</v>
      </c>
      <c r="AG9" s="427">
        <f t="shared" si="7"/>
        <v>1.1756261218654411</v>
      </c>
      <c r="AH9" s="427">
        <f t="shared" si="7"/>
        <v>1.2020122824222907</v>
      </c>
      <c r="AI9" s="427">
        <f t="shared" si="7"/>
        <v>1.1944800038244776</v>
      </c>
      <c r="AJ9" s="427">
        <f t="shared" si="7"/>
        <v>1.137056603773585</v>
      </c>
      <c r="AK9" s="427">
        <f t="shared" si="7"/>
        <v>1.0987711338712454</v>
      </c>
      <c r="AL9" s="427">
        <f t="shared" si="7"/>
        <v>1.1116184742029165</v>
      </c>
      <c r="AM9" s="427">
        <f t="shared" si="7"/>
        <v>1.0658875091307525</v>
      </c>
    </row>
    <row r="10" spans="2:39" x14ac:dyDescent="0.2">
      <c r="B10" s="417">
        <f t="shared" si="8"/>
        <v>41699</v>
      </c>
      <c r="C10" s="409">
        <v>4.996672388573062</v>
      </c>
      <c r="D10" s="418">
        <f t="shared" si="0"/>
        <v>2014</v>
      </c>
      <c r="F10" s="411">
        <f t="shared" si="9"/>
        <v>2016</v>
      </c>
      <c r="G10" s="412">
        <f t="shared" si="1"/>
        <v>3.96</v>
      </c>
      <c r="I10" s="60">
        <f t="shared" si="10"/>
        <v>3</v>
      </c>
      <c r="J10" s="441">
        <f t="shared" si="11"/>
        <v>2014</v>
      </c>
      <c r="K10" s="413">
        <f t="shared" si="2"/>
        <v>41699</v>
      </c>
      <c r="L10" s="414">
        <v>31.762103667626015</v>
      </c>
      <c r="M10" s="414">
        <v>42.145878278292145</v>
      </c>
      <c r="N10" s="414">
        <v>17.69621612371937</v>
      </c>
      <c r="O10" s="415">
        <v>33.109260436027277</v>
      </c>
      <c r="Q10" s="438">
        <v>38.168793440579343</v>
      </c>
      <c r="R10" s="440">
        <f t="shared" si="12"/>
        <v>1.1041972899642289</v>
      </c>
      <c r="S10" s="440">
        <f t="shared" si="13"/>
        <v>0.86744320298128685</v>
      </c>
      <c r="U10" s="411">
        <f t="shared" si="14"/>
        <v>2016</v>
      </c>
      <c r="V10" s="416">
        <f t="shared" si="3"/>
        <v>38.06</v>
      </c>
      <c r="W10" s="416">
        <f t="shared" si="4"/>
        <v>40.5</v>
      </c>
      <c r="X10" s="416">
        <f t="shared" si="5"/>
        <v>28.31</v>
      </c>
      <c r="Y10" s="416">
        <f t="shared" si="6"/>
        <v>30.13</v>
      </c>
      <c r="AA10" s="378">
        <v>2016</v>
      </c>
      <c r="AB10" s="427">
        <f t="shared" si="15"/>
        <v>1.0909482286156029</v>
      </c>
      <c r="AC10" s="427">
        <f t="shared" si="7"/>
        <v>1.0829596412556055</v>
      </c>
      <c r="AD10" s="427">
        <f t="shared" si="7"/>
        <v>1.0814534619116727</v>
      </c>
      <c r="AE10" s="427">
        <f t="shared" si="7"/>
        <v>1.0974599980996362</v>
      </c>
      <c r="AF10" s="427">
        <f t="shared" si="7"/>
        <v>1.1829951904855032</v>
      </c>
      <c r="AG10" s="427">
        <f t="shared" si="7"/>
        <v>1.1712317852653198</v>
      </c>
      <c r="AH10" s="427">
        <f t="shared" si="7"/>
        <v>1.2105288175876412</v>
      </c>
      <c r="AI10" s="427">
        <f t="shared" si="7"/>
        <v>1.1802272029474976</v>
      </c>
      <c r="AJ10" s="427">
        <f t="shared" si="7"/>
        <v>1.1336343115124154</v>
      </c>
      <c r="AK10" s="427">
        <f t="shared" si="7"/>
        <v>1.1097190573233835</v>
      </c>
      <c r="AL10" s="427">
        <f t="shared" si="7"/>
        <v>1.1112827639355431</v>
      </c>
      <c r="AM10" s="427">
        <f t="shared" si="7"/>
        <v>1.0717420943150742</v>
      </c>
    </row>
    <row r="11" spans="2:39" x14ac:dyDescent="0.2">
      <c r="B11" s="417">
        <f t="shared" si="8"/>
        <v>41730</v>
      </c>
      <c r="C11" s="409">
        <v>4.3390243345543347</v>
      </c>
      <c r="D11" s="418">
        <f t="shared" si="0"/>
        <v>2014</v>
      </c>
      <c r="F11" s="411">
        <f t="shared" si="9"/>
        <v>2017</v>
      </c>
      <c r="G11" s="412">
        <f t="shared" si="1"/>
        <v>3.98</v>
      </c>
      <c r="I11" s="60">
        <f t="shared" si="10"/>
        <v>4</v>
      </c>
      <c r="J11" s="441">
        <f t="shared" si="11"/>
        <v>2014</v>
      </c>
      <c r="K11" s="413">
        <f t="shared" si="2"/>
        <v>41730</v>
      </c>
      <c r="L11" s="414">
        <v>29.25</v>
      </c>
      <c r="M11" s="414">
        <v>40</v>
      </c>
      <c r="N11" s="414">
        <v>16.5</v>
      </c>
      <c r="O11" s="415">
        <v>30.25</v>
      </c>
      <c r="Q11" s="438">
        <v>35.883333333333333</v>
      </c>
      <c r="R11" s="440">
        <f t="shared" si="12"/>
        <v>1.1147236414305621</v>
      </c>
      <c r="S11" s="440">
        <f t="shared" si="13"/>
        <v>0.8430097538318625</v>
      </c>
      <c r="U11" s="411">
        <f t="shared" si="14"/>
        <v>2017</v>
      </c>
      <c r="V11" s="416">
        <f t="shared" si="3"/>
        <v>40.06</v>
      </c>
      <c r="W11" s="416">
        <f t="shared" si="4"/>
        <v>42.5</v>
      </c>
      <c r="X11" s="416">
        <f t="shared" si="5"/>
        <v>30.06</v>
      </c>
      <c r="Y11" s="416">
        <f t="shared" si="6"/>
        <v>31.88</v>
      </c>
      <c r="AA11" s="378">
        <v>2017</v>
      </c>
      <c r="AB11" s="427">
        <f t="shared" si="15"/>
        <v>1.0895235624088762</v>
      </c>
      <c r="AC11" s="427">
        <f t="shared" si="7"/>
        <v>1.0823421774931379</v>
      </c>
      <c r="AD11" s="427">
        <f t="shared" si="7"/>
        <v>1.0801691103349278</v>
      </c>
      <c r="AE11" s="427">
        <f t="shared" si="7"/>
        <v>1.1009471908654469</v>
      </c>
      <c r="AF11" s="427">
        <f t="shared" si="7"/>
        <v>1.1664867506850025</v>
      </c>
      <c r="AG11" s="427">
        <f t="shared" si="7"/>
        <v>1.1639697572504981</v>
      </c>
      <c r="AH11" s="427">
        <f t="shared" si="7"/>
        <v>1.2039298334174662</v>
      </c>
      <c r="AI11" s="427">
        <f t="shared" si="7"/>
        <v>1.1747054131740131</v>
      </c>
      <c r="AJ11" s="427">
        <f t="shared" si="7"/>
        <v>1.1299928418038654</v>
      </c>
      <c r="AK11" s="427">
        <f t="shared" si="7"/>
        <v>1.10713652659687</v>
      </c>
      <c r="AL11" s="427">
        <f t="shared" si="7"/>
        <v>1.1086014130544959</v>
      </c>
      <c r="AM11" s="427">
        <f t="shared" si="7"/>
        <v>1.0747699710490388</v>
      </c>
    </row>
    <row r="12" spans="2:39" x14ac:dyDescent="0.2">
      <c r="B12" s="417">
        <f t="shared" si="8"/>
        <v>41760</v>
      </c>
      <c r="C12" s="409">
        <v>4.3756543711843721</v>
      </c>
      <c r="D12" s="418">
        <f t="shared" si="0"/>
        <v>2014</v>
      </c>
      <c r="F12" s="411">
        <f t="shared" si="9"/>
        <v>2018</v>
      </c>
      <c r="G12" s="412">
        <f t="shared" si="1"/>
        <v>4.18</v>
      </c>
      <c r="I12" s="60">
        <f t="shared" si="10"/>
        <v>5</v>
      </c>
      <c r="J12" s="441">
        <f t="shared" si="11"/>
        <v>2014</v>
      </c>
      <c r="K12" s="413">
        <f t="shared" si="2"/>
        <v>41760</v>
      </c>
      <c r="L12" s="414">
        <v>24.25</v>
      </c>
      <c r="M12" s="414">
        <v>40.5</v>
      </c>
      <c r="N12" s="414">
        <v>5.75</v>
      </c>
      <c r="O12" s="415">
        <v>28.5</v>
      </c>
      <c r="Q12" s="438">
        <v>35.20967741935484</v>
      </c>
      <c r="R12" s="440">
        <f t="shared" si="12"/>
        <v>1.1502519468621164</v>
      </c>
      <c r="S12" s="440">
        <f t="shared" si="13"/>
        <v>0.80943655519926705</v>
      </c>
      <c r="U12" s="411">
        <f t="shared" si="14"/>
        <v>2018</v>
      </c>
      <c r="V12" s="416">
        <f t="shared" si="3"/>
        <v>42.56</v>
      </c>
      <c r="W12" s="416">
        <f t="shared" si="4"/>
        <v>45</v>
      </c>
      <c r="X12" s="416">
        <f t="shared" si="5"/>
        <v>32.06</v>
      </c>
      <c r="Y12" s="416">
        <f t="shared" si="6"/>
        <v>33.880000000000003</v>
      </c>
      <c r="AA12" s="378">
        <v>2018</v>
      </c>
      <c r="AB12" s="427">
        <f t="shared" si="15"/>
        <v>1.0856463683014166</v>
      </c>
      <c r="AC12" s="427">
        <f t="shared" si="7"/>
        <v>1.0829732065687123</v>
      </c>
      <c r="AD12" s="427">
        <f t="shared" si="7"/>
        <v>1.0807942492470888</v>
      </c>
      <c r="AE12" s="427">
        <f t="shared" si="7"/>
        <v>1.1007582048105848</v>
      </c>
      <c r="AF12" s="427">
        <f t="shared" si="7"/>
        <v>1.1620052674543113</v>
      </c>
      <c r="AG12" s="427">
        <f t="shared" si="7"/>
        <v>1.1589055038373166</v>
      </c>
      <c r="AH12" s="427">
        <f t="shared" si="7"/>
        <v>1.1987706685837527</v>
      </c>
      <c r="AI12" s="427">
        <f t="shared" si="7"/>
        <v>1.1704881498307118</v>
      </c>
      <c r="AJ12" s="427">
        <f t="shared" si="7"/>
        <v>1.1354728074473297</v>
      </c>
      <c r="AK12" s="427">
        <f t="shared" si="7"/>
        <v>1.1008189731460476</v>
      </c>
      <c r="AL12" s="427">
        <f t="shared" si="7"/>
        <v>1.1079700245332074</v>
      </c>
      <c r="AM12" s="427">
        <f t="shared" si="7"/>
        <v>1.0763669643367852</v>
      </c>
    </row>
    <row r="13" spans="2:39" x14ac:dyDescent="0.2">
      <c r="B13" s="417">
        <f t="shared" si="8"/>
        <v>41791</v>
      </c>
      <c r="C13" s="409">
        <v>4.3583568538868542</v>
      </c>
      <c r="D13" s="418">
        <f t="shared" si="0"/>
        <v>2014</v>
      </c>
      <c r="F13" s="411">
        <f t="shared" si="9"/>
        <v>2019</v>
      </c>
      <c r="G13" s="412">
        <f t="shared" si="1"/>
        <v>4.37</v>
      </c>
      <c r="I13" s="60">
        <f t="shared" si="10"/>
        <v>6</v>
      </c>
      <c r="J13" s="441">
        <f t="shared" si="11"/>
        <v>2014</v>
      </c>
      <c r="K13" s="413">
        <f t="shared" si="2"/>
        <v>41791</v>
      </c>
      <c r="L13" s="414">
        <v>23.75</v>
      </c>
      <c r="M13" s="414">
        <v>43.5</v>
      </c>
      <c r="N13" s="414">
        <v>4.5</v>
      </c>
      <c r="O13" s="415">
        <v>29</v>
      </c>
      <c r="Q13" s="438">
        <v>37.055555555555557</v>
      </c>
      <c r="R13" s="440">
        <f t="shared" si="12"/>
        <v>1.1739130434782608</v>
      </c>
      <c r="S13" s="440">
        <f t="shared" si="13"/>
        <v>0.78260869565217384</v>
      </c>
      <c r="U13" s="411">
        <f t="shared" si="14"/>
        <v>2019</v>
      </c>
      <c r="V13" s="416">
        <f t="shared" si="3"/>
        <v>44.81</v>
      </c>
      <c r="W13" s="416">
        <f t="shared" si="4"/>
        <v>47</v>
      </c>
      <c r="X13" s="416">
        <f t="shared" si="5"/>
        <v>34.31</v>
      </c>
      <c r="Y13" s="416">
        <f t="shared" si="6"/>
        <v>35.880000000000003</v>
      </c>
      <c r="AA13" s="378">
        <v>2019</v>
      </c>
      <c r="AB13" s="427">
        <f t="shared" si="15"/>
        <v>1.081718018492329</v>
      </c>
      <c r="AC13" s="427">
        <f t="shared" si="7"/>
        <v>1.0791426215993405</v>
      </c>
      <c r="AD13" s="427">
        <f t="shared" si="7"/>
        <v>1.081323673417143</v>
      </c>
      <c r="AE13" s="427">
        <f t="shared" si="7"/>
        <v>1.0908125853155821</v>
      </c>
      <c r="AF13" s="427">
        <f t="shared" si="7"/>
        <v>1.153364751154512</v>
      </c>
      <c r="AG13" s="427">
        <f t="shared" si="7"/>
        <v>1.1588014250158605</v>
      </c>
      <c r="AH13" s="427">
        <f t="shared" si="7"/>
        <v>1.1798466429263368</v>
      </c>
      <c r="AI13" s="427">
        <f t="shared" si="7"/>
        <v>1.1632580473057086</v>
      </c>
      <c r="AJ13" s="427">
        <f t="shared" si="7"/>
        <v>1.1291452592246614</v>
      </c>
      <c r="AK13" s="427">
        <f t="shared" si="7"/>
        <v>1.096029179629431</v>
      </c>
      <c r="AL13" s="427">
        <f t="shared" si="7"/>
        <v>1.1027227349454864</v>
      </c>
      <c r="AM13" s="427">
        <f t="shared" si="7"/>
        <v>1.0725992023756314</v>
      </c>
    </row>
    <row r="14" spans="2:39" x14ac:dyDescent="0.2">
      <c r="B14" s="417">
        <f t="shared" si="8"/>
        <v>41821</v>
      </c>
      <c r="C14" s="409">
        <v>4.4499319454619455</v>
      </c>
      <c r="D14" s="418">
        <f t="shared" si="0"/>
        <v>2014</v>
      </c>
      <c r="F14" s="411">
        <f t="shared" si="9"/>
        <v>2020</v>
      </c>
      <c r="G14" s="412">
        <f t="shared" si="1"/>
        <v>4.7300000000000004</v>
      </c>
      <c r="I14" s="60">
        <f t="shared" si="10"/>
        <v>7</v>
      </c>
      <c r="J14" s="441">
        <f t="shared" si="11"/>
        <v>2014</v>
      </c>
      <c r="K14" s="413">
        <f t="shared" si="2"/>
        <v>41821</v>
      </c>
      <c r="L14" s="414">
        <v>39.130000000000003</v>
      </c>
      <c r="M14" s="414">
        <v>51.762500000000003</v>
      </c>
      <c r="N14" s="414">
        <v>16.962499999999999</v>
      </c>
      <c r="O14" s="415">
        <v>35.445</v>
      </c>
      <c r="Q14" s="438">
        <v>44.568763440860216</v>
      </c>
      <c r="R14" s="440">
        <f t="shared" si="12"/>
        <v>1.161407586923191</v>
      </c>
      <c r="S14" s="440">
        <f t="shared" si="13"/>
        <v>0.79528793853644064</v>
      </c>
      <c r="U14" s="411">
        <f t="shared" si="14"/>
        <v>2020</v>
      </c>
      <c r="V14" s="416">
        <f t="shared" si="3"/>
        <v>47.05</v>
      </c>
      <c r="W14" s="416">
        <f t="shared" si="4"/>
        <v>48.91</v>
      </c>
      <c r="X14" s="416">
        <f t="shared" si="5"/>
        <v>37.590000000000003</v>
      </c>
      <c r="Y14" s="416">
        <f t="shared" si="6"/>
        <v>40.36</v>
      </c>
      <c r="AA14" s="378">
        <v>2020</v>
      </c>
      <c r="AB14" s="427">
        <f t="shared" si="15"/>
        <v>1.0867378490844233</v>
      </c>
      <c r="AC14" s="427">
        <f t="shared" si="7"/>
        <v>1.0833489769100808</v>
      </c>
      <c r="AD14" s="427">
        <f t="shared" si="7"/>
        <v>1.0864313337843579</v>
      </c>
      <c r="AE14" s="427">
        <f t="shared" si="7"/>
        <v>1.0949385364997788</v>
      </c>
      <c r="AF14" s="427">
        <f t="shared" si="7"/>
        <v>1.0914126641967072</v>
      </c>
      <c r="AG14" s="427">
        <f t="shared" si="7"/>
        <v>1.0852088563648856</v>
      </c>
      <c r="AH14" s="427">
        <f t="shared" si="7"/>
        <v>1.1165859250121333</v>
      </c>
      <c r="AI14" s="427">
        <f t="shared" si="7"/>
        <v>1.1102922850490344</v>
      </c>
      <c r="AJ14" s="427">
        <f t="shared" si="7"/>
        <v>1.0733896659790698</v>
      </c>
      <c r="AK14" s="427">
        <f t="shared" si="7"/>
        <v>1.0578823145346445</v>
      </c>
      <c r="AL14" s="427">
        <f t="shared" si="7"/>
        <v>1.063963068466774</v>
      </c>
      <c r="AM14" s="427">
        <f t="shared" si="7"/>
        <v>1.0384853974493977</v>
      </c>
    </row>
    <row r="15" spans="2:39" x14ac:dyDescent="0.2">
      <c r="B15" s="417">
        <f t="shared" si="8"/>
        <v>41852</v>
      </c>
      <c r="C15" s="409">
        <v>4.4885969841269846</v>
      </c>
      <c r="D15" s="418">
        <f t="shared" si="0"/>
        <v>2014</v>
      </c>
      <c r="F15" s="411">
        <f t="shared" si="9"/>
        <v>2021</v>
      </c>
      <c r="G15" s="412">
        <f t="shared" si="1"/>
        <v>5.1100000000000003</v>
      </c>
      <c r="I15" s="60">
        <f t="shared" si="10"/>
        <v>8</v>
      </c>
      <c r="J15" s="441">
        <f t="shared" si="11"/>
        <v>2014</v>
      </c>
      <c r="K15" s="413">
        <f t="shared" si="2"/>
        <v>41852</v>
      </c>
      <c r="L15" s="414">
        <v>50.505000000000003</v>
      </c>
      <c r="M15" s="414">
        <v>53.8125</v>
      </c>
      <c r="N15" s="414">
        <v>33.924999999999997</v>
      </c>
      <c r="O15" s="415">
        <v>35.097499999999997</v>
      </c>
      <c r="Q15" s="438">
        <v>45.561801075268818</v>
      </c>
      <c r="R15" s="440">
        <f t="shared" si="12"/>
        <v>1.181088076634655</v>
      </c>
      <c r="S15" s="440">
        <f t="shared" si="13"/>
        <v>0.7703273174389742</v>
      </c>
      <c r="U15" s="411">
        <f t="shared" si="14"/>
        <v>2021</v>
      </c>
      <c r="V15" s="416">
        <f t="shared" si="3"/>
        <v>47.93</v>
      </c>
      <c r="W15" s="416">
        <f t="shared" si="4"/>
        <v>49.46</v>
      </c>
      <c r="X15" s="416">
        <f t="shared" si="5"/>
        <v>40.340000000000003</v>
      </c>
      <c r="Y15" s="416">
        <f t="shared" si="6"/>
        <v>45.07</v>
      </c>
      <c r="AA15" s="378">
        <v>2021</v>
      </c>
      <c r="AB15" s="427">
        <f t="shared" si="15"/>
        <v>1.0537047839051752</v>
      </c>
      <c r="AC15" s="427">
        <f t="shared" si="7"/>
        <v>1.0461875700032675</v>
      </c>
      <c r="AD15" s="427">
        <f t="shared" si="7"/>
        <v>1.0502368202766108</v>
      </c>
      <c r="AE15" s="427">
        <f t="shared" si="7"/>
        <v>1.0587979625196686</v>
      </c>
      <c r="AF15" s="427">
        <f t="shared" si="7"/>
        <v>1.0302725095891443</v>
      </c>
      <c r="AG15" s="427">
        <f t="shared" si="7"/>
        <v>1.0376937539799578</v>
      </c>
      <c r="AH15" s="427">
        <f t="shared" si="7"/>
        <v>1.0587027332776284</v>
      </c>
      <c r="AI15" s="427">
        <f t="shared" si="7"/>
        <v>1.0548011502181984</v>
      </c>
      <c r="AJ15" s="427">
        <f t="shared" si="7"/>
        <v>1.0305120763595488</v>
      </c>
      <c r="AK15" s="427">
        <f t="shared" si="7"/>
        <v>1.0244639885562661</v>
      </c>
      <c r="AL15" s="427">
        <f t="shared" si="7"/>
        <v>1.0239097465609304</v>
      </c>
      <c r="AM15" s="427">
        <f t="shared" si="7"/>
        <v>1.0129684479278374</v>
      </c>
    </row>
    <row r="16" spans="2:39" x14ac:dyDescent="0.2">
      <c r="B16" s="417">
        <f t="shared" si="8"/>
        <v>41883</v>
      </c>
      <c r="C16" s="409">
        <v>4.4305994261294259</v>
      </c>
      <c r="D16" s="418">
        <f t="shared" si="0"/>
        <v>2014</v>
      </c>
      <c r="F16" s="411">
        <f t="shared" si="9"/>
        <v>2022</v>
      </c>
      <c r="G16" s="412">
        <f t="shared" si="1"/>
        <v>5.35</v>
      </c>
      <c r="I16" s="60">
        <f t="shared" si="10"/>
        <v>9</v>
      </c>
      <c r="J16" s="441">
        <f t="shared" si="11"/>
        <v>2014</v>
      </c>
      <c r="K16" s="413">
        <f t="shared" si="2"/>
        <v>41883</v>
      </c>
      <c r="L16" s="414">
        <v>46.865000000000002</v>
      </c>
      <c r="M16" s="414">
        <v>48.174999999999997</v>
      </c>
      <c r="N16" s="414">
        <v>35.362499999999997</v>
      </c>
      <c r="O16" s="415">
        <v>33.707500000000003</v>
      </c>
      <c r="Q16" s="438">
        <v>41.745000000000005</v>
      </c>
      <c r="R16" s="440">
        <f t="shared" si="12"/>
        <v>1.1540304228051261</v>
      </c>
      <c r="S16" s="440">
        <f t="shared" si="13"/>
        <v>0.807461971493592</v>
      </c>
      <c r="U16" s="411">
        <f t="shared" si="14"/>
        <v>2022</v>
      </c>
      <c r="V16" s="416">
        <f t="shared" si="3"/>
        <v>49.43</v>
      </c>
      <c r="W16" s="416">
        <f t="shared" si="4"/>
        <v>50.71</v>
      </c>
      <c r="X16" s="416">
        <f t="shared" si="5"/>
        <v>41.87</v>
      </c>
      <c r="Y16" s="416">
        <f t="shared" si="6"/>
        <v>47.21</v>
      </c>
      <c r="AA16" s="378">
        <v>2022</v>
      </c>
      <c r="AB16" s="427">
        <f t="shared" si="15"/>
        <v>1.0183065044688042</v>
      </c>
      <c r="AC16" s="427">
        <f t="shared" si="7"/>
        <v>1.010359387313206</v>
      </c>
      <c r="AD16" s="427">
        <f t="shared" si="7"/>
        <v>1.018399291356199</v>
      </c>
      <c r="AE16" s="427">
        <f t="shared" si="7"/>
        <v>1.0219743906073271</v>
      </c>
      <c r="AF16" s="427">
        <f t="shared" si="7"/>
        <v>1.0232409538203566</v>
      </c>
      <c r="AG16" s="427">
        <f t="shared" si="7"/>
        <v>1.0459053937947611</v>
      </c>
      <c r="AH16" s="427">
        <f t="shared" si="7"/>
        <v>1.0646896329661575</v>
      </c>
      <c r="AI16" s="427">
        <f t="shared" si="7"/>
        <v>1.0600186894670978</v>
      </c>
      <c r="AJ16" s="427">
        <f t="shared" si="7"/>
        <v>1.0351027884999284</v>
      </c>
      <c r="AK16" s="427">
        <f t="shared" si="7"/>
        <v>1.0270274831272366</v>
      </c>
      <c r="AL16" s="427">
        <f t="shared" si="7"/>
        <v>1.0219650379544594</v>
      </c>
      <c r="AM16" s="427">
        <f t="shared" si="7"/>
        <v>1.0174970926611444</v>
      </c>
    </row>
    <row r="17" spans="2:39" x14ac:dyDescent="0.2">
      <c r="B17" s="417">
        <f t="shared" si="8"/>
        <v>41913</v>
      </c>
      <c r="C17" s="409">
        <v>4.419406914936916</v>
      </c>
      <c r="D17" s="418">
        <f t="shared" si="0"/>
        <v>2014</v>
      </c>
      <c r="F17" s="411">
        <f t="shared" si="9"/>
        <v>2023</v>
      </c>
      <c r="G17" s="412">
        <f t="shared" si="1"/>
        <v>5.54</v>
      </c>
      <c r="I17" s="60">
        <f t="shared" si="10"/>
        <v>10</v>
      </c>
      <c r="J17" s="441">
        <f t="shared" si="11"/>
        <v>2014</v>
      </c>
      <c r="K17" s="413">
        <f t="shared" si="2"/>
        <v>41913</v>
      </c>
      <c r="L17" s="414">
        <v>43.225000000000001</v>
      </c>
      <c r="M17" s="414">
        <v>42.585000000000001</v>
      </c>
      <c r="N17" s="414">
        <v>35.72</v>
      </c>
      <c r="O17" s="415">
        <v>34.340000000000003</v>
      </c>
      <c r="Q17" s="438">
        <v>39.127419354838707</v>
      </c>
      <c r="R17" s="440">
        <f t="shared" si="12"/>
        <v>1.0883672039243169</v>
      </c>
      <c r="S17" s="440">
        <f t="shared" si="13"/>
        <v>0.8776454099509462</v>
      </c>
      <c r="U17" s="411">
        <f t="shared" si="14"/>
        <v>2023</v>
      </c>
      <c r="V17" s="416">
        <f t="shared" si="3"/>
        <v>51.32</v>
      </c>
      <c r="W17" s="416">
        <f t="shared" si="4"/>
        <v>52.34</v>
      </c>
      <c r="X17" s="416">
        <f t="shared" si="5"/>
        <v>43.42</v>
      </c>
      <c r="Y17" s="416">
        <f t="shared" si="6"/>
        <v>48.89</v>
      </c>
      <c r="AA17" s="378">
        <v>2023</v>
      </c>
      <c r="AB17" s="427">
        <f t="shared" si="15"/>
        <v>1.0158838107351709</v>
      </c>
      <c r="AC17" s="427">
        <f t="shared" si="7"/>
        <v>1.0114687901285861</v>
      </c>
      <c r="AD17" s="427">
        <f t="shared" si="7"/>
        <v>1.0113222574975471</v>
      </c>
      <c r="AE17" s="427">
        <f t="shared" si="7"/>
        <v>1.0117653795673669</v>
      </c>
      <c r="AF17" s="427">
        <f t="shared" si="7"/>
        <v>1.0273504374266682</v>
      </c>
      <c r="AG17" s="427">
        <f t="shared" si="7"/>
        <v>1.0486287054768864</v>
      </c>
      <c r="AH17" s="427">
        <f t="shared" si="7"/>
        <v>1.06802090003844</v>
      </c>
      <c r="AI17" s="427">
        <f t="shared" si="7"/>
        <v>1.0602576220638196</v>
      </c>
      <c r="AJ17" s="427">
        <f t="shared" si="7"/>
        <v>1.0252669232748253</v>
      </c>
      <c r="AK17" s="427">
        <f t="shared" si="7"/>
        <v>1.0285654778183364</v>
      </c>
      <c r="AL17" s="427">
        <f t="shared" si="7"/>
        <v>1.0204528762592966</v>
      </c>
      <c r="AM17" s="427">
        <f t="shared" si="7"/>
        <v>1.0182011413852534</v>
      </c>
    </row>
    <row r="18" spans="2:39" x14ac:dyDescent="0.2">
      <c r="B18" s="417">
        <f t="shared" si="8"/>
        <v>41944</v>
      </c>
      <c r="C18" s="409">
        <v>4.6168021123321132</v>
      </c>
      <c r="D18" s="418">
        <f t="shared" si="0"/>
        <v>2014</v>
      </c>
      <c r="F18" s="411">
        <f t="shared" si="9"/>
        <v>2024</v>
      </c>
      <c r="G18" s="412">
        <f t="shared" si="1"/>
        <v>5.73</v>
      </c>
      <c r="I18" s="60">
        <f t="shared" si="10"/>
        <v>11</v>
      </c>
      <c r="J18" s="441">
        <f t="shared" si="11"/>
        <v>2014</v>
      </c>
      <c r="K18" s="413">
        <f t="shared" si="2"/>
        <v>41944</v>
      </c>
      <c r="L18" s="414">
        <v>43.68</v>
      </c>
      <c r="M18" s="414">
        <v>41.332500000000003</v>
      </c>
      <c r="N18" s="414">
        <v>36.86</v>
      </c>
      <c r="O18" s="415">
        <v>34</v>
      </c>
      <c r="Q18" s="438">
        <v>37.905242718446601</v>
      </c>
      <c r="R18" s="440">
        <f t="shared" si="12"/>
        <v>1.0904164446857776</v>
      </c>
      <c r="S18" s="440">
        <f t="shared" si="13"/>
        <v>0.89697354670819418</v>
      </c>
      <c r="U18" s="411">
        <f t="shared" si="14"/>
        <v>2024</v>
      </c>
      <c r="V18" s="416">
        <f t="shared" si="3"/>
        <v>53.32</v>
      </c>
      <c r="W18" s="416">
        <f t="shared" si="4"/>
        <v>54.36</v>
      </c>
      <c r="X18" s="416">
        <f t="shared" si="5"/>
        <v>45.26</v>
      </c>
      <c r="Y18" s="416">
        <f t="shared" si="6"/>
        <v>50.66</v>
      </c>
      <c r="AA18" s="378">
        <v>2024</v>
      </c>
      <c r="AB18" s="427">
        <f t="shared" si="15"/>
        <v>1.0150442207192829</v>
      </c>
      <c r="AC18" s="427">
        <f t="shared" si="7"/>
        <v>1.0087301816224119</v>
      </c>
      <c r="AD18" s="427">
        <f t="shared" si="7"/>
        <v>1.0090689931942158</v>
      </c>
      <c r="AE18" s="427">
        <f t="shared" si="7"/>
        <v>1.0228567840840255</v>
      </c>
      <c r="AF18" s="427">
        <f t="shared" si="7"/>
        <v>1.0225208663102943</v>
      </c>
      <c r="AG18" s="427">
        <f t="shared" si="7"/>
        <v>1.0428029199612281</v>
      </c>
      <c r="AH18" s="427">
        <f t="shared" si="7"/>
        <v>1.0655941733781078</v>
      </c>
      <c r="AI18" s="427">
        <f t="shared" si="7"/>
        <v>1.0643754427165242</v>
      </c>
      <c r="AJ18" s="427">
        <f t="shared" si="7"/>
        <v>1.0438056914162404</v>
      </c>
      <c r="AK18" s="427">
        <f t="shared" si="7"/>
        <v>1.0224404038809565</v>
      </c>
      <c r="AL18" s="427">
        <f t="shared" si="7"/>
        <v>1.0232365522854583</v>
      </c>
      <c r="AM18" s="427">
        <f t="shared" si="7"/>
        <v>1.0171049167136055</v>
      </c>
    </row>
    <row r="19" spans="2:39" x14ac:dyDescent="0.2">
      <c r="B19" s="419">
        <f t="shared" si="8"/>
        <v>41974</v>
      </c>
      <c r="C19" s="420">
        <v>4.7317797273097275</v>
      </c>
      <c r="D19" s="421">
        <f t="shared" si="0"/>
        <v>2014</v>
      </c>
      <c r="F19" s="411">
        <f t="shared" si="9"/>
        <v>2025</v>
      </c>
      <c r="G19" s="412">
        <f t="shared" si="1"/>
        <v>5.87</v>
      </c>
      <c r="I19" s="60">
        <f t="shared" si="10"/>
        <v>12</v>
      </c>
      <c r="J19" s="441">
        <f t="shared" si="11"/>
        <v>2014</v>
      </c>
      <c r="K19" s="422">
        <f t="shared" si="2"/>
        <v>41974</v>
      </c>
      <c r="L19" s="423">
        <v>49.594999999999999</v>
      </c>
      <c r="M19" s="423">
        <v>41.332500000000003</v>
      </c>
      <c r="N19" s="423">
        <v>41.42</v>
      </c>
      <c r="O19" s="424">
        <v>33.659999999999997</v>
      </c>
      <c r="Q19" s="438">
        <v>37.949999999999996</v>
      </c>
      <c r="R19" s="440">
        <f t="shared" si="12"/>
        <v>1.089130434782609</v>
      </c>
      <c r="S19" s="440">
        <f t="shared" si="13"/>
        <v>0.88695652173913042</v>
      </c>
      <c r="U19" s="411">
        <f t="shared" si="14"/>
        <v>2025</v>
      </c>
      <c r="V19" s="416">
        <f t="shared" si="3"/>
        <v>55</v>
      </c>
      <c r="W19" s="416">
        <f t="shared" si="4"/>
        <v>55.74</v>
      </c>
      <c r="X19" s="416">
        <f t="shared" si="5"/>
        <v>46.57</v>
      </c>
      <c r="Y19" s="416">
        <f t="shared" si="6"/>
        <v>51.79</v>
      </c>
      <c r="AA19" s="378">
        <v>2025</v>
      </c>
      <c r="AB19" s="427">
        <f t="shared" si="15"/>
        <v>1.01737759290741</v>
      </c>
      <c r="AC19" s="427">
        <f t="shared" si="7"/>
        <v>1.0120056643066444</v>
      </c>
      <c r="AD19" s="427">
        <f t="shared" si="7"/>
        <v>1.0142548722567992</v>
      </c>
      <c r="AE19" s="427">
        <f t="shared" si="7"/>
        <v>1.0177477523533047</v>
      </c>
      <c r="AF19" s="427">
        <f t="shared" si="7"/>
        <v>1.0211719609086842</v>
      </c>
      <c r="AG19" s="427">
        <f t="shared" si="7"/>
        <v>1.0481581280582779</v>
      </c>
      <c r="AH19" s="427">
        <f t="shared" si="7"/>
        <v>1.0686428331817441</v>
      </c>
      <c r="AI19" s="427">
        <f t="shared" si="7"/>
        <v>1.0669712895166517</v>
      </c>
      <c r="AJ19" s="427">
        <f t="shared" si="7"/>
        <v>1.0453200536600089</v>
      </c>
      <c r="AK19" s="427">
        <f t="shared" si="7"/>
        <v>1.021431787599151</v>
      </c>
      <c r="AL19" s="427">
        <f t="shared" si="7"/>
        <v>1.0235326535356446</v>
      </c>
      <c r="AM19" s="427">
        <f t="shared" si="7"/>
        <v>1.017851048401776</v>
      </c>
    </row>
    <row r="20" spans="2:39" x14ac:dyDescent="0.2">
      <c r="B20" s="408">
        <f>EDATE(B19,1)</f>
        <v>42005</v>
      </c>
      <c r="C20" s="409">
        <v>4.821319816849817</v>
      </c>
      <c r="D20" s="410">
        <f t="shared" si="0"/>
        <v>2015</v>
      </c>
      <c r="F20" s="411">
        <f t="shared" si="9"/>
        <v>2026</v>
      </c>
      <c r="G20" s="412">
        <f t="shared" si="1"/>
        <v>6.06</v>
      </c>
      <c r="I20" s="60">
        <f t="shared" si="10"/>
        <v>1</v>
      </c>
      <c r="J20" s="441">
        <f t="shared" si="11"/>
        <v>2015</v>
      </c>
      <c r="K20" s="413">
        <f t="shared" si="2"/>
        <v>42005</v>
      </c>
      <c r="L20" s="425">
        <v>45.207500000000003</v>
      </c>
      <c r="M20" s="425">
        <v>42.167499999999997</v>
      </c>
      <c r="N20" s="425">
        <v>37.18</v>
      </c>
      <c r="O20" s="426">
        <v>33.835000000000001</v>
      </c>
      <c r="Q20" s="438">
        <v>38.494032258064514</v>
      </c>
      <c r="R20" s="440">
        <f t="shared" si="12"/>
        <v>1.0954295387219635</v>
      </c>
      <c r="S20" s="440">
        <f t="shared" si="13"/>
        <v>0.87896741430385106</v>
      </c>
      <c r="U20" s="411">
        <f t="shared" si="14"/>
        <v>2026</v>
      </c>
      <c r="V20" s="416">
        <f t="shared" si="3"/>
        <v>56.78</v>
      </c>
      <c r="W20" s="416">
        <f t="shared" si="4"/>
        <v>57.47</v>
      </c>
      <c r="X20" s="416">
        <f t="shared" si="5"/>
        <v>48.19</v>
      </c>
      <c r="Y20" s="416">
        <f t="shared" si="6"/>
        <v>53.64</v>
      </c>
      <c r="AA20" s="378">
        <v>2026</v>
      </c>
      <c r="AB20" s="427">
        <f t="shared" si="15"/>
        <v>1.0133451889203846</v>
      </c>
      <c r="AC20" s="427">
        <f t="shared" si="7"/>
        <v>1.0066622661760958</v>
      </c>
      <c r="AD20" s="427">
        <f t="shared" si="7"/>
        <v>1.0112175242448938</v>
      </c>
      <c r="AE20" s="427">
        <f t="shared" si="7"/>
        <v>1.0078062784164259</v>
      </c>
      <c r="AF20" s="427">
        <f t="shared" si="7"/>
        <v>1.0218052594722247</v>
      </c>
      <c r="AG20" s="427">
        <f t="shared" si="7"/>
        <v>1.047065440051778</v>
      </c>
      <c r="AH20" s="427">
        <f t="shared" si="7"/>
        <v>1.0706940228505166</v>
      </c>
      <c r="AI20" s="427">
        <f t="shared" si="7"/>
        <v>1.0677904765128532</v>
      </c>
      <c r="AJ20" s="427">
        <f t="shared" si="7"/>
        <v>1.0380325565640161</v>
      </c>
      <c r="AK20" s="427">
        <f t="shared" si="7"/>
        <v>1.0236260958421848</v>
      </c>
      <c r="AL20" s="427">
        <f t="shared" si="7"/>
        <v>1.0230849218796425</v>
      </c>
      <c r="AM20" s="427">
        <f t="shared" si="7"/>
        <v>1.0176192940918733</v>
      </c>
    </row>
    <row r="21" spans="2:39" x14ac:dyDescent="0.2">
      <c r="B21" s="417">
        <f t="shared" si="8"/>
        <v>42036</v>
      </c>
      <c r="C21" s="409">
        <v>4.7785847741147744</v>
      </c>
      <c r="D21" s="418">
        <f t="shared" si="0"/>
        <v>2015</v>
      </c>
      <c r="F21" s="411">
        <f t="shared" si="9"/>
        <v>2027</v>
      </c>
      <c r="G21" s="412">
        <f t="shared" si="1"/>
        <v>6.3</v>
      </c>
      <c r="I21" s="60">
        <f t="shared" si="10"/>
        <v>2</v>
      </c>
      <c r="J21" s="441">
        <f t="shared" si="11"/>
        <v>2015</v>
      </c>
      <c r="K21" s="413">
        <f t="shared" si="2"/>
        <v>42036</v>
      </c>
      <c r="L21" s="414">
        <v>42.25</v>
      </c>
      <c r="M21" s="414">
        <v>41.75</v>
      </c>
      <c r="N21" s="414">
        <v>36.107500000000002</v>
      </c>
      <c r="O21" s="415">
        <v>33.5</v>
      </c>
      <c r="Q21" s="438">
        <v>38.214285714285715</v>
      </c>
      <c r="R21" s="440">
        <f t="shared" si="12"/>
        <v>1.0925233644859813</v>
      </c>
      <c r="S21" s="440">
        <f t="shared" si="13"/>
        <v>0.87663551401869155</v>
      </c>
      <c r="U21" s="411">
        <f t="shared" si="14"/>
        <v>2027</v>
      </c>
      <c r="V21" s="416">
        <f t="shared" si="3"/>
        <v>58.68</v>
      </c>
      <c r="W21" s="416">
        <f t="shared" si="4"/>
        <v>59.93</v>
      </c>
      <c r="X21" s="416">
        <f t="shared" si="5"/>
        <v>49.99</v>
      </c>
      <c r="Y21" s="416">
        <f t="shared" si="6"/>
        <v>55.76</v>
      </c>
    </row>
    <row r="22" spans="2:39" x14ac:dyDescent="0.2">
      <c r="B22" s="417">
        <f t="shared" si="8"/>
        <v>42064</v>
      </c>
      <c r="C22" s="409">
        <v>4.6697121652421654</v>
      </c>
      <c r="D22" s="418">
        <f t="shared" si="0"/>
        <v>2015</v>
      </c>
      <c r="F22" s="411">
        <f t="shared" si="9"/>
        <v>2028</v>
      </c>
      <c r="G22" s="412">
        <f t="shared" si="1"/>
        <v>6.54</v>
      </c>
      <c r="I22" s="60">
        <f t="shared" si="10"/>
        <v>3</v>
      </c>
      <c r="J22" s="441">
        <f t="shared" si="11"/>
        <v>2015</v>
      </c>
      <c r="K22" s="413">
        <f t="shared" si="2"/>
        <v>42064</v>
      </c>
      <c r="L22" s="414">
        <v>39.292499999999997</v>
      </c>
      <c r="M22" s="414">
        <v>41.332500000000003</v>
      </c>
      <c r="N22" s="414">
        <v>33.962499999999999</v>
      </c>
      <c r="O22" s="415">
        <v>33.164999999999999</v>
      </c>
      <c r="Q22" s="438">
        <v>37.737920592193809</v>
      </c>
      <c r="R22" s="440">
        <f t="shared" si="12"/>
        <v>1.0952511254303117</v>
      </c>
      <c r="S22" s="440">
        <f t="shared" si="13"/>
        <v>0.87882425633330385</v>
      </c>
      <c r="U22" s="411">
        <f t="shared" si="14"/>
        <v>2028</v>
      </c>
      <c r="V22" s="416">
        <f t="shared" si="3"/>
        <v>61.11</v>
      </c>
      <c r="W22" s="416">
        <f t="shared" si="4"/>
        <v>61.87</v>
      </c>
      <c r="X22" s="416">
        <f t="shared" si="5"/>
        <v>52.1</v>
      </c>
      <c r="Y22" s="416">
        <f t="shared" si="6"/>
        <v>57.56</v>
      </c>
    </row>
    <row r="23" spans="2:39" x14ac:dyDescent="0.2">
      <c r="B23" s="417">
        <f t="shared" si="8"/>
        <v>42095</v>
      </c>
      <c r="C23" s="409">
        <v>3.9228664183964184</v>
      </c>
      <c r="D23" s="418">
        <f t="shared" si="0"/>
        <v>2015</v>
      </c>
      <c r="F23" s="411">
        <f t="shared" si="9"/>
        <v>2029</v>
      </c>
      <c r="G23" s="412">
        <f t="shared" si="1"/>
        <v>6.83</v>
      </c>
      <c r="I23" s="60">
        <f t="shared" si="10"/>
        <v>4</v>
      </c>
      <c r="J23" s="441">
        <f t="shared" si="11"/>
        <v>2015</v>
      </c>
      <c r="K23" s="413">
        <f t="shared" si="2"/>
        <v>42095</v>
      </c>
      <c r="L23" s="414">
        <v>36.075000000000003</v>
      </c>
      <c r="M23" s="414">
        <v>40.424999999999997</v>
      </c>
      <c r="N23" s="414">
        <v>22.88</v>
      </c>
      <c r="O23" s="415">
        <v>31.672499999999999</v>
      </c>
      <c r="Q23" s="438">
        <v>36.729500000000002</v>
      </c>
      <c r="R23" s="440">
        <f t="shared" si="12"/>
        <v>1.1006139479165247</v>
      </c>
      <c r="S23" s="440">
        <f t="shared" si="13"/>
        <v>0.86231775548265011</v>
      </c>
      <c r="U23" s="411">
        <f t="shared" si="14"/>
        <v>2029</v>
      </c>
      <c r="V23" s="416">
        <f t="shared" si="3"/>
        <v>63.52</v>
      </c>
      <c r="W23" s="416">
        <f t="shared" si="4"/>
        <v>64.540000000000006</v>
      </c>
      <c r="X23" s="416">
        <f t="shared" si="5"/>
        <v>54.23</v>
      </c>
      <c r="Y23" s="416">
        <f t="shared" si="6"/>
        <v>60.01</v>
      </c>
    </row>
    <row r="24" spans="2:39" x14ac:dyDescent="0.2">
      <c r="B24" s="417">
        <f t="shared" si="8"/>
        <v>42125</v>
      </c>
      <c r="C24" s="409">
        <v>3.8106360561660559</v>
      </c>
      <c r="D24" s="418">
        <f t="shared" si="0"/>
        <v>2015</v>
      </c>
      <c r="F24" s="411">
        <f t="shared" si="9"/>
        <v>2030</v>
      </c>
      <c r="G24" s="412">
        <f t="shared" si="1"/>
        <v>7.12</v>
      </c>
      <c r="I24" s="60">
        <f t="shared" si="10"/>
        <v>5</v>
      </c>
      <c r="J24" s="441">
        <f t="shared" si="11"/>
        <v>2015</v>
      </c>
      <c r="K24" s="413">
        <f t="shared" si="2"/>
        <v>42125</v>
      </c>
      <c r="L24" s="414">
        <v>24.975000000000001</v>
      </c>
      <c r="M24" s="414">
        <v>36.75</v>
      </c>
      <c r="N24" s="414">
        <v>9.6199999999999992</v>
      </c>
      <c r="O24" s="415">
        <v>24.204999999999998</v>
      </c>
      <c r="Q24" s="438">
        <v>30.949623655913978</v>
      </c>
      <c r="R24" s="440">
        <f t="shared" si="12"/>
        <v>1.1874134693388319</v>
      </c>
      <c r="S24" s="440">
        <f t="shared" si="13"/>
        <v>0.78207736123391636</v>
      </c>
      <c r="U24" s="411">
        <f t="shared" si="14"/>
        <v>2030</v>
      </c>
      <c r="V24" s="416">
        <f t="shared" si="3"/>
        <v>65.959999999999994</v>
      </c>
      <c r="W24" s="416">
        <f t="shared" si="4"/>
        <v>67.150000000000006</v>
      </c>
      <c r="X24" s="416">
        <f t="shared" si="5"/>
        <v>56.53</v>
      </c>
      <c r="Y24" s="416">
        <f t="shared" si="6"/>
        <v>62.34</v>
      </c>
      <c r="AA24" s="378" t="s">
        <v>309</v>
      </c>
      <c r="AB24" s="378">
        <v>1</v>
      </c>
      <c r="AC24" s="378">
        <v>2</v>
      </c>
      <c r="AD24" s="378">
        <v>3</v>
      </c>
      <c r="AE24" s="378">
        <v>4</v>
      </c>
      <c r="AF24" s="378">
        <v>5</v>
      </c>
      <c r="AG24" s="378">
        <v>6</v>
      </c>
      <c r="AH24" s="378">
        <v>7</v>
      </c>
      <c r="AI24" s="378">
        <v>8</v>
      </c>
      <c r="AJ24" s="378">
        <v>9</v>
      </c>
      <c r="AK24" s="378">
        <v>10</v>
      </c>
      <c r="AL24" s="378">
        <v>11</v>
      </c>
      <c r="AM24" s="378">
        <v>12</v>
      </c>
    </row>
    <row r="25" spans="2:39" x14ac:dyDescent="0.2">
      <c r="B25" s="417">
        <f t="shared" si="8"/>
        <v>42156</v>
      </c>
      <c r="C25" s="409">
        <v>3.9910389865689866</v>
      </c>
      <c r="D25" s="418">
        <f t="shared" si="0"/>
        <v>2015</v>
      </c>
      <c r="F25" s="411">
        <f t="shared" si="9"/>
        <v>2031</v>
      </c>
      <c r="G25" s="412">
        <f t="shared" si="1"/>
        <v>7.27</v>
      </c>
      <c r="I25" s="60">
        <f t="shared" si="10"/>
        <v>6</v>
      </c>
      <c r="J25" s="441">
        <f t="shared" si="11"/>
        <v>2015</v>
      </c>
      <c r="K25" s="413">
        <f t="shared" si="2"/>
        <v>42156</v>
      </c>
      <c r="L25" s="414">
        <v>22.2</v>
      </c>
      <c r="M25" s="414">
        <v>33.075000000000003</v>
      </c>
      <c r="N25" s="414">
        <v>6.5</v>
      </c>
      <c r="O25" s="415">
        <v>21.372499999999999</v>
      </c>
      <c r="Q25" s="438">
        <v>28.133944444444449</v>
      </c>
      <c r="R25" s="440">
        <f t="shared" si="12"/>
        <v>1.1756261218654411</v>
      </c>
      <c r="S25" s="440">
        <f t="shared" si="13"/>
        <v>0.75966951744729072</v>
      </c>
      <c r="U25" s="411">
        <f t="shared" si="14"/>
        <v>2031</v>
      </c>
      <c r="V25" s="416">
        <f t="shared" si="3"/>
        <v>67.06</v>
      </c>
      <c r="W25" s="416">
        <f t="shared" si="4"/>
        <v>68.48</v>
      </c>
      <c r="X25" s="416">
        <f t="shared" si="5"/>
        <v>57.72</v>
      </c>
      <c r="Y25" s="416">
        <f t="shared" si="6"/>
        <v>63.49</v>
      </c>
      <c r="AB25" s="378" t="s">
        <v>48</v>
      </c>
      <c r="AC25" s="378" t="s">
        <v>49</v>
      </c>
      <c r="AD25" s="378" t="s">
        <v>50</v>
      </c>
      <c r="AE25" s="378" t="s">
        <v>51</v>
      </c>
      <c r="AF25" s="378" t="s">
        <v>52</v>
      </c>
      <c r="AG25" s="378" t="s">
        <v>53</v>
      </c>
      <c r="AH25" s="378" t="s">
        <v>54</v>
      </c>
      <c r="AI25" s="378" t="s">
        <v>55</v>
      </c>
      <c r="AJ25" s="378" t="s">
        <v>56</v>
      </c>
      <c r="AK25" s="378" t="s">
        <v>57</v>
      </c>
      <c r="AL25" s="378" t="s">
        <v>58</v>
      </c>
      <c r="AM25" s="378" t="s">
        <v>59</v>
      </c>
    </row>
    <row r="26" spans="2:39" x14ac:dyDescent="0.2">
      <c r="B26" s="417">
        <f t="shared" si="8"/>
        <v>42186</v>
      </c>
      <c r="C26" s="409">
        <v>3.9442339397639397</v>
      </c>
      <c r="D26" s="418">
        <f t="shared" si="0"/>
        <v>2015</v>
      </c>
      <c r="F26" s="411">
        <f t="shared" si="9"/>
        <v>2032</v>
      </c>
      <c r="G26" s="412">
        <f t="shared" si="1"/>
        <v>7.41</v>
      </c>
      <c r="I26" s="60">
        <f t="shared" si="10"/>
        <v>7</v>
      </c>
      <c r="J26" s="441">
        <f t="shared" si="11"/>
        <v>2015</v>
      </c>
      <c r="K26" s="413">
        <f t="shared" si="2"/>
        <v>42186</v>
      </c>
      <c r="L26" s="414">
        <v>40.655000000000001</v>
      </c>
      <c r="M26" s="414">
        <v>49.29</v>
      </c>
      <c r="N26" s="414">
        <v>20.625</v>
      </c>
      <c r="O26" s="415">
        <v>30.5</v>
      </c>
      <c r="Q26" s="438">
        <v>41.006236559139786</v>
      </c>
      <c r="R26" s="440">
        <f t="shared" si="12"/>
        <v>1.2020122824222907</v>
      </c>
      <c r="S26" s="440">
        <f t="shared" si="13"/>
        <v>0.74378930034246038</v>
      </c>
      <c r="U26" s="411">
        <f t="shared" si="14"/>
        <v>2032</v>
      </c>
      <c r="V26" s="416">
        <f t="shared" si="3"/>
        <v>68.319999999999993</v>
      </c>
      <c r="W26" s="416">
        <f t="shared" si="4"/>
        <v>69.739999999999995</v>
      </c>
      <c r="X26" s="416">
        <f t="shared" si="5"/>
        <v>59.06</v>
      </c>
      <c r="Y26" s="416">
        <f t="shared" si="6"/>
        <v>64.819999999999993</v>
      </c>
      <c r="AA26" s="378">
        <v>2014</v>
      </c>
      <c r="AB26" s="427">
        <f>SUMIFS($S:$S,$J:$J,$AA26,$I:$I,AB$6)</f>
        <v>0.90960640184676111</v>
      </c>
      <c r="AC26" s="427">
        <f t="shared" ref="AC26:AM38" si="16">SUMIFS($S:$S,$J:$J,$AA26,$I:$I,AC$6)</f>
        <v>0.87228503400607849</v>
      </c>
      <c r="AD26" s="427">
        <f t="shared" si="16"/>
        <v>0.86744320298128685</v>
      </c>
      <c r="AE26" s="427">
        <f t="shared" si="16"/>
        <v>0.8430097538318625</v>
      </c>
      <c r="AF26" s="427">
        <f t="shared" si="16"/>
        <v>0.80943655519926705</v>
      </c>
      <c r="AG26" s="427">
        <f t="shared" si="16"/>
        <v>0.78260869565217384</v>
      </c>
      <c r="AH26" s="427">
        <f t="shared" si="16"/>
        <v>0.79528793853644064</v>
      </c>
      <c r="AI26" s="427">
        <f t="shared" si="16"/>
        <v>0.7703273174389742</v>
      </c>
      <c r="AJ26" s="427">
        <f t="shared" si="16"/>
        <v>0.807461971493592</v>
      </c>
      <c r="AK26" s="427">
        <f t="shared" si="16"/>
        <v>0.8776454099509462</v>
      </c>
      <c r="AL26" s="427">
        <f t="shared" si="16"/>
        <v>0.89697354670819418</v>
      </c>
      <c r="AM26" s="427">
        <f t="shared" si="16"/>
        <v>0.88695652173913042</v>
      </c>
    </row>
    <row r="27" spans="2:39" x14ac:dyDescent="0.2">
      <c r="B27" s="417">
        <f t="shared" si="8"/>
        <v>42217</v>
      </c>
      <c r="C27" s="409">
        <v>3.9465741921041921</v>
      </c>
      <c r="D27" s="418">
        <f t="shared" si="0"/>
        <v>2015</v>
      </c>
      <c r="F27" s="411">
        <f t="shared" si="9"/>
        <v>2033</v>
      </c>
      <c r="G27" s="412">
        <f t="shared" si="1"/>
        <v>7.56</v>
      </c>
      <c r="I27" s="60">
        <f t="shared" si="10"/>
        <v>8</v>
      </c>
      <c r="J27" s="441">
        <f t="shared" si="11"/>
        <v>2015</v>
      </c>
      <c r="K27" s="413">
        <f t="shared" si="2"/>
        <v>42217</v>
      </c>
      <c r="L27" s="414">
        <v>45.412500000000001</v>
      </c>
      <c r="M27" s="414">
        <v>48.36</v>
      </c>
      <c r="N27" s="414">
        <v>30.25</v>
      </c>
      <c r="O27" s="415">
        <v>30.5</v>
      </c>
      <c r="Q27" s="438">
        <v>40.48623655913979</v>
      </c>
      <c r="R27" s="440">
        <f t="shared" si="12"/>
        <v>1.1944800038244776</v>
      </c>
      <c r="S27" s="440">
        <f t="shared" si="13"/>
        <v>0.75334243417383306</v>
      </c>
      <c r="U27" s="411">
        <f t="shared" si="14"/>
        <v>2033</v>
      </c>
      <c r="V27" s="416">
        <f t="shared" si="3"/>
        <v>69.459999999999994</v>
      </c>
      <c r="W27" s="416">
        <f t="shared" si="4"/>
        <v>71.31</v>
      </c>
      <c r="X27" s="416">
        <f t="shared" si="5"/>
        <v>60.43</v>
      </c>
      <c r="Y27" s="416">
        <f t="shared" si="6"/>
        <v>66.17</v>
      </c>
      <c r="AA27" s="378">
        <v>2015</v>
      </c>
      <c r="AB27" s="427">
        <f t="shared" ref="AB27:AB38" si="17">SUMIFS($S:$S,$J:$J,$AA27,$I:$I,AB$6)</f>
        <v>0.87896741430385106</v>
      </c>
      <c r="AC27" s="427">
        <f t="shared" si="16"/>
        <v>0.87663551401869155</v>
      </c>
      <c r="AD27" s="427">
        <f t="shared" si="16"/>
        <v>0.87882425633330385</v>
      </c>
      <c r="AE27" s="427">
        <f t="shared" si="16"/>
        <v>0.86231775548265011</v>
      </c>
      <c r="AF27" s="427">
        <f t="shared" si="16"/>
        <v>0.78207736123391636</v>
      </c>
      <c r="AG27" s="427">
        <f t="shared" si="16"/>
        <v>0.75966951744729072</v>
      </c>
      <c r="AH27" s="427">
        <f t="shared" si="16"/>
        <v>0.74378930034246038</v>
      </c>
      <c r="AI27" s="427">
        <f t="shared" si="16"/>
        <v>0.75334243417383306</v>
      </c>
      <c r="AJ27" s="427">
        <f t="shared" si="16"/>
        <v>0.82867924528301884</v>
      </c>
      <c r="AK27" s="427">
        <f t="shared" si="16"/>
        <v>0.86323996848596818</v>
      </c>
      <c r="AL27" s="427">
        <f t="shared" si="16"/>
        <v>0.87281455758480686</v>
      </c>
      <c r="AM27" s="427">
        <f t="shared" si="16"/>
        <v>0.91643535427319223</v>
      </c>
    </row>
    <row r="28" spans="2:39" x14ac:dyDescent="0.2">
      <c r="B28" s="417">
        <f t="shared" si="8"/>
        <v>42248</v>
      </c>
      <c r="C28" s="409">
        <v>3.8577463532763532</v>
      </c>
      <c r="D28" s="418">
        <f t="shared" si="0"/>
        <v>2015</v>
      </c>
      <c r="F28" s="411">
        <f t="shared" si="9"/>
        <v>2034</v>
      </c>
      <c r="G28" s="412">
        <f t="shared" si="1"/>
        <v>7.71</v>
      </c>
      <c r="I28" s="60">
        <f t="shared" si="10"/>
        <v>9</v>
      </c>
      <c r="J28" s="441">
        <f t="shared" si="11"/>
        <v>2015</v>
      </c>
      <c r="K28" s="413">
        <f t="shared" si="2"/>
        <v>42248</v>
      </c>
      <c r="L28" s="414">
        <v>43.682499999999997</v>
      </c>
      <c r="M28" s="414">
        <v>41.85</v>
      </c>
      <c r="N28" s="414">
        <v>31.625</v>
      </c>
      <c r="O28" s="415">
        <v>30.5</v>
      </c>
      <c r="Q28" s="438">
        <v>36.805555555555557</v>
      </c>
      <c r="R28" s="440">
        <f t="shared" si="12"/>
        <v>1.137056603773585</v>
      </c>
      <c r="S28" s="440">
        <f t="shared" si="13"/>
        <v>0.82867924528301884</v>
      </c>
      <c r="U28" s="411">
        <f t="shared" si="14"/>
        <v>2034</v>
      </c>
      <c r="V28" s="416">
        <f t="shared" si="3"/>
        <v>70.59</v>
      </c>
      <c r="W28" s="416">
        <f t="shared" si="4"/>
        <v>72.64</v>
      </c>
      <c r="X28" s="416">
        <f t="shared" si="5"/>
        <v>61.63</v>
      </c>
      <c r="Y28" s="416">
        <f t="shared" si="6"/>
        <v>67.260000000000005</v>
      </c>
      <c r="AA28" s="378">
        <v>2016</v>
      </c>
      <c r="AB28" s="427">
        <f t="shared" si="17"/>
        <v>0.89424624579581058</v>
      </c>
      <c r="AC28" s="427">
        <f t="shared" si="16"/>
        <v>0.88789237668161436</v>
      </c>
      <c r="AD28" s="427">
        <f t="shared" si="16"/>
        <v>0.88685564133169603</v>
      </c>
      <c r="AE28" s="427">
        <f t="shared" si="16"/>
        <v>0.86663368681102393</v>
      </c>
      <c r="AF28" s="427">
        <f t="shared" si="16"/>
        <v>0.78721489478429874</v>
      </c>
      <c r="AG28" s="427">
        <f t="shared" si="16"/>
        <v>0.7656828201632464</v>
      </c>
      <c r="AH28" s="427">
        <f t="shared" si="16"/>
        <v>0.75519904931669646</v>
      </c>
      <c r="AI28" s="427">
        <f t="shared" si="16"/>
        <v>0.75045464207269552</v>
      </c>
      <c r="AJ28" s="427">
        <f t="shared" si="16"/>
        <v>0.83295711060948086</v>
      </c>
      <c r="AK28" s="427">
        <f t="shared" si="16"/>
        <v>0.86084412241912311</v>
      </c>
      <c r="AL28" s="427">
        <f t="shared" si="16"/>
        <v>0.8613298891768929</v>
      </c>
      <c r="AM28" s="427">
        <f t="shared" si="16"/>
        <v>0.90901002672234454</v>
      </c>
    </row>
    <row r="29" spans="2:39" x14ac:dyDescent="0.2">
      <c r="B29" s="417">
        <f t="shared" si="8"/>
        <v>42278</v>
      </c>
      <c r="C29" s="409">
        <v>3.9167614122914127</v>
      </c>
      <c r="D29" s="418">
        <f t="shared" si="0"/>
        <v>2015</v>
      </c>
      <c r="F29" s="411">
        <f t="shared" si="9"/>
        <v>2035</v>
      </c>
      <c r="G29" s="412">
        <f t="shared" si="1"/>
        <v>7.86</v>
      </c>
      <c r="I29" s="60">
        <f t="shared" si="10"/>
        <v>10</v>
      </c>
      <c r="J29" s="441">
        <f t="shared" si="11"/>
        <v>2015</v>
      </c>
      <c r="K29" s="413">
        <f t="shared" si="2"/>
        <v>42278</v>
      </c>
      <c r="L29" s="414">
        <v>40.255000000000003</v>
      </c>
      <c r="M29" s="414">
        <v>39.14</v>
      </c>
      <c r="N29" s="414">
        <v>33.012500000000003</v>
      </c>
      <c r="O29" s="415">
        <v>30.75</v>
      </c>
      <c r="Q29" s="438">
        <v>35.621612903225802</v>
      </c>
      <c r="R29" s="440">
        <f t="shared" si="12"/>
        <v>1.0987711338712454</v>
      </c>
      <c r="S29" s="440">
        <f t="shared" si="13"/>
        <v>0.86323996848596818</v>
      </c>
      <c r="U29" s="411">
        <f t="shared" si="14"/>
        <v>2035</v>
      </c>
      <c r="V29" s="416">
        <f t="shared" si="3"/>
        <v>71.91</v>
      </c>
      <c r="W29" s="416">
        <f t="shared" si="4"/>
        <v>74.33</v>
      </c>
      <c r="X29" s="416">
        <f t="shared" si="5"/>
        <v>62.97</v>
      </c>
      <c r="Y29" s="416">
        <f t="shared" si="6"/>
        <v>68.709999999999994</v>
      </c>
      <c r="AA29" s="378">
        <v>2017</v>
      </c>
      <c r="AB29" s="427">
        <f t="shared" si="17"/>
        <v>0.89590283440828322</v>
      </c>
      <c r="AC29" s="427">
        <f t="shared" si="16"/>
        <v>0.89021043000914901</v>
      </c>
      <c r="AD29" s="427">
        <f t="shared" si="16"/>
        <v>0.88863969239649876</v>
      </c>
      <c r="AE29" s="427">
        <f t="shared" si="16"/>
        <v>0.87381601141819121</v>
      </c>
      <c r="AF29" s="427">
        <f t="shared" si="16"/>
        <v>0.78884607230194803</v>
      </c>
      <c r="AG29" s="427">
        <f t="shared" si="16"/>
        <v>0.77562033218352855</v>
      </c>
      <c r="AH29" s="427">
        <f t="shared" si="16"/>
        <v>0.76287228672387697</v>
      </c>
      <c r="AI29" s="427">
        <f t="shared" si="16"/>
        <v>0.75810019714367416</v>
      </c>
      <c r="AJ29" s="427">
        <f t="shared" si="16"/>
        <v>0.83750894774516815</v>
      </c>
      <c r="AK29" s="427">
        <f t="shared" si="16"/>
        <v>0.86411952724299412</v>
      </c>
      <c r="AL29" s="427">
        <f t="shared" si="16"/>
        <v>0.86467113638068993</v>
      </c>
      <c r="AM29" s="427">
        <f t="shared" si="16"/>
        <v>0.91305817319879223</v>
      </c>
    </row>
    <row r="30" spans="2:39" x14ac:dyDescent="0.2">
      <c r="B30" s="417">
        <f t="shared" si="8"/>
        <v>42309</v>
      </c>
      <c r="C30" s="409">
        <v>4.0927890883190887</v>
      </c>
      <c r="D30" s="418">
        <f t="shared" si="0"/>
        <v>2015</v>
      </c>
      <c r="F30" s="411">
        <f t="shared" si="9"/>
        <v>2036</v>
      </c>
      <c r="G30" s="412">
        <f t="shared" si="1"/>
        <v>8.0299999999999994</v>
      </c>
      <c r="I30" s="60">
        <f t="shared" si="10"/>
        <v>11</v>
      </c>
      <c r="J30" s="441">
        <f t="shared" si="11"/>
        <v>2015</v>
      </c>
      <c r="K30" s="413">
        <f t="shared" si="2"/>
        <v>42309</v>
      </c>
      <c r="L30" s="414">
        <v>41.085000000000001</v>
      </c>
      <c r="M30" s="414">
        <v>38.380000000000003</v>
      </c>
      <c r="N30" s="414">
        <v>33.707500000000003</v>
      </c>
      <c r="O30" s="415">
        <v>30.135000000000002</v>
      </c>
      <c r="Q30" s="438">
        <v>34.526234396671299</v>
      </c>
      <c r="R30" s="440">
        <f t="shared" si="12"/>
        <v>1.1116184742029165</v>
      </c>
      <c r="S30" s="440">
        <f t="shared" si="13"/>
        <v>0.87281455758480686</v>
      </c>
      <c r="U30" s="411">
        <f t="shared" si="14"/>
        <v>2036</v>
      </c>
      <c r="V30" s="416">
        <f t="shared" si="3"/>
        <v>73.37</v>
      </c>
      <c r="W30" s="416">
        <f t="shared" si="4"/>
        <v>76.13</v>
      </c>
      <c r="X30" s="416">
        <f t="shared" si="5"/>
        <v>64.47</v>
      </c>
      <c r="Y30" s="416">
        <f t="shared" si="6"/>
        <v>70.180000000000007</v>
      </c>
      <c r="AA30" s="378">
        <v>2018</v>
      </c>
      <c r="AB30" s="427">
        <f t="shared" si="17"/>
        <v>0.89137533776405697</v>
      </c>
      <c r="AC30" s="427">
        <f t="shared" si="16"/>
        <v>0.88936905790838383</v>
      </c>
      <c r="AD30" s="427">
        <f t="shared" si="16"/>
        <v>0.88777133223555482</v>
      </c>
      <c r="AE30" s="427">
        <f t="shared" si="16"/>
        <v>0.87405224398676873</v>
      </c>
      <c r="AF30" s="427">
        <f t="shared" si="16"/>
        <v>0.79452990469209328</v>
      </c>
      <c r="AG30" s="427">
        <f t="shared" si="16"/>
        <v>0.78255036316998827</v>
      </c>
      <c r="AH30" s="427">
        <f t="shared" si="16"/>
        <v>0.76887131560028765</v>
      </c>
      <c r="AI30" s="427">
        <f t="shared" si="16"/>
        <v>0.76393948484978347</v>
      </c>
      <c r="AJ30" s="427">
        <f t="shared" si="16"/>
        <v>0.84517393434590882</v>
      </c>
      <c r="AK30" s="427">
        <f t="shared" si="16"/>
        <v>0.86040449872085734</v>
      </c>
      <c r="AL30" s="427">
        <f t="shared" si="16"/>
        <v>0.86545791335425837</v>
      </c>
      <c r="AM30" s="427">
        <f t="shared" si="16"/>
        <v>0.91120120425955198</v>
      </c>
    </row>
    <row r="31" spans="2:39" x14ac:dyDescent="0.2">
      <c r="B31" s="419">
        <f t="shared" si="8"/>
        <v>42339</v>
      </c>
      <c r="C31" s="420">
        <v>4.2382917338217343</v>
      </c>
      <c r="D31" s="421">
        <f t="shared" si="0"/>
        <v>2015</v>
      </c>
      <c r="F31" s="411">
        <f t="shared" si="9"/>
        <v>2037</v>
      </c>
      <c r="G31" s="412">
        <f t="shared" si="1"/>
        <v>8.1999999999999993</v>
      </c>
      <c r="I31" s="60">
        <f t="shared" si="10"/>
        <v>12</v>
      </c>
      <c r="J31" s="441">
        <f t="shared" si="11"/>
        <v>2015</v>
      </c>
      <c r="K31" s="422">
        <f t="shared" si="2"/>
        <v>42339</v>
      </c>
      <c r="L31" s="423">
        <v>43.16</v>
      </c>
      <c r="M31" s="423">
        <v>36.479999999999997</v>
      </c>
      <c r="N31" s="423">
        <v>37.53</v>
      </c>
      <c r="O31" s="424">
        <v>31.364999999999998</v>
      </c>
      <c r="Q31" s="438">
        <v>34.224999999999994</v>
      </c>
      <c r="R31" s="440">
        <f t="shared" si="12"/>
        <v>1.0658875091307525</v>
      </c>
      <c r="S31" s="440">
        <f t="shared" si="13"/>
        <v>0.91643535427319223</v>
      </c>
      <c r="U31" s="411">
        <f t="shared" si="14"/>
        <v>2037</v>
      </c>
      <c r="V31" s="416">
        <f t="shared" si="3"/>
        <v>74.59</v>
      </c>
      <c r="W31" s="416">
        <f t="shared" si="4"/>
        <v>77.510000000000005</v>
      </c>
      <c r="X31" s="416">
        <f t="shared" si="5"/>
        <v>65.8</v>
      </c>
      <c r="Y31" s="416">
        <f t="shared" si="6"/>
        <v>71.430000000000007</v>
      </c>
      <c r="AA31" s="378">
        <v>2019</v>
      </c>
      <c r="AB31" s="427">
        <f t="shared" si="17"/>
        <v>0.8963576350828999</v>
      </c>
      <c r="AC31" s="427">
        <f t="shared" si="16"/>
        <v>0.89447650453421279</v>
      </c>
      <c r="AD31" s="427">
        <f t="shared" si="16"/>
        <v>0.89654236042345103</v>
      </c>
      <c r="AE31" s="427">
        <f t="shared" si="16"/>
        <v>0.87573014641025615</v>
      </c>
      <c r="AF31" s="427">
        <f t="shared" si="16"/>
        <v>0.80548860829183888</v>
      </c>
      <c r="AG31" s="427">
        <f t="shared" si="16"/>
        <v>0.80149821873017413</v>
      </c>
      <c r="AH31" s="427">
        <f t="shared" si="16"/>
        <v>0.77190181872757291</v>
      </c>
      <c r="AI31" s="427">
        <f t="shared" si="16"/>
        <v>0.77395039603824944</v>
      </c>
      <c r="AJ31" s="427">
        <f t="shared" si="16"/>
        <v>0.85240541802895842</v>
      </c>
      <c r="AK31" s="427">
        <f t="shared" si="16"/>
        <v>0.86703652051309565</v>
      </c>
      <c r="AL31" s="427">
        <f t="shared" si="16"/>
        <v>0.87199659196824097</v>
      </c>
      <c r="AM31" s="427">
        <f t="shared" si="16"/>
        <v>0.91558232281903318</v>
      </c>
    </row>
    <row r="32" spans="2:39" x14ac:dyDescent="0.2">
      <c r="B32" s="408">
        <f t="shared" si="8"/>
        <v>42370</v>
      </c>
      <c r="C32" s="409">
        <v>4.3705668660968673</v>
      </c>
      <c r="D32" s="410">
        <f t="shared" si="0"/>
        <v>2016</v>
      </c>
      <c r="F32" s="411">
        <f t="shared" si="9"/>
        <v>2038</v>
      </c>
      <c r="G32" s="412">
        <f t="shared" si="1"/>
        <v>8.3699999999999992</v>
      </c>
      <c r="I32" s="60">
        <f t="shared" si="10"/>
        <v>1</v>
      </c>
      <c r="J32" s="441">
        <f t="shared" si="11"/>
        <v>2016</v>
      </c>
      <c r="K32" s="413">
        <f t="shared" si="2"/>
        <v>42370</v>
      </c>
      <c r="L32" s="425">
        <v>43.207500000000003</v>
      </c>
      <c r="M32" s="425">
        <v>40.667499999999997</v>
      </c>
      <c r="N32" s="425">
        <v>36.43</v>
      </c>
      <c r="O32" s="426">
        <v>33.335000000000001</v>
      </c>
      <c r="Q32" s="438">
        <v>37.277204301075265</v>
      </c>
      <c r="R32" s="440">
        <f t="shared" si="12"/>
        <v>1.0909482286156029</v>
      </c>
      <c r="S32" s="440">
        <f t="shared" si="13"/>
        <v>0.89424624579581058</v>
      </c>
      <c r="U32" s="411">
        <f t="shared" si="14"/>
        <v>2038</v>
      </c>
      <c r="V32" s="416">
        <f t="shared" si="3"/>
        <v>75.989999999999995</v>
      </c>
      <c r="W32" s="416">
        <f t="shared" si="4"/>
        <v>79.03</v>
      </c>
      <c r="X32" s="416">
        <f t="shared" si="5"/>
        <v>67.760000000000005</v>
      </c>
      <c r="Y32" s="416">
        <f t="shared" si="6"/>
        <v>73</v>
      </c>
      <c r="AA32" s="378">
        <v>2020</v>
      </c>
      <c r="AB32" s="427">
        <f t="shared" si="17"/>
        <v>0.88999102067341473</v>
      </c>
      <c r="AC32" s="427">
        <f t="shared" si="16"/>
        <v>0.88736624741880987</v>
      </c>
      <c r="AD32" s="427">
        <f t="shared" si="16"/>
        <v>0.8900445417299917</v>
      </c>
      <c r="AE32" s="427">
        <f t="shared" si="16"/>
        <v>0.87008410794767099</v>
      </c>
      <c r="AF32" s="427">
        <f t="shared" si="16"/>
        <v>0.89370620442243343</v>
      </c>
      <c r="AG32" s="427">
        <f t="shared" si="16"/>
        <v>0.88339840707962991</v>
      </c>
      <c r="AH32" s="427">
        <f t="shared" si="16"/>
        <v>0.85213492437485538</v>
      </c>
      <c r="AI32" s="427">
        <f t="shared" si="16"/>
        <v>0.86011710188902935</v>
      </c>
      <c r="AJ32" s="427">
        <f t="shared" si="16"/>
        <v>0.90826291752616262</v>
      </c>
      <c r="AK32" s="427">
        <f t="shared" si="16"/>
        <v>0.9198552567981847</v>
      </c>
      <c r="AL32" s="427">
        <f t="shared" si="16"/>
        <v>0.92711626619809728</v>
      </c>
      <c r="AM32" s="427">
        <f t="shared" si="16"/>
        <v>0.95118925201539817</v>
      </c>
    </row>
    <row r="33" spans="2:39" x14ac:dyDescent="0.2">
      <c r="B33" s="417">
        <f t="shared" si="8"/>
        <v>42401</v>
      </c>
      <c r="C33" s="409">
        <v>4.3451293406593408</v>
      </c>
      <c r="D33" s="418">
        <f t="shared" si="0"/>
        <v>2016</v>
      </c>
      <c r="F33" s="411"/>
      <c r="G33" s="412"/>
      <c r="I33" s="60">
        <f t="shared" si="10"/>
        <v>2</v>
      </c>
      <c r="J33" s="441">
        <f t="shared" si="11"/>
        <v>2016</v>
      </c>
      <c r="K33" s="413">
        <f t="shared" si="2"/>
        <v>42401</v>
      </c>
      <c r="L33" s="414">
        <v>40.25</v>
      </c>
      <c r="M33" s="414">
        <v>40.25</v>
      </c>
      <c r="N33" s="414">
        <v>35.357500000000002</v>
      </c>
      <c r="O33" s="415">
        <v>33</v>
      </c>
      <c r="Q33" s="438">
        <v>37.166666666666664</v>
      </c>
      <c r="R33" s="440">
        <f t="shared" si="12"/>
        <v>1.0829596412556055</v>
      </c>
      <c r="S33" s="440">
        <f t="shared" si="13"/>
        <v>0.88789237668161436</v>
      </c>
      <c r="U33" s="411"/>
      <c r="V33" s="416"/>
      <c r="W33" s="416"/>
      <c r="X33" s="416"/>
      <c r="Y33" s="416"/>
      <c r="AA33" s="378">
        <v>2021</v>
      </c>
      <c r="AB33" s="427">
        <f t="shared" si="17"/>
        <v>0.93755257685444759</v>
      </c>
      <c r="AC33" s="427">
        <f t="shared" si="16"/>
        <v>0.93841657332897654</v>
      </c>
      <c r="AD33" s="427">
        <f t="shared" si="16"/>
        <v>0.93021766443891996</v>
      </c>
      <c r="AE33" s="427">
        <f t="shared" si="16"/>
        <v>0.91953963023624263</v>
      </c>
      <c r="AF33" s="427">
        <f t="shared" si="16"/>
        <v>0.96479940745448356</v>
      </c>
      <c r="AG33" s="427">
        <f t="shared" si="16"/>
        <v>0.94841907350110999</v>
      </c>
      <c r="AH33" s="427">
        <f t="shared" si="16"/>
        <v>0.92554775291617875</v>
      </c>
      <c r="AI33" s="427">
        <f t="shared" si="16"/>
        <v>0.93049610216228507</v>
      </c>
      <c r="AJ33" s="427">
        <f t="shared" si="16"/>
        <v>0.96185990455056414</v>
      </c>
      <c r="AK33" s="427">
        <f t="shared" si="16"/>
        <v>0.96897250231888166</v>
      </c>
      <c r="AL33" s="427">
        <f t="shared" si="16"/>
        <v>0.97020592328856026</v>
      </c>
      <c r="AM33" s="427">
        <f t="shared" si="16"/>
        <v>0.9835522123842062</v>
      </c>
    </row>
    <row r="34" spans="2:39" x14ac:dyDescent="0.2">
      <c r="B34" s="417">
        <f t="shared" si="8"/>
        <v>42430</v>
      </c>
      <c r="C34" s="409">
        <v>4.2840792796092808</v>
      </c>
      <c r="D34" s="418">
        <f t="shared" si="0"/>
        <v>2016</v>
      </c>
      <c r="F34" s="411"/>
      <c r="G34" s="412"/>
      <c r="I34" s="60">
        <f t="shared" si="10"/>
        <v>3</v>
      </c>
      <c r="J34" s="441">
        <f t="shared" si="11"/>
        <v>2016</v>
      </c>
      <c r="K34" s="413">
        <f t="shared" si="2"/>
        <v>42430</v>
      </c>
      <c r="L34" s="414">
        <v>37.292499999999997</v>
      </c>
      <c r="M34" s="414">
        <v>39.832500000000003</v>
      </c>
      <c r="N34" s="414">
        <v>33.212499999999999</v>
      </c>
      <c r="O34" s="415">
        <v>32.664999999999999</v>
      </c>
      <c r="Q34" s="438">
        <v>36.832375504710633</v>
      </c>
      <c r="R34" s="440">
        <f t="shared" si="12"/>
        <v>1.0814534619116727</v>
      </c>
      <c r="S34" s="440">
        <f t="shared" si="13"/>
        <v>0.88685564133169603</v>
      </c>
      <c r="U34" s="411"/>
      <c r="V34" s="416"/>
      <c r="W34" s="416"/>
      <c r="X34" s="416"/>
      <c r="Y34" s="416"/>
      <c r="AA34" s="378">
        <v>2022</v>
      </c>
      <c r="AB34" s="427">
        <f t="shared" si="17"/>
        <v>0.97871336689673938</v>
      </c>
      <c r="AC34" s="427">
        <f t="shared" si="16"/>
        <v>0.98618748358239194</v>
      </c>
      <c r="AD34" s="427">
        <f t="shared" si="16"/>
        <v>0.97444214191036027</v>
      </c>
      <c r="AE34" s="427">
        <f t="shared" si="16"/>
        <v>0.96992978127418417</v>
      </c>
      <c r="AF34" s="427">
        <f t="shared" si="16"/>
        <v>0.97297563509260876</v>
      </c>
      <c r="AG34" s="427">
        <f t="shared" si="16"/>
        <v>0.93718209270190589</v>
      </c>
      <c r="AH34" s="427">
        <f t="shared" si="16"/>
        <v>0.92477949655097991</v>
      </c>
      <c r="AI34" s="427">
        <f t="shared" si="16"/>
        <v>0.91689719919940327</v>
      </c>
      <c r="AJ34" s="427">
        <f t="shared" si="16"/>
        <v>0.95612151437508952</v>
      </c>
      <c r="AK34" s="427">
        <f t="shared" si="16"/>
        <v>0.96572124091179723</v>
      </c>
      <c r="AL34" s="427">
        <f t="shared" si="16"/>
        <v>0.97262923619381991</v>
      </c>
      <c r="AM34" s="427">
        <f t="shared" si="16"/>
        <v>0.97780856540537753</v>
      </c>
    </row>
    <row r="35" spans="2:39" x14ac:dyDescent="0.2">
      <c r="B35" s="417">
        <f t="shared" si="8"/>
        <v>42461</v>
      </c>
      <c r="C35" s="409">
        <v>3.7244537199837202</v>
      </c>
      <c r="D35" s="418">
        <f t="shared" si="0"/>
        <v>2016</v>
      </c>
      <c r="F35" s="411"/>
      <c r="G35" s="412"/>
      <c r="I35" s="60">
        <f t="shared" si="10"/>
        <v>4</v>
      </c>
      <c r="J35" s="441">
        <f t="shared" si="11"/>
        <v>2016</v>
      </c>
      <c r="K35" s="413">
        <f t="shared" si="2"/>
        <v>42461</v>
      </c>
      <c r="L35" s="414">
        <v>36.825000000000003</v>
      </c>
      <c r="M35" s="414">
        <v>40.424999999999997</v>
      </c>
      <c r="N35" s="414">
        <v>24.63</v>
      </c>
      <c r="O35" s="415">
        <v>31.922499999999999</v>
      </c>
      <c r="Q35" s="438">
        <v>36.835055555555556</v>
      </c>
      <c r="R35" s="440">
        <f t="shared" si="12"/>
        <v>1.0974599980996362</v>
      </c>
      <c r="S35" s="440">
        <f t="shared" si="13"/>
        <v>0.86663368681102393</v>
      </c>
      <c r="V35" s="427"/>
      <c r="W35" s="427"/>
      <c r="X35" s="427"/>
      <c r="Y35" s="427"/>
      <c r="AA35" s="378">
        <v>2023</v>
      </c>
      <c r="AB35" s="427">
        <f t="shared" si="17"/>
        <v>0.98153045263352234</v>
      </c>
      <c r="AC35" s="427">
        <f t="shared" si="16"/>
        <v>0.9847082798285518</v>
      </c>
      <c r="AD35" s="427">
        <f t="shared" si="16"/>
        <v>0.98427261981048098</v>
      </c>
      <c r="AE35" s="427">
        <f t="shared" si="16"/>
        <v>0.98529327554079105</v>
      </c>
      <c r="AF35" s="427">
        <f t="shared" si="16"/>
        <v>0.96531164033690853</v>
      </c>
      <c r="AG35" s="427">
        <f t="shared" si="16"/>
        <v>0.93345545566320798</v>
      </c>
      <c r="AH35" s="427">
        <f t="shared" si="16"/>
        <v>0.92090593018786049</v>
      </c>
      <c r="AI35" s="427">
        <f t="shared" si="16"/>
        <v>0.91656636945009606</v>
      </c>
      <c r="AJ35" s="427">
        <f t="shared" si="16"/>
        <v>0.96841634590646841</v>
      </c>
      <c r="AK35" s="427">
        <f t="shared" si="16"/>
        <v>0.96377061349869531</v>
      </c>
      <c r="AL35" s="427">
        <f t="shared" si="16"/>
        <v>0.97451354983265193</v>
      </c>
      <c r="AM35" s="427">
        <f t="shared" si="16"/>
        <v>0.9788358821101707</v>
      </c>
    </row>
    <row r="36" spans="2:39" x14ac:dyDescent="0.2">
      <c r="B36" s="417">
        <f t="shared" si="8"/>
        <v>42491</v>
      </c>
      <c r="C36" s="409">
        <v>3.729541225071225</v>
      </c>
      <c r="D36" s="418">
        <f t="shared" si="0"/>
        <v>2016</v>
      </c>
      <c r="F36" s="411"/>
      <c r="G36" s="428" t="s">
        <v>302</v>
      </c>
      <c r="I36" s="60">
        <f t="shared" si="10"/>
        <v>5</v>
      </c>
      <c r="J36" s="441">
        <f t="shared" si="11"/>
        <v>2016</v>
      </c>
      <c r="K36" s="413">
        <f t="shared" si="2"/>
        <v>42491</v>
      </c>
      <c r="L36" s="414">
        <v>25.725000000000001</v>
      </c>
      <c r="M36" s="414">
        <v>36.75</v>
      </c>
      <c r="N36" s="414">
        <v>11.37</v>
      </c>
      <c r="O36" s="415">
        <v>24.454999999999998</v>
      </c>
      <c r="Q36" s="438">
        <v>31.065215053763438</v>
      </c>
      <c r="R36" s="440">
        <f t="shared" si="12"/>
        <v>1.1829951904855032</v>
      </c>
      <c r="S36" s="440">
        <f t="shared" si="13"/>
        <v>0.78721489478429874</v>
      </c>
      <c r="V36" s="429" t="s">
        <v>302</v>
      </c>
      <c r="W36" s="429"/>
      <c r="X36" s="429"/>
      <c r="Y36" s="429"/>
      <c r="AA36" s="378">
        <v>2024</v>
      </c>
      <c r="AB36" s="427">
        <f t="shared" si="17"/>
        <v>0.98091952494139723</v>
      </c>
      <c r="AC36" s="427">
        <f t="shared" si="16"/>
        <v>0.98820245726701117</v>
      </c>
      <c r="AD36" s="427">
        <f t="shared" si="16"/>
        <v>0.98846268755720557</v>
      </c>
      <c r="AE36" s="427">
        <f t="shared" si="16"/>
        <v>0.96872229546396516</v>
      </c>
      <c r="AF36" s="427">
        <f t="shared" si="16"/>
        <v>0.97143695004548059</v>
      </c>
      <c r="AG36" s="427">
        <f t="shared" si="16"/>
        <v>0.946496350048465</v>
      </c>
      <c r="AH36" s="427">
        <f t="shared" si="16"/>
        <v>0.91680738986191213</v>
      </c>
      <c r="AI36" s="427">
        <f t="shared" si="16"/>
        <v>0.91086477162327406</v>
      </c>
      <c r="AJ36" s="427">
        <f t="shared" si="16"/>
        <v>0.94993635266715382</v>
      </c>
      <c r="AK36" s="427">
        <f t="shared" si="16"/>
        <v>0.96892867154944529</v>
      </c>
      <c r="AL36" s="427">
        <f t="shared" si="16"/>
        <v>0.97104479465986515</v>
      </c>
      <c r="AM36" s="427">
        <f t="shared" si="16"/>
        <v>0.98011056196092372</v>
      </c>
    </row>
    <row r="37" spans="2:39" x14ac:dyDescent="0.2">
      <c r="B37" s="417">
        <f t="shared" si="8"/>
        <v>42522</v>
      </c>
      <c r="C37" s="409">
        <v>3.7458212413512415</v>
      </c>
      <c r="D37" s="418">
        <f t="shared" si="0"/>
        <v>2016</v>
      </c>
      <c r="F37" s="411"/>
      <c r="G37" s="430">
        <f>ROUND(AVERAGE(G8:G33)-AVERAGE(C8:C307),2)</f>
        <v>0</v>
      </c>
      <c r="I37" s="60">
        <f t="shared" si="10"/>
        <v>6</v>
      </c>
      <c r="J37" s="441">
        <f t="shared" si="11"/>
        <v>2016</v>
      </c>
      <c r="K37" s="413">
        <f t="shared" si="2"/>
        <v>42522</v>
      </c>
      <c r="L37" s="414">
        <v>22.95</v>
      </c>
      <c r="M37" s="414">
        <v>33.075000000000003</v>
      </c>
      <c r="N37" s="414">
        <v>8.25</v>
      </c>
      <c r="O37" s="415">
        <v>21.622499999999999</v>
      </c>
      <c r="Q37" s="438">
        <v>28.239500000000003</v>
      </c>
      <c r="R37" s="440">
        <f t="shared" si="12"/>
        <v>1.1712317852653198</v>
      </c>
      <c r="S37" s="440">
        <f t="shared" si="13"/>
        <v>0.7656828201632464</v>
      </c>
      <c r="V37" s="430">
        <f>ROUND(AVERAGE(V8:V33)-AVERAGE(L8:L307),2)</f>
        <v>0</v>
      </c>
      <c r="W37" s="430">
        <f>ROUND(AVERAGE(W8:W33)-AVERAGE(M8:M307),2)</f>
        <v>0</v>
      </c>
      <c r="X37" s="430">
        <f>ROUND(AVERAGE(X8:X33)-AVERAGE(N8:N307),2)</f>
        <v>0</v>
      </c>
      <c r="Y37" s="430">
        <f>ROUND(AVERAGE(Y8:Y33)-AVERAGE(O8:O307),2)</f>
        <v>0</v>
      </c>
      <c r="AA37" s="378">
        <v>2025</v>
      </c>
      <c r="AB37" s="427">
        <f t="shared" si="17"/>
        <v>0.97796012606865057</v>
      </c>
      <c r="AC37" s="427">
        <f t="shared" si="16"/>
        <v>0.9839924475911408</v>
      </c>
      <c r="AD37" s="427">
        <f t="shared" si="16"/>
        <v>0.98186536128798629</v>
      </c>
      <c r="AE37" s="427">
        <f t="shared" si="16"/>
        <v>0.97571360204284585</v>
      </c>
      <c r="AF37" s="427">
        <f t="shared" si="16"/>
        <v>0.97314775689630284</v>
      </c>
      <c r="AG37" s="427">
        <f t="shared" si="16"/>
        <v>0.93980233992715256</v>
      </c>
      <c r="AH37" s="427">
        <f t="shared" si="16"/>
        <v>0.9129407969402269</v>
      </c>
      <c r="AI37" s="427">
        <f t="shared" si="16"/>
        <v>0.91506080353985653</v>
      </c>
      <c r="AJ37" s="427">
        <f t="shared" si="16"/>
        <v>0.94334993292498892</v>
      </c>
      <c r="AK37" s="427">
        <f t="shared" si="16"/>
        <v>0.97032521717040632</v>
      </c>
      <c r="AL37" s="427">
        <f t="shared" si="16"/>
        <v>0.97318534433920623</v>
      </c>
      <c r="AM37" s="427">
        <f t="shared" si="16"/>
        <v>0.97735964592945501</v>
      </c>
    </row>
    <row r="38" spans="2:39" x14ac:dyDescent="0.2">
      <c r="B38" s="417">
        <f t="shared" si="8"/>
        <v>42552</v>
      </c>
      <c r="C38" s="409">
        <v>3.7651537606837611</v>
      </c>
      <c r="D38" s="418">
        <f t="shared" si="0"/>
        <v>2016</v>
      </c>
      <c r="F38" s="411"/>
      <c r="G38" s="412"/>
      <c r="I38" s="60">
        <f t="shared" si="10"/>
        <v>7</v>
      </c>
      <c r="J38" s="441">
        <f t="shared" si="11"/>
        <v>2016</v>
      </c>
      <c r="K38" s="413">
        <f t="shared" si="2"/>
        <v>42552</v>
      </c>
      <c r="L38" s="414">
        <v>40.405000000000001</v>
      </c>
      <c r="M38" s="414">
        <v>49.29</v>
      </c>
      <c r="N38" s="414">
        <v>21.625</v>
      </c>
      <c r="O38" s="415">
        <v>30.75</v>
      </c>
      <c r="Q38" s="438">
        <v>40.717741935483865</v>
      </c>
      <c r="R38" s="440">
        <f t="shared" si="12"/>
        <v>1.2105288175876412</v>
      </c>
      <c r="S38" s="440">
        <f t="shared" si="13"/>
        <v>0.75519904931669646</v>
      </c>
      <c r="AA38" s="378">
        <v>2026</v>
      </c>
      <c r="AB38" s="427">
        <f t="shared" si="17"/>
        <v>0.98307439454000001</v>
      </c>
      <c r="AC38" s="427">
        <f t="shared" si="16"/>
        <v>0.99111697843187219</v>
      </c>
      <c r="AD38" s="427">
        <f t="shared" si="16"/>
        <v>0.98572938811658772</v>
      </c>
      <c r="AE38" s="427">
        <f t="shared" si="16"/>
        <v>0.98931772427225895</v>
      </c>
      <c r="AF38" s="427">
        <f t="shared" si="16"/>
        <v>0.9746450471253203</v>
      </c>
      <c r="AG38" s="427">
        <f t="shared" si="16"/>
        <v>0.93559466098177735</v>
      </c>
      <c r="AH38" s="427">
        <f t="shared" si="16"/>
        <v>0.91033928809202769</v>
      </c>
      <c r="AI38" s="427">
        <f t="shared" si="16"/>
        <v>0.91402183466662512</v>
      </c>
      <c r="AJ38" s="427">
        <f t="shared" si="16"/>
        <v>0.95245930429498005</v>
      </c>
      <c r="AK38" s="427">
        <f t="shared" si="16"/>
        <v>0.96728694421851347</v>
      </c>
      <c r="AL38" s="427">
        <f t="shared" si="16"/>
        <v>0.97369551928254383</v>
      </c>
      <c r="AM38" s="427">
        <f t="shared" si="16"/>
        <v>0.97765357822494103</v>
      </c>
    </row>
    <row r="39" spans="2:39" x14ac:dyDescent="0.2">
      <c r="B39" s="417">
        <f t="shared" si="8"/>
        <v>42583</v>
      </c>
      <c r="C39" s="409">
        <v>3.7732937688237689</v>
      </c>
      <c r="D39" s="418">
        <f t="shared" si="0"/>
        <v>2016</v>
      </c>
      <c r="F39" s="411"/>
      <c r="I39" s="60">
        <f t="shared" si="10"/>
        <v>8</v>
      </c>
      <c r="J39" s="441">
        <f t="shared" si="11"/>
        <v>2016</v>
      </c>
      <c r="K39" s="413">
        <f t="shared" si="2"/>
        <v>42583</v>
      </c>
      <c r="L39" s="414">
        <v>45.162500000000001</v>
      </c>
      <c r="M39" s="414">
        <v>48.36</v>
      </c>
      <c r="N39" s="414">
        <v>31.25</v>
      </c>
      <c r="O39" s="415">
        <v>30.75</v>
      </c>
      <c r="Q39" s="438">
        <v>40.975161290322582</v>
      </c>
      <c r="R39" s="440">
        <f t="shared" si="12"/>
        <v>1.1802272029474976</v>
      </c>
      <c r="S39" s="440">
        <f t="shared" si="13"/>
        <v>0.75045464207269552</v>
      </c>
    </row>
    <row r="40" spans="2:39" x14ac:dyDescent="0.2">
      <c r="B40" s="417">
        <f t="shared" si="8"/>
        <v>42614</v>
      </c>
      <c r="C40" s="409">
        <v>3.7651537606837611</v>
      </c>
      <c r="D40" s="418">
        <f t="shared" si="0"/>
        <v>2016</v>
      </c>
      <c r="F40" s="411"/>
      <c r="I40" s="60">
        <f t="shared" si="10"/>
        <v>9</v>
      </c>
      <c r="J40" s="441">
        <f t="shared" si="11"/>
        <v>2016</v>
      </c>
      <c r="K40" s="413">
        <f t="shared" si="2"/>
        <v>42614</v>
      </c>
      <c r="L40" s="414">
        <v>43.432499999999997</v>
      </c>
      <c r="M40" s="414">
        <v>41.85</v>
      </c>
      <c r="N40" s="414">
        <v>32.625</v>
      </c>
      <c r="O40" s="415">
        <v>30.75</v>
      </c>
      <c r="Q40" s="438">
        <v>36.916666666666664</v>
      </c>
      <c r="R40" s="440">
        <f t="shared" si="12"/>
        <v>1.1336343115124154</v>
      </c>
      <c r="S40" s="440">
        <f t="shared" si="13"/>
        <v>0.83295711060948086</v>
      </c>
    </row>
    <row r="41" spans="2:39" x14ac:dyDescent="0.2">
      <c r="B41" s="417">
        <f t="shared" si="8"/>
        <v>42644</v>
      </c>
      <c r="C41" s="409">
        <v>3.785503781033781</v>
      </c>
      <c r="D41" s="418">
        <f t="shared" si="0"/>
        <v>2016</v>
      </c>
      <c r="I41" s="60">
        <f t="shared" si="10"/>
        <v>10</v>
      </c>
      <c r="J41" s="441">
        <f t="shared" si="11"/>
        <v>2016</v>
      </c>
      <c r="K41" s="413">
        <f t="shared" si="2"/>
        <v>42644</v>
      </c>
      <c r="L41" s="414">
        <v>39.255000000000003</v>
      </c>
      <c r="M41" s="414">
        <v>39.64</v>
      </c>
      <c r="N41" s="414">
        <v>33.262500000000003</v>
      </c>
      <c r="O41" s="415">
        <v>30.75</v>
      </c>
      <c r="Q41" s="438">
        <v>35.720752688172048</v>
      </c>
      <c r="R41" s="440">
        <f t="shared" si="12"/>
        <v>1.1097190573233835</v>
      </c>
      <c r="S41" s="440">
        <f t="shared" si="13"/>
        <v>0.86084412241912311</v>
      </c>
    </row>
    <row r="42" spans="2:39" x14ac:dyDescent="0.2">
      <c r="B42" s="417">
        <f t="shared" si="8"/>
        <v>42675</v>
      </c>
      <c r="C42" s="409">
        <v>4.0302127757427764</v>
      </c>
      <c r="D42" s="418">
        <f t="shared" si="0"/>
        <v>2016</v>
      </c>
      <c r="I42" s="60">
        <f t="shared" si="10"/>
        <v>11</v>
      </c>
      <c r="J42" s="441">
        <f t="shared" si="11"/>
        <v>2016</v>
      </c>
      <c r="K42" s="413">
        <f t="shared" si="2"/>
        <v>42675</v>
      </c>
      <c r="L42" s="414">
        <v>40.085000000000001</v>
      </c>
      <c r="M42" s="414">
        <v>38.880000000000003</v>
      </c>
      <c r="N42" s="414">
        <v>33.957500000000003</v>
      </c>
      <c r="O42" s="415">
        <v>30.135000000000002</v>
      </c>
      <c r="Q42" s="438">
        <v>34.98659500693482</v>
      </c>
      <c r="R42" s="440">
        <f t="shared" si="12"/>
        <v>1.1112827639355431</v>
      </c>
      <c r="S42" s="440">
        <f t="shared" si="13"/>
        <v>0.8613298891768929</v>
      </c>
    </row>
    <row r="43" spans="2:39" x14ac:dyDescent="0.2">
      <c r="B43" s="419">
        <f t="shared" si="8"/>
        <v>42705</v>
      </c>
      <c r="C43" s="420">
        <v>4.1970829426129432</v>
      </c>
      <c r="D43" s="421">
        <f t="shared" si="0"/>
        <v>2016</v>
      </c>
      <c r="I43" s="60">
        <f t="shared" si="10"/>
        <v>12</v>
      </c>
      <c r="J43" s="441">
        <f t="shared" si="11"/>
        <v>2016</v>
      </c>
      <c r="K43" s="422">
        <f t="shared" si="2"/>
        <v>42705</v>
      </c>
      <c r="L43" s="423">
        <v>42.16</v>
      </c>
      <c r="M43" s="423">
        <v>36.979999999999997</v>
      </c>
      <c r="N43" s="423">
        <v>37.78</v>
      </c>
      <c r="O43" s="424">
        <v>31.364999999999998</v>
      </c>
      <c r="Q43" s="438">
        <v>34.504569892473121</v>
      </c>
      <c r="R43" s="440">
        <f t="shared" si="12"/>
        <v>1.0717420943150742</v>
      </c>
      <c r="S43" s="440">
        <f t="shared" si="13"/>
        <v>0.90901002672234454</v>
      </c>
    </row>
    <row r="44" spans="2:39" x14ac:dyDescent="0.2">
      <c r="B44" s="408">
        <f t="shared" si="8"/>
        <v>42736</v>
      </c>
      <c r="C44" s="409">
        <v>4.354795600325601</v>
      </c>
      <c r="D44" s="410">
        <f t="shared" si="0"/>
        <v>2017</v>
      </c>
      <c r="I44" s="60">
        <f t="shared" si="10"/>
        <v>1</v>
      </c>
      <c r="J44" s="441">
        <f t="shared" si="11"/>
        <v>2017</v>
      </c>
      <c r="K44" s="413">
        <f t="shared" si="2"/>
        <v>42736</v>
      </c>
      <c r="L44" s="425">
        <v>45.207500000000003</v>
      </c>
      <c r="M44" s="425">
        <v>42.667499999999997</v>
      </c>
      <c r="N44" s="425">
        <v>38.18</v>
      </c>
      <c r="O44" s="426">
        <v>35.085000000000001</v>
      </c>
      <c r="Q44" s="438">
        <v>39.161612903225809</v>
      </c>
      <c r="R44" s="440">
        <f t="shared" si="12"/>
        <v>1.0895235624088762</v>
      </c>
      <c r="S44" s="440">
        <f t="shared" si="13"/>
        <v>0.89590283440828322</v>
      </c>
    </row>
    <row r="45" spans="2:39" x14ac:dyDescent="0.2">
      <c r="B45" s="417">
        <f t="shared" si="8"/>
        <v>42767</v>
      </c>
      <c r="C45" s="409">
        <v>4.3293580748880753</v>
      </c>
      <c r="D45" s="418">
        <f t="shared" si="0"/>
        <v>2017</v>
      </c>
      <c r="I45" s="60">
        <f t="shared" si="10"/>
        <v>2</v>
      </c>
      <c r="J45" s="441">
        <f t="shared" si="11"/>
        <v>2017</v>
      </c>
      <c r="K45" s="413">
        <f t="shared" si="2"/>
        <v>42767</v>
      </c>
      <c r="L45" s="414">
        <v>42.25</v>
      </c>
      <c r="M45" s="414">
        <v>42.25</v>
      </c>
      <c r="N45" s="414">
        <v>37.107500000000002</v>
      </c>
      <c r="O45" s="415">
        <v>34.75</v>
      </c>
      <c r="Q45" s="438">
        <v>39.035714285714292</v>
      </c>
      <c r="R45" s="440">
        <f t="shared" si="12"/>
        <v>1.0823421774931379</v>
      </c>
      <c r="S45" s="440">
        <f t="shared" si="13"/>
        <v>0.89021043000914901</v>
      </c>
    </row>
    <row r="46" spans="2:39" x14ac:dyDescent="0.2">
      <c r="B46" s="417">
        <f t="shared" si="8"/>
        <v>42795</v>
      </c>
      <c r="C46" s="409">
        <v>4.2683080138380145</v>
      </c>
      <c r="D46" s="418">
        <f t="shared" si="0"/>
        <v>2017</v>
      </c>
      <c r="I46" s="60">
        <f t="shared" si="10"/>
        <v>3</v>
      </c>
      <c r="J46" s="441">
        <f t="shared" si="11"/>
        <v>2017</v>
      </c>
      <c r="K46" s="413">
        <f t="shared" si="2"/>
        <v>42795</v>
      </c>
      <c r="L46" s="414">
        <v>39.292499999999997</v>
      </c>
      <c r="M46" s="414">
        <v>41.832500000000003</v>
      </c>
      <c r="N46" s="414">
        <v>34.962499999999999</v>
      </c>
      <c r="O46" s="415">
        <v>34.414999999999999</v>
      </c>
      <c r="Q46" s="438">
        <v>38.727732166890988</v>
      </c>
      <c r="R46" s="440">
        <f t="shared" si="12"/>
        <v>1.0801691103349278</v>
      </c>
      <c r="S46" s="440">
        <f t="shared" si="13"/>
        <v>0.88863969239649876</v>
      </c>
    </row>
    <row r="47" spans="2:39" x14ac:dyDescent="0.2">
      <c r="B47" s="417">
        <f t="shared" si="8"/>
        <v>42826</v>
      </c>
      <c r="C47" s="409">
        <v>3.7117349572649574</v>
      </c>
      <c r="D47" s="418">
        <f t="shared" si="0"/>
        <v>2017</v>
      </c>
      <c r="I47" s="60">
        <f t="shared" si="10"/>
        <v>4</v>
      </c>
      <c r="J47" s="441">
        <f t="shared" si="11"/>
        <v>2017</v>
      </c>
      <c r="K47" s="413">
        <f t="shared" si="2"/>
        <v>42826</v>
      </c>
      <c r="L47" s="414">
        <v>38.825000000000003</v>
      </c>
      <c r="M47" s="414">
        <v>42.424999999999997</v>
      </c>
      <c r="N47" s="414">
        <v>26.38</v>
      </c>
      <c r="O47" s="415">
        <v>33.672499999999999</v>
      </c>
      <c r="Q47" s="438">
        <v>38.535000000000004</v>
      </c>
      <c r="R47" s="440">
        <f t="shared" si="12"/>
        <v>1.1009471908654469</v>
      </c>
      <c r="S47" s="440">
        <f t="shared" si="13"/>
        <v>0.87381601141819121</v>
      </c>
    </row>
    <row r="48" spans="2:39" x14ac:dyDescent="0.2">
      <c r="B48" s="417">
        <f t="shared" si="8"/>
        <v>42856</v>
      </c>
      <c r="C48" s="409">
        <v>3.7208924664224665</v>
      </c>
      <c r="D48" s="418">
        <f t="shared" si="0"/>
        <v>2017</v>
      </c>
      <c r="I48" s="60">
        <f t="shared" si="10"/>
        <v>5</v>
      </c>
      <c r="J48" s="441">
        <f t="shared" si="11"/>
        <v>2017</v>
      </c>
      <c r="K48" s="413">
        <f t="shared" si="2"/>
        <v>42856</v>
      </c>
      <c r="L48" s="414">
        <v>27.725000000000001</v>
      </c>
      <c r="M48" s="414">
        <v>38.75</v>
      </c>
      <c r="N48" s="414">
        <v>13.12</v>
      </c>
      <c r="O48" s="415">
        <v>26.204999999999998</v>
      </c>
      <c r="Q48" s="438">
        <v>33.219408602150537</v>
      </c>
      <c r="R48" s="440">
        <f t="shared" si="12"/>
        <v>1.1664867506850025</v>
      </c>
      <c r="S48" s="440">
        <f t="shared" si="13"/>
        <v>0.78884607230194803</v>
      </c>
    </row>
    <row r="49" spans="2:19" x14ac:dyDescent="0.2">
      <c r="B49" s="417">
        <f t="shared" si="8"/>
        <v>42887</v>
      </c>
      <c r="C49" s="409">
        <v>3.7422599877899878</v>
      </c>
      <c r="D49" s="418">
        <f t="shared" si="0"/>
        <v>2017</v>
      </c>
      <c r="I49" s="60">
        <f t="shared" si="10"/>
        <v>6</v>
      </c>
      <c r="J49" s="441">
        <f t="shared" si="11"/>
        <v>2017</v>
      </c>
      <c r="K49" s="413">
        <f t="shared" si="2"/>
        <v>42887</v>
      </c>
      <c r="L49" s="414">
        <v>24.95</v>
      </c>
      <c r="M49" s="414">
        <v>35.075000000000003</v>
      </c>
      <c r="N49" s="414">
        <v>10</v>
      </c>
      <c r="O49" s="415">
        <v>23.372499999999999</v>
      </c>
      <c r="Q49" s="438">
        <v>30.133944444444449</v>
      </c>
      <c r="R49" s="440">
        <f t="shared" si="12"/>
        <v>1.1639697572504981</v>
      </c>
      <c r="S49" s="440">
        <f t="shared" si="13"/>
        <v>0.77562033218352855</v>
      </c>
    </row>
    <row r="50" spans="2:19" x14ac:dyDescent="0.2">
      <c r="B50" s="417">
        <f t="shared" si="8"/>
        <v>42917</v>
      </c>
      <c r="C50" s="409">
        <v>3.7666800122100121</v>
      </c>
      <c r="D50" s="418">
        <f t="shared" si="0"/>
        <v>2017</v>
      </c>
      <c r="I50" s="60">
        <f t="shared" si="10"/>
        <v>7</v>
      </c>
      <c r="J50" s="441">
        <f t="shared" si="11"/>
        <v>2017</v>
      </c>
      <c r="K50" s="413">
        <f t="shared" si="2"/>
        <v>42917</v>
      </c>
      <c r="L50" s="414">
        <v>42.405000000000001</v>
      </c>
      <c r="M50" s="414">
        <v>51.29</v>
      </c>
      <c r="N50" s="414">
        <v>23.375</v>
      </c>
      <c r="O50" s="415">
        <v>32.5</v>
      </c>
      <c r="Q50" s="438">
        <v>42.602150537634401</v>
      </c>
      <c r="R50" s="440">
        <f t="shared" si="12"/>
        <v>1.2039298334174662</v>
      </c>
      <c r="S50" s="440">
        <f t="shared" si="13"/>
        <v>0.76287228672387697</v>
      </c>
    </row>
    <row r="51" spans="2:19" x14ac:dyDescent="0.2">
      <c r="B51" s="417">
        <f t="shared" si="8"/>
        <v>42948</v>
      </c>
      <c r="C51" s="409">
        <v>3.7799075254375256</v>
      </c>
      <c r="D51" s="418">
        <f t="shared" si="0"/>
        <v>2017</v>
      </c>
      <c r="I51" s="60">
        <f t="shared" si="10"/>
        <v>8</v>
      </c>
      <c r="J51" s="441">
        <f t="shared" si="11"/>
        <v>2017</v>
      </c>
      <c r="K51" s="413">
        <f t="shared" si="2"/>
        <v>42948</v>
      </c>
      <c r="L51" s="414">
        <v>47.162500000000001</v>
      </c>
      <c r="M51" s="414">
        <v>50.36</v>
      </c>
      <c r="N51" s="414">
        <v>33</v>
      </c>
      <c r="O51" s="415">
        <v>32.5</v>
      </c>
      <c r="Q51" s="438">
        <v>42.870322580645158</v>
      </c>
      <c r="R51" s="440">
        <f t="shared" si="12"/>
        <v>1.1747054131740131</v>
      </c>
      <c r="S51" s="440">
        <f t="shared" si="13"/>
        <v>0.75810019714367416</v>
      </c>
    </row>
    <row r="52" spans="2:19" x14ac:dyDescent="0.2">
      <c r="B52" s="417">
        <f t="shared" si="8"/>
        <v>42979</v>
      </c>
      <c r="C52" s="409">
        <v>3.7738025193325191</v>
      </c>
      <c r="D52" s="418">
        <f t="shared" si="0"/>
        <v>2017</v>
      </c>
      <c r="I52" s="60">
        <f t="shared" si="10"/>
        <v>9</v>
      </c>
      <c r="J52" s="441">
        <f t="shared" si="11"/>
        <v>2017</v>
      </c>
      <c r="K52" s="413">
        <f t="shared" si="2"/>
        <v>42979</v>
      </c>
      <c r="L52" s="414">
        <v>45.432499999999997</v>
      </c>
      <c r="M52" s="414">
        <v>43.85</v>
      </c>
      <c r="N52" s="414">
        <v>34.375</v>
      </c>
      <c r="O52" s="415">
        <v>32.5</v>
      </c>
      <c r="Q52" s="438">
        <v>38.805555555555557</v>
      </c>
      <c r="R52" s="440">
        <f t="shared" si="12"/>
        <v>1.1299928418038654</v>
      </c>
      <c r="S52" s="440">
        <f t="shared" si="13"/>
        <v>0.83750894774516815</v>
      </c>
    </row>
    <row r="53" spans="2:19" x14ac:dyDescent="0.2">
      <c r="B53" s="417">
        <f t="shared" si="8"/>
        <v>43009</v>
      </c>
      <c r="C53" s="409">
        <v>3.7982225437525439</v>
      </c>
      <c r="D53" s="418">
        <f t="shared" si="0"/>
        <v>2017</v>
      </c>
      <c r="I53" s="60">
        <f t="shared" si="10"/>
        <v>10</v>
      </c>
      <c r="J53" s="441">
        <f t="shared" si="11"/>
        <v>2017</v>
      </c>
      <c r="K53" s="413">
        <f t="shared" si="2"/>
        <v>43009</v>
      </c>
      <c r="L53" s="414">
        <v>41.255000000000003</v>
      </c>
      <c r="M53" s="414">
        <v>41.64</v>
      </c>
      <c r="N53" s="414">
        <v>35.012500000000003</v>
      </c>
      <c r="O53" s="415">
        <v>32.5</v>
      </c>
      <c r="Q53" s="438">
        <v>37.610537634408601</v>
      </c>
      <c r="R53" s="440">
        <f t="shared" si="12"/>
        <v>1.10713652659687</v>
      </c>
      <c r="S53" s="440">
        <f t="shared" si="13"/>
        <v>0.86411952724299412</v>
      </c>
    </row>
    <row r="54" spans="2:19" x14ac:dyDescent="0.2">
      <c r="B54" s="417">
        <f t="shared" si="8"/>
        <v>43040</v>
      </c>
      <c r="C54" s="409">
        <v>4.1528216483516491</v>
      </c>
      <c r="D54" s="418">
        <f t="shared" si="0"/>
        <v>2017</v>
      </c>
      <c r="I54" s="60">
        <f t="shared" si="10"/>
        <v>11</v>
      </c>
      <c r="J54" s="441">
        <f t="shared" si="11"/>
        <v>2017</v>
      </c>
      <c r="K54" s="413">
        <f t="shared" si="2"/>
        <v>43040</v>
      </c>
      <c r="L54" s="414">
        <v>42.085000000000001</v>
      </c>
      <c r="M54" s="414">
        <v>40.880000000000003</v>
      </c>
      <c r="N54" s="414">
        <v>35.707500000000003</v>
      </c>
      <c r="O54" s="415">
        <v>31.885000000000002</v>
      </c>
      <c r="Q54" s="438">
        <v>36.875291262135931</v>
      </c>
      <c r="R54" s="440">
        <f t="shared" si="12"/>
        <v>1.1086014130544959</v>
      </c>
      <c r="S54" s="440">
        <f t="shared" si="13"/>
        <v>0.86467113638068993</v>
      </c>
    </row>
    <row r="55" spans="2:19" x14ac:dyDescent="0.2">
      <c r="B55" s="419">
        <f t="shared" si="8"/>
        <v>43070</v>
      </c>
      <c r="C55" s="420">
        <v>4.3247793203093217</v>
      </c>
      <c r="D55" s="421">
        <f t="shared" si="0"/>
        <v>2017</v>
      </c>
      <c r="I55" s="60">
        <f t="shared" si="10"/>
        <v>12</v>
      </c>
      <c r="J55" s="441">
        <f t="shared" si="11"/>
        <v>2017</v>
      </c>
      <c r="K55" s="422">
        <f t="shared" si="2"/>
        <v>43070</v>
      </c>
      <c r="L55" s="423">
        <v>44.16</v>
      </c>
      <c r="M55" s="423">
        <v>38.979999999999997</v>
      </c>
      <c r="N55" s="423">
        <v>39.53</v>
      </c>
      <c r="O55" s="424">
        <v>33.115000000000002</v>
      </c>
      <c r="Q55" s="438">
        <v>36.268225806451611</v>
      </c>
      <c r="R55" s="440">
        <f t="shared" si="12"/>
        <v>1.0747699710490388</v>
      </c>
      <c r="S55" s="440">
        <f t="shared" si="13"/>
        <v>0.91305817319879223</v>
      </c>
    </row>
    <row r="56" spans="2:19" x14ac:dyDescent="0.2">
      <c r="B56" s="408">
        <f t="shared" si="8"/>
        <v>43101</v>
      </c>
      <c r="C56" s="409">
        <v>4.4621419576719585</v>
      </c>
      <c r="D56" s="410">
        <f t="shared" si="0"/>
        <v>2018</v>
      </c>
      <c r="I56" s="60">
        <f t="shared" si="10"/>
        <v>1</v>
      </c>
      <c r="J56" s="441">
        <f t="shared" si="11"/>
        <v>2018</v>
      </c>
      <c r="K56" s="413">
        <f t="shared" si="2"/>
        <v>43101</v>
      </c>
      <c r="L56" s="425">
        <v>47.707500000000003</v>
      </c>
      <c r="M56" s="425">
        <v>45.167499999999997</v>
      </c>
      <c r="N56" s="425">
        <v>40.18</v>
      </c>
      <c r="O56" s="426">
        <v>37.085000000000001</v>
      </c>
      <c r="Q56" s="438">
        <v>41.604247311827955</v>
      </c>
      <c r="R56" s="440">
        <f t="shared" si="12"/>
        <v>1.0856463683014166</v>
      </c>
      <c r="S56" s="440">
        <f t="shared" si="13"/>
        <v>0.89137533776405697</v>
      </c>
    </row>
    <row r="57" spans="2:19" x14ac:dyDescent="0.2">
      <c r="B57" s="417">
        <f t="shared" si="8"/>
        <v>43132</v>
      </c>
      <c r="C57" s="409">
        <v>4.4326344281644285</v>
      </c>
      <c r="D57" s="418">
        <f t="shared" si="0"/>
        <v>2018</v>
      </c>
      <c r="I57" s="60">
        <f t="shared" si="10"/>
        <v>2</v>
      </c>
      <c r="J57" s="441">
        <f t="shared" si="11"/>
        <v>2018</v>
      </c>
      <c r="K57" s="413">
        <f t="shared" si="2"/>
        <v>43132</v>
      </c>
      <c r="L57" s="414">
        <v>44.75</v>
      </c>
      <c r="M57" s="414">
        <v>44.75</v>
      </c>
      <c r="N57" s="414">
        <v>39.107500000000002</v>
      </c>
      <c r="O57" s="415">
        <v>36.75</v>
      </c>
      <c r="Q57" s="438">
        <v>41.321428571428569</v>
      </c>
      <c r="R57" s="440">
        <f t="shared" si="12"/>
        <v>1.0829732065687123</v>
      </c>
      <c r="S57" s="440">
        <f t="shared" si="13"/>
        <v>0.88936905790838383</v>
      </c>
    </row>
    <row r="58" spans="2:19" x14ac:dyDescent="0.2">
      <c r="B58" s="417">
        <f t="shared" si="8"/>
        <v>43160</v>
      </c>
      <c r="C58" s="409">
        <v>4.366496862026862</v>
      </c>
      <c r="D58" s="418">
        <f t="shared" si="0"/>
        <v>2018</v>
      </c>
      <c r="I58" s="60">
        <f t="shared" si="10"/>
        <v>3</v>
      </c>
      <c r="J58" s="441">
        <f t="shared" si="11"/>
        <v>2018</v>
      </c>
      <c r="K58" s="413">
        <f t="shared" si="2"/>
        <v>43160</v>
      </c>
      <c r="L58" s="414">
        <v>41.792499999999997</v>
      </c>
      <c r="M58" s="414">
        <v>44.332500000000003</v>
      </c>
      <c r="N58" s="414">
        <v>36.962499999999999</v>
      </c>
      <c r="O58" s="415">
        <v>36.414999999999999</v>
      </c>
      <c r="Q58" s="438">
        <v>41.01844549125169</v>
      </c>
      <c r="R58" s="440">
        <f t="shared" si="12"/>
        <v>1.0807942492470888</v>
      </c>
      <c r="S58" s="440">
        <f t="shared" si="13"/>
        <v>0.88777133223555482</v>
      </c>
    </row>
    <row r="59" spans="2:19" x14ac:dyDescent="0.2">
      <c r="B59" s="417">
        <f t="shared" si="8"/>
        <v>43191</v>
      </c>
      <c r="C59" s="409">
        <v>3.9544089499389501</v>
      </c>
      <c r="D59" s="418">
        <f t="shared" si="0"/>
        <v>2018</v>
      </c>
      <c r="I59" s="60">
        <f t="shared" si="10"/>
        <v>4</v>
      </c>
      <c r="J59" s="441">
        <f t="shared" si="11"/>
        <v>2018</v>
      </c>
      <c r="K59" s="413">
        <f t="shared" si="2"/>
        <v>43191</v>
      </c>
      <c r="L59" s="414">
        <v>41.325000000000003</v>
      </c>
      <c r="M59" s="414">
        <v>44.924999999999997</v>
      </c>
      <c r="N59" s="414">
        <v>28.38</v>
      </c>
      <c r="O59" s="415">
        <v>35.672499999999999</v>
      </c>
      <c r="Q59" s="438">
        <v>40.812777777777782</v>
      </c>
      <c r="R59" s="440">
        <f t="shared" si="12"/>
        <v>1.1007582048105848</v>
      </c>
      <c r="S59" s="440">
        <f t="shared" si="13"/>
        <v>0.87405224398676873</v>
      </c>
    </row>
    <row r="60" spans="2:19" x14ac:dyDescent="0.2">
      <c r="B60" s="417">
        <f t="shared" si="8"/>
        <v>43221</v>
      </c>
      <c r="C60" s="409">
        <v>3.968653964183964</v>
      </c>
      <c r="D60" s="418">
        <f t="shared" si="0"/>
        <v>2018</v>
      </c>
      <c r="I60" s="60">
        <f t="shared" si="10"/>
        <v>5</v>
      </c>
      <c r="J60" s="441">
        <f t="shared" si="11"/>
        <v>2018</v>
      </c>
      <c r="K60" s="413">
        <f t="shared" si="2"/>
        <v>43221</v>
      </c>
      <c r="L60" s="414">
        <v>30.225000000000001</v>
      </c>
      <c r="M60" s="414">
        <v>41.25</v>
      </c>
      <c r="N60" s="414">
        <v>15.12</v>
      </c>
      <c r="O60" s="415">
        <v>28.204999999999998</v>
      </c>
      <c r="Q60" s="438">
        <v>35.49897849462365</v>
      </c>
      <c r="R60" s="440">
        <f t="shared" si="12"/>
        <v>1.1620052674543113</v>
      </c>
      <c r="S60" s="440">
        <f t="shared" si="13"/>
        <v>0.79452990469209328</v>
      </c>
    </row>
    <row r="61" spans="2:19" x14ac:dyDescent="0.2">
      <c r="B61" s="417">
        <f t="shared" si="8"/>
        <v>43252</v>
      </c>
      <c r="C61" s="409">
        <v>3.9920564875864875</v>
      </c>
      <c r="D61" s="418">
        <f t="shared" si="0"/>
        <v>2018</v>
      </c>
      <c r="I61" s="60">
        <f t="shared" si="10"/>
        <v>6</v>
      </c>
      <c r="J61" s="441">
        <f t="shared" si="11"/>
        <v>2018</v>
      </c>
      <c r="K61" s="413">
        <f t="shared" si="2"/>
        <v>43252</v>
      </c>
      <c r="L61" s="414">
        <v>27.45</v>
      </c>
      <c r="M61" s="414">
        <v>37.575000000000003</v>
      </c>
      <c r="N61" s="414">
        <v>12</v>
      </c>
      <c r="O61" s="415">
        <v>25.372499999999999</v>
      </c>
      <c r="Q61" s="438">
        <v>32.42283333333333</v>
      </c>
      <c r="R61" s="440">
        <f t="shared" si="12"/>
        <v>1.1589055038373166</v>
      </c>
      <c r="S61" s="440">
        <f t="shared" si="13"/>
        <v>0.78255036316998827</v>
      </c>
    </row>
    <row r="62" spans="2:19" x14ac:dyDescent="0.2">
      <c r="B62" s="417">
        <f t="shared" si="8"/>
        <v>43282</v>
      </c>
      <c r="C62" s="409">
        <v>4.020546516076517</v>
      </c>
      <c r="D62" s="418">
        <f t="shared" si="0"/>
        <v>2018</v>
      </c>
      <c r="I62" s="60">
        <f t="shared" si="10"/>
        <v>7</v>
      </c>
      <c r="J62" s="441">
        <f t="shared" si="11"/>
        <v>2018</v>
      </c>
      <c r="K62" s="413">
        <f t="shared" si="2"/>
        <v>43282</v>
      </c>
      <c r="L62" s="414">
        <v>44.905000000000001</v>
      </c>
      <c r="M62" s="414">
        <v>53.79</v>
      </c>
      <c r="N62" s="414">
        <v>25.375</v>
      </c>
      <c r="O62" s="415">
        <v>34.5</v>
      </c>
      <c r="Q62" s="438">
        <v>44.87096774193548</v>
      </c>
      <c r="R62" s="440">
        <f t="shared" si="12"/>
        <v>1.1987706685837527</v>
      </c>
      <c r="S62" s="440">
        <f t="shared" si="13"/>
        <v>0.76887131560028765</v>
      </c>
    </row>
    <row r="63" spans="2:19" x14ac:dyDescent="0.2">
      <c r="B63" s="417">
        <f t="shared" si="8"/>
        <v>43313</v>
      </c>
      <c r="C63" s="409">
        <v>4.0358090313390322</v>
      </c>
      <c r="D63" s="418">
        <f t="shared" si="0"/>
        <v>2018</v>
      </c>
      <c r="I63" s="60">
        <f t="shared" si="10"/>
        <v>8</v>
      </c>
      <c r="J63" s="441">
        <f t="shared" si="11"/>
        <v>2018</v>
      </c>
      <c r="K63" s="413">
        <f t="shared" si="2"/>
        <v>43313</v>
      </c>
      <c r="L63" s="414">
        <v>49.662500000000001</v>
      </c>
      <c r="M63" s="414">
        <v>52.86</v>
      </c>
      <c r="N63" s="414">
        <v>35</v>
      </c>
      <c r="O63" s="415">
        <v>34.5</v>
      </c>
      <c r="Q63" s="438">
        <v>45.160645161290326</v>
      </c>
      <c r="R63" s="440">
        <f t="shared" si="12"/>
        <v>1.1704881498307118</v>
      </c>
      <c r="S63" s="440">
        <f t="shared" si="13"/>
        <v>0.76393948484978347</v>
      </c>
    </row>
    <row r="64" spans="2:19" x14ac:dyDescent="0.2">
      <c r="B64" s="417">
        <f t="shared" si="8"/>
        <v>43344</v>
      </c>
      <c r="C64" s="409">
        <v>4.0388615343915344</v>
      </c>
      <c r="D64" s="418">
        <f t="shared" si="0"/>
        <v>2018</v>
      </c>
      <c r="I64" s="60">
        <f t="shared" si="10"/>
        <v>9</v>
      </c>
      <c r="J64" s="441">
        <f t="shared" si="11"/>
        <v>2018</v>
      </c>
      <c r="K64" s="413">
        <f t="shared" si="2"/>
        <v>43344</v>
      </c>
      <c r="L64" s="414">
        <v>47.932499999999997</v>
      </c>
      <c r="M64" s="414">
        <v>46.35</v>
      </c>
      <c r="N64" s="414">
        <v>36.375</v>
      </c>
      <c r="O64" s="415">
        <v>34.5</v>
      </c>
      <c r="Q64" s="438">
        <v>40.82</v>
      </c>
      <c r="R64" s="440">
        <f t="shared" si="12"/>
        <v>1.1354728074473297</v>
      </c>
      <c r="S64" s="440">
        <f t="shared" si="13"/>
        <v>0.84517393434590882</v>
      </c>
    </row>
    <row r="65" spans="2:19" x14ac:dyDescent="0.2">
      <c r="B65" s="417">
        <f t="shared" si="8"/>
        <v>43374</v>
      </c>
      <c r="C65" s="409">
        <v>4.0642990598290609</v>
      </c>
      <c r="D65" s="418">
        <f t="shared" si="0"/>
        <v>2018</v>
      </c>
      <c r="I65" s="60">
        <f t="shared" si="10"/>
        <v>10</v>
      </c>
      <c r="J65" s="441">
        <f t="shared" si="11"/>
        <v>2018</v>
      </c>
      <c r="K65" s="413">
        <f t="shared" si="2"/>
        <v>43374</v>
      </c>
      <c r="L65" s="414">
        <v>43.755000000000003</v>
      </c>
      <c r="M65" s="414">
        <v>44.14</v>
      </c>
      <c r="N65" s="414">
        <v>37.012500000000003</v>
      </c>
      <c r="O65" s="415">
        <v>34.5</v>
      </c>
      <c r="Q65" s="438">
        <v>40.097419354838706</v>
      </c>
      <c r="R65" s="440">
        <f t="shared" si="12"/>
        <v>1.1008189731460476</v>
      </c>
      <c r="S65" s="440">
        <f t="shared" si="13"/>
        <v>0.86040449872085734</v>
      </c>
    </row>
    <row r="66" spans="2:19" x14ac:dyDescent="0.2">
      <c r="B66" s="417">
        <f t="shared" si="8"/>
        <v>43405</v>
      </c>
      <c r="C66" s="409">
        <v>4.3339368294668299</v>
      </c>
      <c r="D66" s="418">
        <f t="shared" si="0"/>
        <v>2018</v>
      </c>
      <c r="I66" s="60">
        <f t="shared" si="10"/>
        <v>11</v>
      </c>
      <c r="J66" s="441">
        <f t="shared" si="11"/>
        <v>2018</v>
      </c>
      <c r="K66" s="413">
        <f t="shared" si="2"/>
        <v>43405</v>
      </c>
      <c r="L66" s="414">
        <v>44.585000000000001</v>
      </c>
      <c r="M66" s="414">
        <v>43.38</v>
      </c>
      <c r="N66" s="414">
        <v>37.707500000000003</v>
      </c>
      <c r="O66" s="415">
        <v>33.884999999999998</v>
      </c>
      <c r="Q66" s="438">
        <v>39.152683772538147</v>
      </c>
      <c r="R66" s="440">
        <f t="shared" si="12"/>
        <v>1.1079700245332074</v>
      </c>
      <c r="S66" s="440">
        <f t="shared" si="13"/>
        <v>0.86545791335425837</v>
      </c>
    </row>
    <row r="67" spans="2:19" x14ac:dyDescent="0.2">
      <c r="B67" s="419">
        <f t="shared" si="8"/>
        <v>43435</v>
      </c>
      <c r="C67" s="420">
        <v>4.5170870126170124</v>
      </c>
      <c r="D67" s="421">
        <f t="shared" si="0"/>
        <v>2018</v>
      </c>
      <c r="I67" s="60">
        <f t="shared" si="10"/>
        <v>12</v>
      </c>
      <c r="J67" s="441">
        <f t="shared" si="11"/>
        <v>2018</v>
      </c>
      <c r="K67" s="422">
        <f t="shared" si="2"/>
        <v>43435</v>
      </c>
      <c r="L67" s="423">
        <v>46.66</v>
      </c>
      <c r="M67" s="423">
        <v>41.48</v>
      </c>
      <c r="N67" s="423">
        <v>41.53</v>
      </c>
      <c r="O67" s="424">
        <v>35.115000000000002</v>
      </c>
      <c r="Q67" s="438">
        <v>38.53704301075269</v>
      </c>
      <c r="R67" s="440">
        <f t="shared" si="12"/>
        <v>1.0763669643367852</v>
      </c>
      <c r="S67" s="440">
        <f t="shared" si="13"/>
        <v>0.91120120425955198</v>
      </c>
    </row>
    <row r="68" spans="2:19" x14ac:dyDescent="0.2">
      <c r="B68" s="408">
        <f t="shared" si="8"/>
        <v>43466</v>
      </c>
      <c r="C68" s="409">
        <v>4.621889617419618</v>
      </c>
      <c r="D68" s="410">
        <f t="shared" si="0"/>
        <v>2019</v>
      </c>
      <c r="I68" s="60">
        <f t="shared" si="10"/>
        <v>1</v>
      </c>
      <c r="J68" s="441">
        <f t="shared" si="11"/>
        <v>2019</v>
      </c>
      <c r="K68" s="413">
        <f t="shared" si="2"/>
        <v>43466</v>
      </c>
      <c r="L68" s="425">
        <v>49.957500000000003</v>
      </c>
      <c r="M68" s="425">
        <v>47.167499999999997</v>
      </c>
      <c r="N68" s="425">
        <v>42.43</v>
      </c>
      <c r="O68" s="426">
        <v>39.085000000000001</v>
      </c>
      <c r="Q68" s="438">
        <v>43.604247311827955</v>
      </c>
      <c r="R68" s="440">
        <f t="shared" si="12"/>
        <v>1.081718018492329</v>
      </c>
      <c r="S68" s="440">
        <f t="shared" si="13"/>
        <v>0.8963576350828999</v>
      </c>
    </row>
    <row r="69" spans="2:19" x14ac:dyDescent="0.2">
      <c r="B69" s="417">
        <f t="shared" si="8"/>
        <v>43497</v>
      </c>
      <c r="C69" s="409">
        <v>4.5913645868945876</v>
      </c>
      <c r="D69" s="418">
        <f t="shared" si="0"/>
        <v>2019</v>
      </c>
      <c r="I69" s="60">
        <f t="shared" si="10"/>
        <v>2</v>
      </c>
      <c r="J69" s="441">
        <f t="shared" si="11"/>
        <v>2019</v>
      </c>
      <c r="K69" s="413">
        <f t="shared" si="2"/>
        <v>43497</v>
      </c>
      <c r="L69" s="414">
        <v>47</v>
      </c>
      <c r="M69" s="414">
        <v>46.75</v>
      </c>
      <c r="N69" s="414">
        <v>41.357500000000002</v>
      </c>
      <c r="O69" s="415">
        <v>38.75</v>
      </c>
      <c r="Q69" s="438">
        <v>43.321428571428569</v>
      </c>
      <c r="R69" s="440">
        <f t="shared" si="12"/>
        <v>1.0791426215993405</v>
      </c>
      <c r="S69" s="440">
        <f t="shared" si="13"/>
        <v>0.89447650453421279</v>
      </c>
    </row>
    <row r="70" spans="2:19" x14ac:dyDescent="0.2">
      <c r="B70" s="417">
        <f t="shared" si="8"/>
        <v>43525</v>
      </c>
      <c r="C70" s="409">
        <v>4.5242095197395207</v>
      </c>
      <c r="D70" s="418">
        <f t="shared" si="0"/>
        <v>2019</v>
      </c>
      <c r="I70" s="60">
        <f t="shared" si="10"/>
        <v>3</v>
      </c>
      <c r="J70" s="441">
        <f t="shared" si="11"/>
        <v>2019</v>
      </c>
      <c r="K70" s="413">
        <f t="shared" si="2"/>
        <v>43525</v>
      </c>
      <c r="L70" s="414">
        <v>44.042499999999997</v>
      </c>
      <c r="M70" s="414">
        <v>46.332500000000003</v>
      </c>
      <c r="N70" s="414">
        <v>39.212499999999999</v>
      </c>
      <c r="O70" s="415">
        <v>38.414999999999999</v>
      </c>
      <c r="Q70" s="438">
        <v>42.847947510094215</v>
      </c>
      <c r="R70" s="440">
        <f t="shared" si="12"/>
        <v>1.081323673417143</v>
      </c>
      <c r="S70" s="440">
        <f t="shared" si="13"/>
        <v>0.89654236042345103</v>
      </c>
    </row>
    <row r="71" spans="2:19" x14ac:dyDescent="0.2">
      <c r="B71" s="417">
        <f t="shared" si="8"/>
        <v>43556</v>
      </c>
      <c r="C71" s="409">
        <v>4.1375591330891339</v>
      </c>
      <c r="D71" s="418">
        <f t="shared" si="0"/>
        <v>2019</v>
      </c>
      <c r="I71" s="60">
        <f t="shared" si="10"/>
        <v>4</v>
      </c>
      <c r="J71" s="441">
        <f t="shared" si="11"/>
        <v>2019</v>
      </c>
      <c r="K71" s="413">
        <f t="shared" si="2"/>
        <v>43556</v>
      </c>
      <c r="L71" s="414">
        <v>43.575000000000003</v>
      </c>
      <c r="M71" s="414">
        <v>46.924999999999997</v>
      </c>
      <c r="N71" s="414">
        <v>30.63</v>
      </c>
      <c r="O71" s="415">
        <v>37.672499999999999</v>
      </c>
      <c r="Q71" s="438">
        <v>43.018388888888886</v>
      </c>
      <c r="R71" s="440">
        <f t="shared" si="12"/>
        <v>1.0908125853155821</v>
      </c>
      <c r="S71" s="440">
        <f t="shared" si="13"/>
        <v>0.87573014641025615</v>
      </c>
    </row>
    <row r="72" spans="2:19" x14ac:dyDescent="0.2">
      <c r="B72" s="417">
        <f t="shared" si="8"/>
        <v>43586</v>
      </c>
      <c r="C72" s="409">
        <v>4.1528216483516491</v>
      </c>
      <c r="D72" s="418">
        <f t="shared" ref="D72:D135" si="18">YEAR(B72)</f>
        <v>2019</v>
      </c>
      <c r="I72" s="60">
        <f t="shared" si="10"/>
        <v>5</v>
      </c>
      <c r="J72" s="441">
        <f t="shared" si="11"/>
        <v>2019</v>
      </c>
      <c r="K72" s="413">
        <f t="shared" ref="K72:K135" si="19">B72</f>
        <v>43586</v>
      </c>
      <c r="L72" s="414">
        <v>32.475000000000001</v>
      </c>
      <c r="M72" s="414">
        <v>43.25</v>
      </c>
      <c r="N72" s="414">
        <v>17.37</v>
      </c>
      <c r="O72" s="415">
        <v>30.204999999999998</v>
      </c>
      <c r="Q72" s="438">
        <v>37.49897849462365</v>
      </c>
      <c r="R72" s="440">
        <f t="shared" si="12"/>
        <v>1.153364751154512</v>
      </c>
      <c r="S72" s="440">
        <f t="shared" si="13"/>
        <v>0.80548860829183888</v>
      </c>
    </row>
    <row r="73" spans="2:19" x14ac:dyDescent="0.2">
      <c r="B73" s="417">
        <f t="shared" ref="B73:B136" si="20">EDATE(B72,1)</f>
        <v>43617</v>
      </c>
      <c r="C73" s="409">
        <v>4.1762241717541722</v>
      </c>
      <c r="D73" s="418">
        <f t="shared" si="18"/>
        <v>2019</v>
      </c>
      <c r="I73" s="60">
        <f t="shared" ref="I73:I136" si="21">MONTH(K73)</f>
        <v>6</v>
      </c>
      <c r="J73" s="441">
        <f t="shared" ref="J73:J136" si="22">YEAR(K73)</f>
        <v>2019</v>
      </c>
      <c r="K73" s="413">
        <f t="shared" si="19"/>
        <v>43617</v>
      </c>
      <c r="L73" s="414">
        <v>29.7</v>
      </c>
      <c r="M73" s="414">
        <v>39.575000000000003</v>
      </c>
      <c r="N73" s="414">
        <v>14.25</v>
      </c>
      <c r="O73" s="415">
        <v>27.372499999999999</v>
      </c>
      <c r="Q73" s="438">
        <v>34.151666666666671</v>
      </c>
      <c r="R73" s="440">
        <f t="shared" ref="R73:R136" si="23">M73/Q73</f>
        <v>1.1588014250158605</v>
      </c>
      <c r="S73" s="440">
        <f t="shared" ref="S73:S136" si="24">O73/Q73</f>
        <v>0.80149821873017413</v>
      </c>
    </row>
    <row r="74" spans="2:19" x14ac:dyDescent="0.2">
      <c r="B74" s="417">
        <f t="shared" si="20"/>
        <v>43647</v>
      </c>
      <c r="C74" s="409">
        <v>4.2067492022792026</v>
      </c>
      <c r="D74" s="418">
        <f t="shared" si="18"/>
        <v>2019</v>
      </c>
      <c r="I74" s="60">
        <f t="shared" si="21"/>
        <v>7</v>
      </c>
      <c r="J74" s="441">
        <f t="shared" si="22"/>
        <v>2019</v>
      </c>
      <c r="K74" s="413">
        <f t="shared" si="19"/>
        <v>43647</v>
      </c>
      <c r="L74" s="414">
        <v>47.155000000000001</v>
      </c>
      <c r="M74" s="414">
        <v>55.79</v>
      </c>
      <c r="N74" s="414">
        <v>27.625</v>
      </c>
      <c r="O74" s="415">
        <v>36.5</v>
      </c>
      <c r="Q74" s="438">
        <v>47.285806451612899</v>
      </c>
      <c r="R74" s="440">
        <f t="shared" si="23"/>
        <v>1.1798466429263368</v>
      </c>
      <c r="S74" s="440">
        <f t="shared" si="24"/>
        <v>0.77190181872757291</v>
      </c>
    </row>
    <row r="75" spans="2:19" x14ac:dyDescent="0.2">
      <c r="B75" s="417">
        <f t="shared" si="20"/>
        <v>43678</v>
      </c>
      <c r="C75" s="409">
        <v>4.2321867277167282</v>
      </c>
      <c r="D75" s="418">
        <f t="shared" si="18"/>
        <v>2019</v>
      </c>
      <c r="I75" s="60">
        <f t="shared" si="21"/>
        <v>8</v>
      </c>
      <c r="J75" s="441">
        <f t="shared" si="22"/>
        <v>2019</v>
      </c>
      <c r="K75" s="413">
        <f t="shared" si="19"/>
        <v>43678</v>
      </c>
      <c r="L75" s="414">
        <v>51.912500000000001</v>
      </c>
      <c r="M75" s="414">
        <v>54.86</v>
      </c>
      <c r="N75" s="414">
        <v>37.25</v>
      </c>
      <c r="O75" s="415">
        <v>36.5</v>
      </c>
      <c r="Q75" s="438">
        <v>47.160645161290326</v>
      </c>
      <c r="R75" s="440">
        <f t="shared" si="23"/>
        <v>1.1632580473057086</v>
      </c>
      <c r="S75" s="440">
        <f t="shared" si="24"/>
        <v>0.77395039603824944</v>
      </c>
    </row>
    <row r="76" spans="2:19" x14ac:dyDescent="0.2">
      <c r="B76" s="417">
        <f t="shared" si="20"/>
        <v>43709</v>
      </c>
      <c r="C76" s="409">
        <v>4.2403267358567369</v>
      </c>
      <c r="D76" s="418">
        <f t="shared" si="18"/>
        <v>2019</v>
      </c>
      <c r="I76" s="60">
        <f t="shared" si="21"/>
        <v>9</v>
      </c>
      <c r="J76" s="441">
        <f t="shared" si="22"/>
        <v>2019</v>
      </c>
      <c r="K76" s="413">
        <f t="shared" si="19"/>
        <v>43709</v>
      </c>
      <c r="L76" s="414">
        <v>50.182499999999997</v>
      </c>
      <c r="M76" s="414">
        <v>48.35</v>
      </c>
      <c r="N76" s="414">
        <v>38.625</v>
      </c>
      <c r="O76" s="415">
        <v>36.5</v>
      </c>
      <c r="Q76" s="438">
        <v>42.82</v>
      </c>
      <c r="R76" s="440">
        <f t="shared" si="23"/>
        <v>1.1291452592246614</v>
      </c>
      <c r="S76" s="440">
        <f t="shared" si="24"/>
        <v>0.85240541802895842</v>
      </c>
    </row>
    <row r="77" spans="2:19" x14ac:dyDescent="0.2">
      <c r="B77" s="417">
        <f t="shared" si="20"/>
        <v>43739</v>
      </c>
      <c r="C77" s="409">
        <v>4.2789917745217743</v>
      </c>
      <c r="D77" s="418">
        <f t="shared" si="18"/>
        <v>2019</v>
      </c>
      <c r="I77" s="60">
        <f t="shared" si="21"/>
        <v>10</v>
      </c>
      <c r="J77" s="441">
        <f t="shared" si="22"/>
        <v>2019</v>
      </c>
      <c r="K77" s="413">
        <f t="shared" si="19"/>
        <v>43739</v>
      </c>
      <c r="L77" s="414">
        <v>46.005000000000003</v>
      </c>
      <c r="M77" s="414">
        <v>46.14</v>
      </c>
      <c r="N77" s="414">
        <v>39.262500000000003</v>
      </c>
      <c r="O77" s="415">
        <v>36.5</v>
      </c>
      <c r="Q77" s="438">
        <v>42.097419354838706</v>
      </c>
      <c r="R77" s="440">
        <f t="shared" si="23"/>
        <v>1.096029179629431</v>
      </c>
      <c r="S77" s="440">
        <f t="shared" si="24"/>
        <v>0.86703652051309565</v>
      </c>
    </row>
    <row r="78" spans="2:19" x14ac:dyDescent="0.2">
      <c r="B78" s="417">
        <f t="shared" si="20"/>
        <v>43770</v>
      </c>
      <c r="C78" s="409">
        <v>4.5216657671957678</v>
      </c>
      <c r="D78" s="418">
        <f t="shared" si="18"/>
        <v>2019</v>
      </c>
      <c r="I78" s="60">
        <f t="shared" si="21"/>
        <v>11</v>
      </c>
      <c r="J78" s="441">
        <f t="shared" si="22"/>
        <v>2019</v>
      </c>
      <c r="K78" s="413">
        <f t="shared" si="19"/>
        <v>43770</v>
      </c>
      <c r="L78" s="414">
        <v>46.835000000000001</v>
      </c>
      <c r="M78" s="414">
        <v>45.38</v>
      </c>
      <c r="N78" s="414">
        <v>39.957500000000003</v>
      </c>
      <c r="O78" s="415">
        <v>35.884999999999998</v>
      </c>
      <c r="Q78" s="438">
        <v>41.152683772538147</v>
      </c>
      <c r="R78" s="440">
        <f t="shared" si="23"/>
        <v>1.1027227349454864</v>
      </c>
      <c r="S78" s="440">
        <f t="shared" si="24"/>
        <v>0.87199659196824097</v>
      </c>
    </row>
    <row r="79" spans="2:19" x14ac:dyDescent="0.2">
      <c r="B79" s="419">
        <f t="shared" si="20"/>
        <v>43800</v>
      </c>
      <c r="C79" s="420">
        <v>4.7210959666259678</v>
      </c>
      <c r="D79" s="421">
        <f t="shared" si="18"/>
        <v>2019</v>
      </c>
      <c r="I79" s="60">
        <f t="shared" si="21"/>
        <v>12</v>
      </c>
      <c r="J79" s="441">
        <f t="shared" si="22"/>
        <v>2019</v>
      </c>
      <c r="K79" s="422">
        <f t="shared" si="19"/>
        <v>43800</v>
      </c>
      <c r="L79" s="423">
        <v>48.91</v>
      </c>
      <c r="M79" s="423">
        <v>43.48</v>
      </c>
      <c r="N79" s="423">
        <v>43.78</v>
      </c>
      <c r="O79" s="424">
        <v>37.115000000000002</v>
      </c>
      <c r="Q79" s="438">
        <v>40.53704301075269</v>
      </c>
      <c r="R79" s="440">
        <f t="shared" si="23"/>
        <v>1.0725992023756314</v>
      </c>
      <c r="S79" s="440">
        <f t="shared" si="24"/>
        <v>0.91558232281903318</v>
      </c>
    </row>
    <row r="80" spans="2:19" x14ac:dyDescent="0.2">
      <c r="B80" s="408">
        <f t="shared" si="20"/>
        <v>43831</v>
      </c>
      <c r="C80" s="409">
        <v>4.8609006064306071</v>
      </c>
      <c r="D80" s="410">
        <f t="shared" si="18"/>
        <v>2020</v>
      </c>
      <c r="I80" s="60">
        <f t="shared" si="21"/>
        <v>1</v>
      </c>
      <c r="J80" s="441">
        <f t="shared" si="22"/>
        <v>2020</v>
      </c>
      <c r="K80" s="413">
        <f t="shared" si="19"/>
        <v>43831</v>
      </c>
      <c r="L80" s="425">
        <v>53.207500000000003</v>
      </c>
      <c r="M80" s="425">
        <v>50.167499999999997</v>
      </c>
      <c r="N80" s="425">
        <v>44.43</v>
      </c>
      <c r="O80" s="426">
        <v>41.085000000000001</v>
      </c>
      <c r="Q80" s="438">
        <v>46.163387096774187</v>
      </c>
      <c r="R80" s="440">
        <f t="shared" si="23"/>
        <v>1.0867378490844233</v>
      </c>
      <c r="S80" s="440">
        <f t="shared" si="24"/>
        <v>0.88999102067341473</v>
      </c>
    </row>
    <row r="81" spans="2:19" x14ac:dyDescent="0.2">
      <c r="B81" s="417">
        <f t="shared" si="20"/>
        <v>43862</v>
      </c>
      <c r="C81" s="409">
        <v>4.8354630809930814</v>
      </c>
      <c r="D81" s="418">
        <f t="shared" si="18"/>
        <v>2020</v>
      </c>
      <c r="I81" s="60">
        <f t="shared" si="21"/>
        <v>2</v>
      </c>
      <c r="J81" s="441">
        <f t="shared" si="22"/>
        <v>2020</v>
      </c>
      <c r="K81" s="413">
        <f t="shared" si="19"/>
        <v>43862</v>
      </c>
      <c r="L81" s="414">
        <v>50.25</v>
      </c>
      <c r="M81" s="414">
        <v>49.75</v>
      </c>
      <c r="N81" s="414">
        <v>43.357500000000002</v>
      </c>
      <c r="O81" s="415">
        <v>40.75</v>
      </c>
      <c r="Q81" s="438">
        <v>45.922413793103445</v>
      </c>
      <c r="R81" s="440">
        <f t="shared" si="23"/>
        <v>1.0833489769100808</v>
      </c>
      <c r="S81" s="440">
        <f t="shared" si="24"/>
        <v>0.88736624741880987</v>
      </c>
    </row>
    <row r="82" spans="2:19" x14ac:dyDescent="0.2">
      <c r="B82" s="417">
        <f t="shared" si="20"/>
        <v>43891</v>
      </c>
      <c r="C82" s="409">
        <v>4.7693255148555158</v>
      </c>
      <c r="D82" s="418">
        <f t="shared" si="18"/>
        <v>2020</v>
      </c>
      <c r="I82" s="60">
        <f t="shared" si="21"/>
        <v>3</v>
      </c>
      <c r="J82" s="441">
        <f t="shared" si="22"/>
        <v>2020</v>
      </c>
      <c r="K82" s="413">
        <f t="shared" si="19"/>
        <v>43891</v>
      </c>
      <c r="L82" s="414">
        <v>47.292499999999997</v>
      </c>
      <c r="M82" s="414">
        <v>49.332500000000003</v>
      </c>
      <c r="N82" s="414">
        <v>41.212499999999999</v>
      </c>
      <c r="O82" s="415">
        <v>40.414999999999999</v>
      </c>
      <c r="Q82" s="438">
        <v>45.407839838492592</v>
      </c>
      <c r="R82" s="440">
        <f t="shared" si="23"/>
        <v>1.0864313337843579</v>
      </c>
      <c r="S82" s="440">
        <f t="shared" si="24"/>
        <v>0.8900445417299917</v>
      </c>
    </row>
    <row r="83" spans="2:19" x14ac:dyDescent="0.2">
      <c r="B83" s="417">
        <f t="shared" si="20"/>
        <v>43922</v>
      </c>
      <c r="C83" s="409">
        <v>4.4132001587301595</v>
      </c>
      <c r="D83" s="418">
        <f t="shared" si="18"/>
        <v>2020</v>
      </c>
      <c r="I83" s="60">
        <f t="shared" si="21"/>
        <v>4</v>
      </c>
      <c r="J83" s="441">
        <f t="shared" si="22"/>
        <v>2020</v>
      </c>
      <c r="K83" s="413">
        <f t="shared" si="19"/>
        <v>43922</v>
      </c>
      <c r="L83" s="414">
        <v>46.825000000000003</v>
      </c>
      <c r="M83" s="414">
        <v>49.924999999999997</v>
      </c>
      <c r="N83" s="414">
        <v>32.630000000000003</v>
      </c>
      <c r="O83" s="415">
        <v>39.672499999999999</v>
      </c>
      <c r="Q83" s="438">
        <v>45.596166666666669</v>
      </c>
      <c r="R83" s="440">
        <f t="shared" si="23"/>
        <v>1.0949385364997788</v>
      </c>
      <c r="S83" s="440">
        <f t="shared" si="24"/>
        <v>0.87008410794767099</v>
      </c>
    </row>
    <row r="84" spans="2:19" x14ac:dyDescent="0.2">
      <c r="B84" s="417">
        <f t="shared" si="20"/>
        <v>43952</v>
      </c>
      <c r="C84" s="409">
        <v>4.5739653194953203</v>
      </c>
      <c r="D84" s="418">
        <f t="shared" si="18"/>
        <v>2020</v>
      </c>
      <c r="I84" s="60">
        <f t="shared" si="21"/>
        <v>5</v>
      </c>
      <c r="J84" s="441">
        <f t="shared" si="22"/>
        <v>2020</v>
      </c>
      <c r="K84" s="413">
        <f t="shared" si="19"/>
        <v>43952</v>
      </c>
      <c r="L84" s="414">
        <v>35.109319999999997</v>
      </c>
      <c r="M84" s="414">
        <v>43.778350000000003</v>
      </c>
      <c r="N84" s="414">
        <v>24.766584999999999</v>
      </c>
      <c r="O84" s="415">
        <v>35.848019999999998</v>
      </c>
      <c r="Q84" s="438">
        <v>40.111638279569895</v>
      </c>
      <c r="R84" s="440">
        <f t="shared" si="23"/>
        <v>1.0914126641967072</v>
      </c>
      <c r="S84" s="440">
        <f t="shared" si="24"/>
        <v>0.89370620442243343</v>
      </c>
    </row>
    <row r="85" spans="2:19" x14ac:dyDescent="0.2">
      <c r="B85" s="417">
        <f t="shared" si="20"/>
        <v>43983</v>
      </c>
      <c r="C85" s="409">
        <v>4.5680638135938141</v>
      </c>
      <c r="D85" s="418">
        <f t="shared" si="18"/>
        <v>2020</v>
      </c>
      <c r="I85" s="60">
        <f t="shared" si="21"/>
        <v>6</v>
      </c>
      <c r="J85" s="441">
        <f t="shared" si="22"/>
        <v>2020</v>
      </c>
      <c r="K85" s="413">
        <f t="shared" si="19"/>
        <v>43983</v>
      </c>
      <c r="L85" s="414">
        <v>35.995235000000001</v>
      </c>
      <c r="M85" s="414">
        <v>44.018535</v>
      </c>
      <c r="N85" s="414">
        <v>24.105474999999998</v>
      </c>
      <c r="O85" s="415">
        <v>35.832644999999999</v>
      </c>
      <c r="Q85" s="438">
        <v>40.562270333333338</v>
      </c>
      <c r="R85" s="440">
        <f t="shared" si="23"/>
        <v>1.0852088563648856</v>
      </c>
      <c r="S85" s="440">
        <f t="shared" si="24"/>
        <v>0.88339840707962991</v>
      </c>
    </row>
    <row r="86" spans="2:19" x14ac:dyDescent="0.2">
      <c r="B86" s="417">
        <f t="shared" si="20"/>
        <v>44013</v>
      </c>
      <c r="C86" s="409">
        <v>4.6236193691493694</v>
      </c>
      <c r="D86" s="418">
        <f t="shared" si="18"/>
        <v>2020</v>
      </c>
      <c r="I86" s="60">
        <f t="shared" si="21"/>
        <v>7</v>
      </c>
      <c r="J86" s="441">
        <f t="shared" si="22"/>
        <v>2020</v>
      </c>
      <c r="K86" s="413">
        <f t="shared" si="19"/>
        <v>44013</v>
      </c>
      <c r="L86" s="414">
        <v>47.824210000000001</v>
      </c>
      <c r="M86" s="414">
        <v>55.251244999999997</v>
      </c>
      <c r="N86" s="414">
        <v>34.374915000000001</v>
      </c>
      <c r="O86" s="415">
        <v>42.165599999999998</v>
      </c>
      <c r="Q86" s="438">
        <v>49.482304731182793</v>
      </c>
      <c r="R86" s="440">
        <f t="shared" si="23"/>
        <v>1.1165859250121333</v>
      </c>
      <c r="S86" s="440">
        <f t="shared" si="24"/>
        <v>0.85213492437485538</v>
      </c>
    </row>
    <row r="87" spans="2:19" x14ac:dyDescent="0.2">
      <c r="B87" s="417">
        <f t="shared" si="20"/>
        <v>44044</v>
      </c>
      <c r="C87" s="409">
        <v>4.6471236426536437</v>
      </c>
      <c r="D87" s="418">
        <f t="shared" si="18"/>
        <v>2020</v>
      </c>
      <c r="I87" s="60">
        <f t="shared" si="21"/>
        <v>8</v>
      </c>
      <c r="J87" s="441">
        <f t="shared" si="22"/>
        <v>2020</v>
      </c>
      <c r="K87" s="413">
        <f t="shared" si="19"/>
        <v>44044</v>
      </c>
      <c r="L87" s="414">
        <v>51.516715000000005</v>
      </c>
      <c r="M87" s="414">
        <v>55.337139999999998</v>
      </c>
      <c r="N87" s="414">
        <v>39.823844999999999</v>
      </c>
      <c r="O87" s="415">
        <v>42.868369999999999</v>
      </c>
      <c r="Q87" s="438">
        <v>49.840155376344086</v>
      </c>
      <c r="R87" s="440">
        <f t="shared" si="23"/>
        <v>1.1102922850490344</v>
      </c>
      <c r="S87" s="440">
        <f t="shared" si="24"/>
        <v>0.86011710188902935</v>
      </c>
    </row>
    <row r="88" spans="2:19" x14ac:dyDescent="0.2">
      <c r="B88" s="417">
        <f t="shared" si="20"/>
        <v>44075</v>
      </c>
      <c r="C88" s="409">
        <v>4.666354411884412</v>
      </c>
      <c r="D88" s="418">
        <f t="shared" si="18"/>
        <v>2020</v>
      </c>
      <c r="I88" s="60">
        <f t="shared" si="21"/>
        <v>9</v>
      </c>
      <c r="J88" s="441">
        <f t="shared" si="22"/>
        <v>2020</v>
      </c>
      <c r="K88" s="413">
        <f t="shared" si="19"/>
        <v>44075</v>
      </c>
      <c r="L88" s="414">
        <v>49.563289999999995</v>
      </c>
      <c r="M88" s="414">
        <v>49.468130000000002</v>
      </c>
      <c r="N88" s="414">
        <v>40.213695000000001</v>
      </c>
      <c r="O88" s="415">
        <v>41.858114999999998</v>
      </c>
      <c r="Q88" s="438">
        <v>46.085901111111113</v>
      </c>
      <c r="R88" s="440">
        <f t="shared" si="23"/>
        <v>1.0733896659790698</v>
      </c>
      <c r="S88" s="440">
        <f t="shared" si="24"/>
        <v>0.90826291752616262</v>
      </c>
    </row>
    <row r="89" spans="2:19" x14ac:dyDescent="0.2">
      <c r="B89" s="417">
        <f t="shared" si="20"/>
        <v>44105</v>
      </c>
      <c r="C89" s="409">
        <v>4.7157032112332118</v>
      </c>
      <c r="D89" s="418">
        <f t="shared" si="18"/>
        <v>2020</v>
      </c>
      <c r="I89" s="60">
        <f t="shared" si="21"/>
        <v>10</v>
      </c>
      <c r="J89" s="441">
        <f t="shared" si="22"/>
        <v>2020</v>
      </c>
      <c r="K89" s="413">
        <f t="shared" si="19"/>
        <v>44105</v>
      </c>
      <c r="L89" s="414">
        <v>47.301265000000001</v>
      </c>
      <c r="M89" s="414">
        <v>46.788780000000003</v>
      </c>
      <c r="N89" s="414">
        <v>40.327820000000003</v>
      </c>
      <c r="O89" s="415">
        <v>40.684020000000004</v>
      </c>
      <c r="Q89" s="438">
        <v>44.228719354838709</v>
      </c>
      <c r="R89" s="440">
        <f t="shared" si="23"/>
        <v>1.0578823145346445</v>
      </c>
      <c r="S89" s="440">
        <f t="shared" si="24"/>
        <v>0.9198552567981847</v>
      </c>
    </row>
    <row r="90" spans="2:19" x14ac:dyDescent="0.2">
      <c r="B90" s="417">
        <f t="shared" si="20"/>
        <v>44136</v>
      </c>
      <c r="C90" s="409">
        <v>4.9419954375254376</v>
      </c>
      <c r="D90" s="418">
        <f t="shared" si="18"/>
        <v>2020</v>
      </c>
      <c r="I90" s="60">
        <f t="shared" si="21"/>
        <v>11</v>
      </c>
      <c r="J90" s="441">
        <f t="shared" si="22"/>
        <v>2020</v>
      </c>
      <c r="K90" s="413">
        <f t="shared" si="19"/>
        <v>44136</v>
      </c>
      <c r="L90" s="414">
        <v>48.539280000000005</v>
      </c>
      <c r="M90" s="414">
        <v>46.70355</v>
      </c>
      <c r="N90" s="414">
        <v>41.623405000000005</v>
      </c>
      <c r="O90" s="415">
        <v>40.696545</v>
      </c>
      <c r="Q90" s="438">
        <v>43.895837538141471</v>
      </c>
      <c r="R90" s="440">
        <f t="shared" si="23"/>
        <v>1.063963068466774</v>
      </c>
      <c r="S90" s="440">
        <f t="shared" si="24"/>
        <v>0.92711626619809728</v>
      </c>
    </row>
    <row r="91" spans="2:19" x14ac:dyDescent="0.2">
      <c r="B91" s="419">
        <f t="shared" si="20"/>
        <v>44166</v>
      </c>
      <c r="C91" s="420">
        <v>5.1630984086284091</v>
      </c>
      <c r="D91" s="421">
        <f t="shared" si="18"/>
        <v>2020</v>
      </c>
      <c r="I91" s="60">
        <f t="shared" si="21"/>
        <v>12</v>
      </c>
      <c r="J91" s="441">
        <f t="shared" si="22"/>
        <v>2020</v>
      </c>
      <c r="K91" s="422">
        <f t="shared" si="19"/>
        <v>44166</v>
      </c>
      <c r="L91" s="423">
        <v>51.182599999999994</v>
      </c>
      <c r="M91" s="423">
        <v>46.36703</v>
      </c>
      <c r="N91" s="423">
        <v>44.209360000000004</v>
      </c>
      <c r="O91" s="424">
        <v>42.469369999999998</v>
      </c>
      <c r="Q91" s="438">
        <v>44.648706774193542</v>
      </c>
      <c r="R91" s="440">
        <f t="shared" si="23"/>
        <v>1.0384853974493977</v>
      </c>
      <c r="S91" s="440">
        <f t="shared" si="24"/>
        <v>0.95118925201539817</v>
      </c>
    </row>
    <row r="92" spans="2:19" x14ac:dyDescent="0.2">
      <c r="B92" s="408">
        <f t="shared" si="20"/>
        <v>44197</v>
      </c>
      <c r="C92" s="409">
        <v>5.2065457020757018</v>
      </c>
      <c r="D92" s="410">
        <f t="shared" si="18"/>
        <v>2021</v>
      </c>
      <c r="I92" s="60">
        <f t="shared" si="21"/>
        <v>1</v>
      </c>
      <c r="J92" s="441">
        <f t="shared" si="22"/>
        <v>2021</v>
      </c>
      <c r="K92" s="413">
        <f t="shared" si="19"/>
        <v>44197</v>
      </c>
      <c r="L92" s="425">
        <v>53.057865000000007</v>
      </c>
      <c r="M92" s="425">
        <v>49.977815</v>
      </c>
      <c r="N92" s="425">
        <v>44.362555</v>
      </c>
      <c r="O92" s="426">
        <v>44.468649999999997</v>
      </c>
      <c r="Q92" s="438">
        <v>47.430566666666664</v>
      </c>
      <c r="R92" s="440">
        <f t="shared" si="23"/>
        <v>1.0537047839051752</v>
      </c>
      <c r="S92" s="440">
        <f t="shared" si="24"/>
        <v>0.93755257685444759</v>
      </c>
    </row>
    <row r="93" spans="2:19" x14ac:dyDescent="0.2">
      <c r="B93" s="417">
        <f t="shared" si="20"/>
        <v>44228</v>
      </c>
      <c r="C93" s="409">
        <v>5.1551619006919012</v>
      </c>
      <c r="D93" s="418">
        <f t="shared" si="18"/>
        <v>2021</v>
      </c>
      <c r="I93" s="60">
        <f t="shared" si="21"/>
        <v>2</v>
      </c>
      <c r="J93" s="441">
        <f t="shared" si="22"/>
        <v>2021</v>
      </c>
      <c r="K93" s="413">
        <f t="shared" si="19"/>
        <v>44228</v>
      </c>
      <c r="L93" s="414">
        <v>50.462975</v>
      </c>
      <c r="M93" s="414">
        <v>49.373345</v>
      </c>
      <c r="N93" s="414">
        <v>43.081175000000002</v>
      </c>
      <c r="O93" s="415">
        <v>44.287244999999999</v>
      </c>
      <c r="Q93" s="438">
        <v>47.193587857142859</v>
      </c>
      <c r="R93" s="440">
        <f t="shared" si="23"/>
        <v>1.0461875700032675</v>
      </c>
      <c r="S93" s="440">
        <f t="shared" si="24"/>
        <v>0.93841657332897654</v>
      </c>
    </row>
    <row r="94" spans="2:19" x14ac:dyDescent="0.2">
      <c r="B94" s="417">
        <f t="shared" si="20"/>
        <v>44256</v>
      </c>
      <c r="C94" s="409">
        <v>4.9706889662189662</v>
      </c>
      <c r="D94" s="418">
        <f t="shared" si="18"/>
        <v>2021</v>
      </c>
      <c r="I94" s="60">
        <f t="shared" si="21"/>
        <v>3</v>
      </c>
      <c r="J94" s="441">
        <f t="shared" si="22"/>
        <v>2021</v>
      </c>
      <c r="K94" s="413">
        <f t="shared" si="19"/>
        <v>44256</v>
      </c>
      <c r="L94" s="414">
        <v>46.190434999999994</v>
      </c>
      <c r="M94" s="414">
        <v>47.726520000000001</v>
      </c>
      <c r="N94" s="414">
        <v>40.550719999999998</v>
      </c>
      <c r="O94" s="415">
        <v>42.272419999999997</v>
      </c>
      <c r="Q94" s="438">
        <v>45.443579084791388</v>
      </c>
      <c r="R94" s="440">
        <f t="shared" si="23"/>
        <v>1.0502368202766108</v>
      </c>
      <c r="S94" s="440">
        <f t="shared" si="24"/>
        <v>0.93021766443891996</v>
      </c>
    </row>
    <row r="95" spans="2:19" x14ac:dyDescent="0.2">
      <c r="B95" s="417">
        <f t="shared" si="20"/>
        <v>44287</v>
      </c>
      <c r="C95" s="409">
        <v>4.7734972690272697</v>
      </c>
      <c r="D95" s="418">
        <f t="shared" si="18"/>
        <v>2021</v>
      </c>
      <c r="I95" s="60">
        <f t="shared" si="21"/>
        <v>4</v>
      </c>
      <c r="J95" s="441">
        <f t="shared" si="22"/>
        <v>2021</v>
      </c>
      <c r="K95" s="413">
        <f t="shared" si="19"/>
        <v>44287</v>
      </c>
      <c r="L95" s="414">
        <v>44.520195000000001</v>
      </c>
      <c r="M95" s="414">
        <v>47.829409999999996</v>
      </c>
      <c r="N95" s="414">
        <v>35.289155000000001</v>
      </c>
      <c r="O95" s="415">
        <v>41.538650000000004</v>
      </c>
      <c r="Q95" s="438">
        <v>45.173311333333338</v>
      </c>
      <c r="R95" s="440">
        <f t="shared" si="23"/>
        <v>1.0587979625196686</v>
      </c>
      <c r="S95" s="440">
        <f t="shared" si="24"/>
        <v>0.91953963023624263</v>
      </c>
    </row>
    <row r="96" spans="2:19" x14ac:dyDescent="0.2">
      <c r="B96" s="417">
        <f t="shared" si="20"/>
        <v>44317</v>
      </c>
      <c r="C96" s="409">
        <v>4.9952107407407409</v>
      </c>
      <c r="D96" s="418">
        <f t="shared" si="18"/>
        <v>2021</v>
      </c>
      <c r="I96" s="60">
        <f t="shared" si="21"/>
        <v>5</v>
      </c>
      <c r="J96" s="441">
        <f t="shared" si="22"/>
        <v>2021</v>
      </c>
      <c r="K96" s="413">
        <f t="shared" si="19"/>
        <v>44317</v>
      </c>
      <c r="L96" s="414">
        <v>37.743639999999999</v>
      </c>
      <c r="M96" s="414">
        <v>44.306699999999999</v>
      </c>
      <c r="N96" s="414">
        <v>32.163170000000001</v>
      </c>
      <c r="O96" s="415">
        <v>41.491039999999998</v>
      </c>
      <c r="Q96" s="438">
        <v>43.00483569892473</v>
      </c>
      <c r="R96" s="440">
        <f t="shared" si="23"/>
        <v>1.0302725095891443</v>
      </c>
      <c r="S96" s="440">
        <f t="shared" si="24"/>
        <v>0.96479940745448356</v>
      </c>
    </row>
    <row r="97" spans="2:19" x14ac:dyDescent="0.2">
      <c r="B97" s="417">
        <f t="shared" si="20"/>
        <v>44348</v>
      </c>
      <c r="C97" s="409">
        <v>4.9599034554334551</v>
      </c>
      <c r="D97" s="418">
        <f t="shared" si="18"/>
        <v>2021</v>
      </c>
      <c r="I97" s="60">
        <f t="shared" si="21"/>
        <v>6</v>
      </c>
      <c r="J97" s="441">
        <f t="shared" si="22"/>
        <v>2021</v>
      </c>
      <c r="K97" s="413">
        <f t="shared" si="19"/>
        <v>44348</v>
      </c>
      <c r="L97" s="414">
        <v>42.290469999999999</v>
      </c>
      <c r="M97" s="414">
        <v>48.462069999999997</v>
      </c>
      <c r="N97" s="414">
        <v>33.960949999999997</v>
      </c>
      <c r="O97" s="415">
        <v>44.292789999999997</v>
      </c>
      <c r="Q97" s="438">
        <v>46.701707333333339</v>
      </c>
      <c r="R97" s="440">
        <f t="shared" si="23"/>
        <v>1.0376937539799578</v>
      </c>
      <c r="S97" s="440">
        <f t="shared" si="24"/>
        <v>0.94841907350110999</v>
      </c>
    </row>
    <row r="98" spans="2:19" x14ac:dyDescent="0.2">
      <c r="B98" s="417">
        <f t="shared" si="20"/>
        <v>44378</v>
      </c>
      <c r="C98" s="409">
        <v>5.0403877859177868</v>
      </c>
      <c r="D98" s="418">
        <f t="shared" si="18"/>
        <v>2021</v>
      </c>
      <c r="I98" s="60">
        <f t="shared" si="21"/>
        <v>7</v>
      </c>
      <c r="J98" s="441">
        <f t="shared" si="22"/>
        <v>2021</v>
      </c>
      <c r="K98" s="413">
        <f t="shared" si="19"/>
        <v>44378</v>
      </c>
      <c r="L98" s="414">
        <v>48.49342</v>
      </c>
      <c r="M98" s="414">
        <v>54.712490000000003</v>
      </c>
      <c r="N98" s="414">
        <v>41.124830000000003</v>
      </c>
      <c r="O98" s="415">
        <v>47.831200000000003</v>
      </c>
      <c r="Q98" s="438">
        <v>51.678803010752688</v>
      </c>
      <c r="R98" s="440">
        <f t="shared" si="23"/>
        <v>1.0587027332776284</v>
      </c>
      <c r="S98" s="440">
        <f t="shared" si="24"/>
        <v>0.92554775291617875</v>
      </c>
    </row>
    <row r="99" spans="2:19" x14ac:dyDescent="0.2">
      <c r="B99" s="417">
        <f t="shared" si="20"/>
        <v>44409</v>
      </c>
      <c r="C99" s="409">
        <v>5.0620605575905584</v>
      </c>
      <c r="D99" s="418">
        <f t="shared" si="18"/>
        <v>2021</v>
      </c>
      <c r="I99" s="60">
        <f t="shared" si="21"/>
        <v>8</v>
      </c>
      <c r="J99" s="441">
        <f t="shared" si="22"/>
        <v>2021</v>
      </c>
      <c r="K99" s="413">
        <f t="shared" si="19"/>
        <v>44409</v>
      </c>
      <c r="L99" s="414">
        <v>51.120930000000001</v>
      </c>
      <c r="M99" s="414">
        <v>55.814279999999997</v>
      </c>
      <c r="N99" s="414">
        <v>42.397689999999997</v>
      </c>
      <c r="O99" s="415">
        <v>49.236739999999998</v>
      </c>
      <c r="Q99" s="438">
        <v>52.914504301075262</v>
      </c>
      <c r="R99" s="440">
        <f t="shared" si="23"/>
        <v>1.0548011502181984</v>
      </c>
      <c r="S99" s="440">
        <f t="shared" si="24"/>
        <v>0.93049610216228507</v>
      </c>
    </row>
    <row r="100" spans="2:19" x14ac:dyDescent="0.2">
      <c r="B100" s="417">
        <f t="shared" si="20"/>
        <v>44440</v>
      </c>
      <c r="C100" s="409">
        <v>5.092382087912088</v>
      </c>
      <c r="D100" s="418">
        <f t="shared" si="18"/>
        <v>2021</v>
      </c>
      <c r="I100" s="60">
        <f t="shared" si="21"/>
        <v>9</v>
      </c>
      <c r="J100" s="441">
        <f t="shared" si="22"/>
        <v>2021</v>
      </c>
      <c r="K100" s="413">
        <f t="shared" si="19"/>
        <v>44440</v>
      </c>
      <c r="L100" s="414">
        <v>48.94408</v>
      </c>
      <c r="M100" s="414">
        <v>50.586260000000003</v>
      </c>
      <c r="N100" s="414">
        <v>41.802390000000003</v>
      </c>
      <c r="O100" s="415">
        <v>47.216230000000003</v>
      </c>
      <c r="Q100" s="438">
        <v>49.08846888888889</v>
      </c>
      <c r="R100" s="440">
        <f t="shared" si="23"/>
        <v>1.0305120763595488</v>
      </c>
      <c r="S100" s="440">
        <f t="shared" si="24"/>
        <v>0.96185990455056414</v>
      </c>
    </row>
    <row r="101" spans="2:19" x14ac:dyDescent="0.2">
      <c r="B101" s="417">
        <f t="shared" si="20"/>
        <v>44470</v>
      </c>
      <c r="C101" s="409">
        <v>5.1523128978428989</v>
      </c>
      <c r="D101" s="418">
        <f t="shared" si="18"/>
        <v>2021</v>
      </c>
      <c r="I101" s="60">
        <f t="shared" si="21"/>
        <v>10</v>
      </c>
      <c r="J101" s="441">
        <f t="shared" si="22"/>
        <v>2021</v>
      </c>
      <c r="K101" s="413">
        <f t="shared" si="19"/>
        <v>44470</v>
      </c>
      <c r="L101" s="414">
        <v>48.597529999999999</v>
      </c>
      <c r="M101" s="414">
        <v>47.437559999999998</v>
      </c>
      <c r="N101" s="414">
        <v>41.393140000000002</v>
      </c>
      <c r="O101" s="415">
        <v>44.868040000000001</v>
      </c>
      <c r="Q101" s="438">
        <v>46.304760860215062</v>
      </c>
      <c r="R101" s="440">
        <f t="shared" si="23"/>
        <v>1.0244639885562661</v>
      </c>
      <c r="S101" s="440">
        <f t="shared" si="24"/>
        <v>0.96897250231888166</v>
      </c>
    </row>
    <row r="102" spans="2:19" x14ac:dyDescent="0.2">
      <c r="B102" s="417">
        <f t="shared" si="20"/>
        <v>44501</v>
      </c>
      <c r="C102" s="409">
        <v>5.3624268579568577</v>
      </c>
      <c r="D102" s="418">
        <f t="shared" si="18"/>
        <v>2021</v>
      </c>
      <c r="I102" s="60">
        <f t="shared" si="21"/>
        <v>11</v>
      </c>
      <c r="J102" s="441">
        <f t="shared" si="22"/>
        <v>2021</v>
      </c>
      <c r="K102" s="413">
        <f t="shared" si="19"/>
        <v>44501</v>
      </c>
      <c r="L102" s="414">
        <v>50.243560000000002</v>
      </c>
      <c r="M102" s="414">
        <v>48.027099999999997</v>
      </c>
      <c r="N102" s="414">
        <v>43.28931</v>
      </c>
      <c r="O102" s="415">
        <v>45.508090000000003</v>
      </c>
      <c r="Q102" s="438">
        <v>46.905599015256591</v>
      </c>
      <c r="R102" s="440">
        <f t="shared" si="23"/>
        <v>1.0239097465609304</v>
      </c>
      <c r="S102" s="440">
        <f t="shared" si="24"/>
        <v>0.97020592328856026</v>
      </c>
    </row>
    <row r="103" spans="2:19" x14ac:dyDescent="0.2">
      <c r="B103" s="419">
        <f t="shared" si="20"/>
        <v>44531</v>
      </c>
      <c r="C103" s="420">
        <v>5.6051008506308513</v>
      </c>
      <c r="D103" s="421">
        <f t="shared" si="18"/>
        <v>2021</v>
      </c>
      <c r="I103" s="60">
        <f t="shared" si="21"/>
        <v>12</v>
      </c>
      <c r="J103" s="441">
        <f t="shared" si="22"/>
        <v>2021</v>
      </c>
      <c r="K103" s="422">
        <f t="shared" si="19"/>
        <v>44531</v>
      </c>
      <c r="L103" s="423">
        <v>53.455199999999998</v>
      </c>
      <c r="M103" s="423">
        <v>49.254060000000003</v>
      </c>
      <c r="N103" s="423">
        <v>44.638719999999999</v>
      </c>
      <c r="O103" s="424">
        <v>47.823740000000001</v>
      </c>
      <c r="Q103" s="438">
        <v>48.623488817204304</v>
      </c>
      <c r="R103" s="440">
        <f t="shared" si="23"/>
        <v>1.0129684479278374</v>
      </c>
      <c r="S103" s="440">
        <f t="shared" si="24"/>
        <v>0.9835522123842062</v>
      </c>
    </row>
    <row r="104" spans="2:19" x14ac:dyDescent="0.2">
      <c r="B104" s="408">
        <f t="shared" si="20"/>
        <v>44562</v>
      </c>
      <c r="C104" s="409">
        <v>5.5521907977207983</v>
      </c>
      <c r="D104" s="410">
        <f t="shared" si="18"/>
        <v>2022</v>
      </c>
      <c r="I104" s="60">
        <f t="shared" si="21"/>
        <v>1</v>
      </c>
      <c r="J104" s="441">
        <f t="shared" si="22"/>
        <v>2022</v>
      </c>
      <c r="K104" s="413">
        <f t="shared" si="19"/>
        <v>44562</v>
      </c>
      <c r="L104" s="425">
        <v>52.908230000000003</v>
      </c>
      <c r="M104" s="425">
        <v>49.788130000000002</v>
      </c>
      <c r="N104" s="425">
        <v>44.295110000000001</v>
      </c>
      <c r="O104" s="426">
        <v>47.8523</v>
      </c>
      <c r="Q104" s="438">
        <v>48.893068817204302</v>
      </c>
      <c r="R104" s="440">
        <f t="shared" si="23"/>
        <v>1.0183065044688042</v>
      </c>
      <c r="S104" s="440">
        <f t="shared" si="24"/>
        <v>0.97871336689673938</v>
      </c>
    </row>
    <row r="105" spans="2:19" x14ac:dyDescent="0.2">
      <c r="B105" s="417">
        <f t="shared" si="20"/>
        <v>44593</v>
      </c>
      <c r="C105" s="409">
        <v>5.4747589702889705</v>
      </c>
      <c r="D105" s="418">
        <f t="shared" si="18"/>
        <v>2022</v>
      </c>
      <c r="I105" s="60">
        <f t="shared" si="21"/>
        <v>2</v>
      </c>
      <c r="J105" s="441">
        <f t="shared" si="22"/>
        <v>2022</v>
      </c>
      <c r="K105" s="413">
        <f t="shared" si="19"/>
        <v>44593</v>
      </c>
      <c r="L105" s="414">
        <v>50.67595</v>
      </c>
      <c r="M105" s="414">
        <v>48.996690000000001</v>
      </c>
      <c r="N105" s="414">
        <v>42.804850000000002</v>
      </c>
      <c r="O105" s="415">
        <v>47.824489999999997</v>
      </c>
      <c r="Q105" s="438">
        <v>48.494318571428572</v>
      </c>
      <c r="R105" s="440">
        <f t="shared" si="23"/>
        <v>1.010359387313206</v>
      </c>
      <c r="S105" s="440">
        <f t="shared" si="24"/>
        <v>0.98618748358239194</v>
      </c>
    </row>
    <row r="106" spans="2:19" x14ac:dyDescent="0.2">
      <c r="B106" s="417">
        <f t="shared" si="20"/>
        <v>44621</v>
      </c>
      <c r="C106" s="409">
        <v>5.1720524175824183</v>
      </c>
      <c r="D106" s="418">
        <f t="shared" si="18"/>
        <v>2022</v>
      </c>
      <c r="I106" s="60">
        <f t="shared" si="21"/>
        <v>3</v>
      </c>
      <c r="J106" s="441">
        <f t="shared" si="22"/>
        <v>2022</v>
      </c>
      <c r="K106" s="413">
        <f t="shared" si="19"/>
        <v>44621</v>
      </c>
      <c r="L106" s="414">
        <v>45.088369999999998</v>
      </c>
      <c r="M106" s="414">
        <v>46.120539999999998</v>
      </c>
      <c r="N106" s="414">
        <v>39.888939999999998</v>
      </c>
      <c r="O106" s="415">
        <v>44.129840000000002</v>
      </c>
      <c r="Q106" s="438">
        <v>45.287286029609689</v>
      </c>
      <c r="R106" s="440">
        <f t="shared" si="23"/>
        <v>1.018399291356199</v>
      </c>
      <c r="S106" s="440">
        <f t="shared" si="24"/>
        <v>0.97444214191036027</v>
      </c>
    </row>
    <row r="107" spans="2:19" x14ac:dyDescent="0.2">
      <c r="B107" s="417">
        <f t="shared" si="20"/>
        <v>44652</v>
      </c>
      <c r="C107" s="409">
        <v>5.1336926292226304</v>
      </c>
      <c r="D107" s="418">
        <f t="shared" si="18"/>
        <v>2022</v>
      </c>
      <c r="I107" s="60">
        <f t="shared" si="21"/>
        <v>4</v>
      </c>
      <c r="J107" s="441">
        <f t="shared" si="22"/>
        <v>2022</v>
      </c>
      <c r="K107" s="413">
        <f t="shared" si="19"/>
        <v>44652</v>
      </c>
      <c r="L107" s="414">
        <v>42.215389999999999</v>
      </c>
      <c r="M107" s="414">
        <v>45.733820000000001</v>
      </c>
      <c r="N107" s="414">
        <v>37.948309999999999</v>
      </c>
      <c r="O107" s="415">
        <v>43.404800000000002</v>
      </c>
      <c r="Q107" s="438">
        <v>44.750456</v>
      </c>
      <c r="R107" s="440">
        <f t="shared" si="23"/>
        <v>1.0219743906073271</v>
      </c>
      <c r="S107" s="440">
        <f t="shared" si="24"/>
        <v>0.96992978127418417</v>
      </c>
    </row>
    <row r="108" spans="2:19" x14ac:dyDescent="0.2">
      <c r="B108" s="417">
        <f t="shared" si="20"/>
        <v>44682</v>
      </c>
      <c r="C108" s="409">
        <v>5.1252473707773714</v>
      </c>
      <c r="D108" s="418">
        <f t="shared" si="18"/>
        <v>2022</v>
      </c>
      <c r="I108" s="60">
        <f t="shared" si="21"/>
        <v>5</v>
      </c>
      <c r="J108" s="441">
        <f t="shared" si="22"/>
        <v>2022</v>
      </c>
      <c r="K108" s="413">
        <f t="shared" si="19"/>
        <v>44682</v>
      </c>
      <c r="L108" s="414">
        <v>39.253030000000003</v>
      </c>
      <c r="M108" s="414">
        <v>45.447569999999999</v>
      </c>
      <c r="N108" s="414">
        <v>34.423760000000001</v>
      </c>
      <c r="O108" s="415">
        <v>43.215020000000003</v>
      </c>
      <c r="Q108" s="438">
        <v>44.415315698924729</v>
      </c>
      <c r="R108" s="440">
        <f t="shared" si="23"/>
        <v>1.0232409538203566</v>
      </c>
      <c r="S108" s="440">
        <f t="shared" si="24"/>
        <v>0.97297563509260876</v>
      </c>
    </row>
    <row r="109" spans="2:19" x14ac:dyDescent="0.2">
      <c r="B109" s="417">
        <f t="shared" si="20"/>
        <v>44713</v>
      </c>
      <c r="C109" s="409">
        <v>5.1559759015059017</v>
      </c>
      <c r="D109" s="418">
        <f t="shared" si="18"/>
        <v>2022</v>
      </c>
      <c r="I109" s="60">
        <f t="shared" si="21"/>
        <v>6</v>
      </c>
      <c r="J109" s="441">
        <f t="shared" si="22"/>
        <v>2022</v>
      </c>
      <c r="K109" s="413">
        <f t="shared" si="19"/>
        <v>44713</v>
      </c>
      <c r="L109" s="414">
        <v>44.030650000000001</v>
      </c>
      <c r="M109" s="414">
        <v>51.251559999999998</v>
      </c>
      <c r="N109" s="414">
        <v>36.414850000000001</v>
      </c>
      <c r="O109" s="415">
        <v>45.92389</v>
      </c>
      <c r="Q109" s="438">
        <v>49.002099333333334</v>
      </c>
      <c r="R109" s="440">
        <f t="shared" si="23"/>
        <v>1.0459053937947611</v>
      </c>
      <c r="S109" s="440">
        <f t="shared" si="24"/>
        <v>0.93718209270190589</v>
      </c>
    </row>
    <row r="110" spans="2:19" x14ac:dyDescent="0.2">
      <c r="B110" s="417">
        <f t="shared" si="20"/>
        <v>44743</v>
      </c>
      <c r="C110" s="409">
        <v>5.1848729304029311</v>
      </c>
      <c r="D110" s="418">
        <f t="shared" si="18"/>
        <v>2022</v>
      </c>
      <c r="I110" s="60">
        <f t="shared" si="21"/>
        <v>7</v>
      </c>
      <c r="J110" s="441">
        <f t="shared" si="22"/>
        <v>2022</v>
      </c>
      <c r="K110" s="413">
        <f t="shared" si="19"/>
        <v>44743</v>
      </c>
      <c r="L110" s="414">
        <v>50.876429999999999</v>
      </c>
      <c r="M110" s="414">
        <v>57.666840000000001</v>
      </c>
      <c r="N110" s="414">
        <v>42.851570000000002</v>
      </c>
      <c r="O110" s="415">
        <v>50.088880000000003</v>
      </c>
      <c r="Q110" s="438">
        <v>54.163052043010751</v>
      </c>
      <c r="R110" s="440">
        <f t="shared" si="23"/>
        <v>1.0646896329661575</v>
      </c>
      <c r="S110" s="440">
        <f t="shared" si="24"/>
        <v>0.92477949655097991</v>
      </c>
    </row>
    <row r="111" spans="2:19" x14ac:dyDescent="0.2">
      <c r="B111" s="417">
        <f t="shared" si="20"/>
        <v>44774</v>
      </c>
      <c r="C111" s="409">
        <v>5.2227239682539688</v>
      </c>
      <c r="D111" s="418">
        <f t="shared" si="18"/>
        <v>2022</v>
      </c>
      <c r="I111" s="60">
        <f t="shared" si="21"/>
        <v>8</v>
      </c>
      <c r="J111" s="441">
        <f t="shared" si="22"/>
        <v>2022</v>
      </c>
      <c r="K111" s="413">
        <f t="shared" si="19"/>
        <v>44774</v>
      </c>
      <c r="L111" s="414">
        <v>53.988199999999999</v>
      </c>
      <c r="M111" s="414">
        <v>59.173119999999997</v>
      </c>
      <c r="N111" s="414">
        <v>43.816389999999998</v>
      </c>
      <c r="O111" s="415">
        <v>51.183689999999999</v>
      </c>
      <c r="Q111" s="438">
        <v>55.822713870967739</v>
      </c>
      <c r="R111" s="440">
        <f t="shared" si="23"/>
        <v>1.0600186894670978</v>
      </c>
      <c r="S111" s="440">
        <f t="shared" si="24"/>
        <v>0.91689719919940327</v>
      </c>
    </row>
    <row r="112" spans="2:19" x14ac:dyDescent="0.2">
      <c r="B112" s="417">
        <f t="shared" si="20"/>
        <v>44805</v>
      </c>
      <c r="C112" s="409">
        <v>5.2466352421652429</v>
      </c>
      <c r="D112" s="418">
        <f t="shared" si="18"/>
        <v>2022</v>
      </c>
      <c r="I112" s="60">
        <f t="shared" si="21"/>
        <v>9</v>
      </c>
      <c r="J112" s="441">
        <f t="shared" si="22"/>
        <v>2022</v>
      </c>
      <c r="K112" s="413">
        <f t="shared" si="19"/>
        <v>44805</v>
      </c>
      <c r="L112" s="414">
        <v>51.346510000000002</v>
      </c>
      <c r="M112" s="414">
        <v>52.753349999999998</v>
      </c>
      <c r="N112" s="414">
        <v>43.470399999999998</v>
      </c>
      <c r="O112" s="415">
        <v>48.728119999999997</v>
      </c>
      <c r="Q112" s="438">
        <v>50.964358888888889</v>
      </c>
      <c r="R112" s="440">
        <f t="shared" si="23"/>
        <v>1.0351027884999284</v>
      </c>
      <c r="S112" s="440">
        <f t="shared" si="24"/>
        <v>0.95612151437508952</v>
      </c>
    </row>
    <row r="113" spans="2:19" x14ac:dyDescent="0.2">
      <c r="B113" s="417">
        <f t="shared" si="20"/>
        <v>44835</v>
      </c>
      <c r="C113" s="409">
        <v>5.3038187993487993</v>
      </c>
      <c r="D113" s="418">
        <f t="shared" si="18"/>
        <v>2022</v>
      </c>
      <c r="I113" s="60">
        <f t="shared" si="21"/>
        <v>10</v>
      </c>
      <c r="J113" s="441">
        <f t="shared" si="22"/>
        <v>2022</v>
      </c>
      <c r="K113" s="413">
        <f t="shared" si="19"/>
        <v>44835</v>
      </c>
      <c r="L113" s="414">
        <v>50.1128</v>
      </c>
      <c r="M113" s="414">
        <v>48.287489999999998</v>
      </c>
      <c r="N113" s="414">
        <v>42.542169999999999</v>
      </c>
      <c r="O113" s="415">
        <v>45.405070000000002</v>
      </c>
      <c r="Q113" s="438">
        <v>47.016745698924737</v>
      </c>
      <c r="R113" s="440">
        <f t="shared" si="23"/>
        <v>1.0270274831272366</v>
      </c>
      <c r="S113" s="440">
        <f t="shared" si="24"/>
        <v>0.96572124091179723</v>
      </c>
    </row>
    <row r="114" spans="2:19" x14ac:dyDescent="0.2">
      <c r="B114" s="417">
        <f t="shared" si="20"/>
        <v>44866</v>
      </c>
      <c r="C114" s="409">
        <v>5.6866026821326825</v>
      </c>
      <c r="D114" s="418">
        <f t="shared" si="18"/>
        <v>2022</v>
      </c>
      <c r="I114" s="60">
        <f t="shared" si="21"/>
        <v>11</v>
      </c>
      <c r="J114" s="441">
        <f t="shared" si="22"/>
        <v>2022</v>
      </c>
      <c r="K114" s="413">
        <f t="shared" si="19"/>
        <v>44866</v>
      </c>
      <c r="L114" s="414">
        <v>53.994160000000001</v>
      </c>
      <c r="M114" s="414">
        <v>49.812710000000003</v>
      </c>
      <c r="N114" s="414">
        <v>45.449289999999998</v>
      </c>
      <c r="O114" s="415">
        <v>47.407980000000002</v>
      </c>
      <c r="Q114" s="438">
        <v>48.742088183079062</v>
      </c>
      <c r="R114" s="440">
        <f t="shared" si="23"/>
        <v>1.0219650379544594</v>
      </c>
      <c r="S114" s="440">
        <f t="shared" si="24"/>
        <v>0.97262923619381991</v>
      </c>
    </row>
    <row r="115" spans="2:19" x14ac:dyDescent="0.2">
      <c r="B115" s="419">
        <f t="shared" si="20"/>
        <v>44896</v>
      </c>
      <c r="C115" s="420">
        <v>5.9425041880341878</v>
      </c>
      <c r="D115" s="421">
        <f t="shared" si="18"/>
        <v>2022</v>
      </c>
      <c r="I115" s="60">
        <f t="shared" si="21"/>
        <v>12</v>
      </c>
      <c r="J115" s="441">
        <f t="shared" si="22"/>
        <v>2022</v>
      </c>
      <c r="K115" s="422">
        <f t="shared" si="19"/>
        <v>44896</v>
      </c>
      <c r="L115" s="423">
        <v>58.685670000000002</v>
      </c>
      <c r="M115" s="423">
        <v>53.502490000000002</v>
      </c>
      <c r="N115" s="423">
        <v>48.576610000000002</v>
      </c>
      <c r="O115" s="424">
        <v>51.415570000000002</v>
      </c>
      <c r="Q115" s="438">
        <v>52.582450000000009</v>
      </c>
      <c r="R115" s="440">
        <f t="shared" si="23"/>
        <v>1.0174970926611444</v>
      </c>
      <c r="S115" s="440">
        <f t="shared" si="24"/>
        <v>0.97780856540537753</v>
      </c>
    </row>
    <row r="116" spans="2:19" x14ac:dyDescent="0.2">
      <c r="B116" s="408">
        <f t="shared" si="20"/>
        <v>44927</v>
      </c>
      <c r="C116" s="409">
        <v>5.663301908831909</v>
      </c>
      <c r="D116" s="410">
        <f t="shared" si="18"/>
        <v>2023</v>
      </c>
      <c r="I116" s="60">
        <f t="shared" si="21"/>
        <v>1</v>
      </c>
      <c r="J116" s="441">
        <f t="shared" si="22"/>
        <v>2023</v>
      </c>
      <c r="K116" s="413">
        <f t="shared" si="19"/>
        <v>44927</v>
      </c>
      <c r="L116" s="425">
        <v>54.641489999999997</v>
      </c>
      <c r="M116" s="425">
        <v>51.346649999999997</v>
      </c>
      <c r="N116" s="425">
        <v>45.731549999999999</v>
      </c>
      <c r="O116" s="426">
        <v>49.610300000000002</v>
      </c>
      <c r="Q116" s="438">
        <v>50.543821505376343</v>
      </c>
      <c r="R116" s="440">
        <f t="shared" si="23"/>
        <v>1.0158838107351709</v>
      </c>
      <c r="S116" s="440">
        <f t="shared" si="24"/>
        <v>0.98153045263352234</v>
      </c>
    </row>
    <row r="117" spans="2:19" x14ac:dyDescent="0.2">
      <c r="B117" s="417">
        <f t="shared" si="20"/>
        <v>44958</v>
      </c>
      <c r="C117" s="409">
        <v>5.6636071591371593</v>
      </c>
      <c r="D117" s="418">
        <f t="shared" si="18"/>
        <v>2023</v>
      </c>
      <c r="I117" s="60">
        <f t="shared" si="21"/>
        <v>2</v>
      </c>
      <c r="J117" s="441">
        <f t="shared" si="22"/>
        <v>2023</v>
      </c>
      <c r="K117" s="413">
        <f t="shared" si="19"/>
        <v>44958</v>
      </c>
      <c r="L117" s="414">
        <v>52.558660000000003</v>
      </c>
      <c r="M117" s="414">
        <v>50.303359999999998</v>
      </c>
      <c r="N117" s="414">
        <v>44.263240000000003</v>
      </c>
      <c r="O117" s="415">
        <v>48.972479999999997</v>
      </c>
      <c r="Q117" s="438">
        <v>49.732982857142858</v>
      </c>
      <c r="R117" s="440">
        <f t="shared" si="23"/>
        <v>1.0114687901285861</v>
      </c>
      <c r="S117" s="440">
        <f t="shared" si="24"/>
        <v>0.9847082798285518</v>
      </c>
    </row>
    <row r="118" spans="2:19" x14ac:dyDescent="0.2">
      <c r="B118" s="417">
        <f t="shared" si="20"/>
        <v>44986</v>
      </c>
      <c r="C118" s="409">
        <v>5.4733344688644685</v>
      </c>
      <c r="D118" s="418">
        <f t="shared" si="18"/>
        <v>2023</v>
      </c>
      <c r="I118" s="60">
        <f t="shared" si="21"/>
        <v>3</v>
      </c>
      <c r="J118" s="441">
        <f t="shared" si="22"/>
        <v>2023</v>
      </c>
      <c r="K118" s="413">
        <f t="shared" si="19"/>
        <v>44986</v>
      </c>
      <c r="L118" s="414">
        <v>46.763129999999997</v>
      </c>
      <c r="M118" s="414">
        <v>47.432209999999998</v>
      </c>
      <c r="N118" s="414">
        <v>41.200330000000001</v>
      </c>
      <c r="O118" s="415">
        <v>46.163550000000001</v>
      </c>
      <c r="Q118" s="438">
        <v>46.901182732166895</v>
      </c>
      <c r="R118" s="440">
        <f t="shared" si="23"/>
        <v>1.0113222574975471</v>
      </c>
      <c r="S118" s="440">
        <f t="shared" si="24"/>
        <v>0.98427261981048098</v>
      </c>
    </row>
    <row r="119" spans="2:19" x14ac:dyDescent="0.2">
      <c r="B119" s="417">
        <f t="shared" si="20"/>
        <v>45017</v>
      </c>
      <c r="C119" s="409">
        <v>5.3739246194546197</v>
      </c>
      <c r="D119" s="418">
        <f t="shared" si="18"/>
        <v>2023</v>
      </c>
      <c r="I119" s="60">
        <f t="shared" si="21"/>
        <v>4</v>
      </c>
      <c r="J119" s="441">
        <f t="shared" si="22"/>
        <v>2023</v>
      </c>
      <c r="K119" s="413">
        <f t="shared" si="19"/>
        <v>45017</v>
      </c>
      <c r="L119" s="414">
        <v>44.028170000000003</v>
      </c>
      <c r="M119" s="414">
        <v>47.234259999999999</v>
      </c>
      <c r="N119" s="414">
        <v>40.13935</v>
      </c>
      <c r="O119" s="415">
        <v>45.99841</v>
      </c>
      <c r="Q119" s="438">
        <v>46.684993333333338</v>
      </c>
      <c r="R119" s="440">
        <f t="shared" si="23"/>
        <v>1.0117653795673669</v>
      </c>
      <c r="S119" s="440">
        <f t="shared" si="24"/>
        <v>0.98529327554079105</v>
      </c>
    </row>
    <row r="120" spans="2:19" x14ac:dyDescent="0.2">
      <c r="B120" s="417">
        <f t="shared" si="20"/>
        <v>45047</v>
      </c>
      <c r="C120" s="409">
        <v>5.2890650345950352</v>
      </c>
      <c r="D120" s="418">
        <f t="shared" si="18"/>
        <v>2023</v>
      </c>
      <c r="I120" s="60">
        <f t="shared" si="21"/>
        <v>5</v>
      </c>
      <c r="J120" s="441">
        <f t="shared" si="22"/>
        <v>2023</v>
      </c>
      <c r="K120" s="413">
        <f t="shared" si="19"/>
        <v>45047</v>
      </c>
      <c r="L120" s="414">
        <v>41.196930000000002</v>
      </c>
      <c r="M120" s="414">
        <v>48.013170000000002</v>
      </c>
      <c r="N120" s="414">
        <v>36.19753</v>
      </c>
      <c r="O120" s="415">
        <v>45.113790000000002</v>
      </c>
      <c r="Q120" s="438">
        <v>46.734948709677425</v>
      </c>
      <c r="R120" s="440">
        <f t="shared" si="23"/>
        <v>1.0273504374266682</v>
      </c>
      <c r="S120" s="440">
        <f t="shared" si="24"/>
        <v>0.96531164033690853</v>
      </c>
    </row>
    <row r="121" spans="2:19" x14ac:dyDescent="0.2">
      <c r="B121" s="417">
        <f t="shared" si="20"/>
        <v>45078</v>
      </c>
      <c r="C121" s="409">
        <v>5.318979564509565</v>
      </c>
      <c r="D121" s="418">
        <f t="shared" si="18"/>
        <v>2023</v>
      </c>
      <c r="I121" s="60">
        <f t="shared" si="21"/>
        <v>6</v>
      </c>
      <c r="J121" s="441">
        <f t="shared" si="22"/>
        <v>2023</v>
      </c>
      <c r="K121" s="413">
        <f t="shared" si="19"/>
        <v>45078</v>
      </c>
      <c r="L121" s="414">
        <v>45.396769999999997</v>
      </c>
      <c r="M121" s="414">
        <v>53.074120000000001</v>
      </c>
      <c r="N121" s="414">
        <v>37.728380000000001</v>
      </c>
      <c r="O121" s="415">
        <v>47.244869999999999</v>
      </c>
      <c r="Q121" s="438">
        <v>50.612881111111115</v>
      </c>
      <c r="R121" s="440">
        <f t="shared" si="23"/>
        <v>1.0486287054768864</v>
      </c>
      <c r="S121" s="440">
        <f t="shared" si="24"/>
        <v>0.93345545566320798</v>
      </c>
    </row>
    <row r="122" spans="2:19" x14ac:dyDescent="0.2">
      <c r="B122" s="417">
        <f t="shared" si="20"/>
        <v>45108</v>
      </c>
      <c r="C122" s="409">
        <v>5.3502168457468464</v>
      </c>
      <c r="D122" s="418">
        <f t="shared" si="18"/>
        <v>2023</v>
      </c>
      <c r="I122" s="60">
        <f t="shared" si="21"/>
        <v>7</v>
      </c>
      <c r="J122" s="441">
        <f t="shared" si="22"/>
        <v>2023</v>
      </c>
      <c r="K122" s="413">
        <f t="shared" si="19"/>
        <v>45108</v>
      </c>
      <c r="L122" s="414">
        <v>52.704540000000001</v>
      </c>
      <c r="M122" s="414">
        <v>60.013399999999997</v>
      </c>
      <c r="N122" s="414">
        <v>44.103029999999997</v>
      </c>
      <c r="O122" s="415">
        <v>51.746830000000003</v>
      </c>
      <c r="Q122" s="438">
        <v>56.19122247311828</v>
      </c>
      <c r="R122" s="440">
        <f t="shared" si="23"/>
        <v>1.06802090003844</v>
      </c>
      <c r="S122" s="440">
        <f t="shared" si="24"/>
        <v>0.92090593018786049</v>
      </c>
    </row>
    <row r="123" spans="2:19" x14ac:dyDescent="0.2">
      <c r="B123" s="417">
        <f t="shared" si="20"/>
        <v>45139</v>
      </c>
      <c r="C123" s="409">
        <v>5.3800296255596258</v>
      </c>
      <c r="D123" s="418">
        <f t="shared" si="18"/>
        <v>2023</v>
      </c>
      <c r="I123" s="60">
        <f t="shared" si="21"/>
        <v>8</v>
      </c>
      <c r="J123" s="441">
        <f t="shared" si="22"/>
        <v>2023</v>
      </c>
      <c r="K123" s="413">
        <f t="shared" si="19"/>
        <v>45139</v>
      </c>
      <c r="L123" s="414">
        <v>55.38147</v>
      </c>
      <c r="M123" s="414">
        <v>61.388300000000001</v>
      </c>
      <c r="N123" s="414">
        <v>45.14378</v>
      </c>
      <c r="O123" s="415">
        <v>53.068660000000001</v>
      </c>
      <c r="Q123" s="438">
        <v>57.89941870967742</v>
      </c>
      <c r="R123" s="440">
        <f t="shared" si="23"/>
        <v>1.0602576220638196</v>
      </c>
      <c r="S123" s="440">
        <f t="shared" si="24"/>
        <v>0.91656636945009606</v>
      </c>
    </row>
    <row r="124" spans="2:19" x14ac:dyDescent="0.2">
      <c r="B124" s="417">
        <f t="shared" si="20"/>
        <v>45170</v>
      </c>
      <c r="C124" s="409">
        <v>5.4141159096459104</v>
      </c>
      <c r="D124" s="418">
        <f t="shared" si="18"/>
        <v>2023</v>
      </c>
      <c r="I124" s="60">
        <f t="shared" si="21"/>
        <v>9</v>
      </c>
      <c r="J124" s="441">
        <f t="shared" si="22"/>
        <v>2023</v>
      </c>
      <c r="K124" s="413">
        <f t="shared" si="19"/>
        <v>45170</v>
      </c>
      <c r="L124" s="414">
        <v>52.495330000000003</v>
      </c>
      <c r="M124" s="414">
        <v>52.5595</v>
      </c>
      <c r="N124" s="414">
        <v>44.801780000000001</v>
      </c>
      <c r="O124" s="415">
        <v>49.645099999999999</v>
      </c>
      <c r="Q124" s="438">
        <v>51.264211111111109</v>
      </c>
      <c r="R124" s="440">
        <f t="shared" si="23"/>
        <v>1.0252669232748253</v>
      </c>
      <c r="S124" s="440">
        <f t="shared" si="24"/>
        <v>0.96841634590646841</v>
      </c>
    </row>
    <row r="125" spans="2:19" x14ac:dyDescent="0.2">
      <c r="B125" s="417">
        <f t="shared" si="20"/>
        <v>45200</v>
      </c>
      <c r="C125" s="409">
        <v>5.4920564875864883</v>
      </c>
      <c r="D125" s="418">
        <f t="shared" si="18"/>
        <v>2023</v>
      </c>
      <c r="I125" s="60">
        <f t="shared" si="21"/>
        <v>10</v>
      </c>
      <c r="J125" s="441">
        <f t="shared" si="22"/>
        <v>2023</v>
      </c>
      <c r="K125" s="413">
        <f t="shared" si="19"/>
        <v>45200</v>
      </c>
      <c r="L125" s="414">
        <v>52.282470000000004</v>
      </c>
      <c r="M125" s="414">
        <v>50.173209999999997</v>
      </c>
      <c r="N125" s="414">
        <v>43.975830000000002</v>
      </c>
      <c r="O125" s="415">
        <v>47.012529999999998</v>
      </c>
      <c r="Q125" s="438">
        <v>48.779791935483871</v>
      </c>
      <c r="R125" s="440">
        <f t="shared" si="23"/>
        <v>1.0285654778183364</v>
      </c>
      <c r="S125" s="440">
        <f t="shared" si="24"/>
        <v>0.96377061349869531</v>
      </c>
    </row>
    <row r="126" spans="2:19" x14ac:dyDescent="0.2">
      <c r="B126" s="417">
        <f t="shared" si="20"/>
        <v>45231</v>
      </c>
      <c r="C126" s="409">
        <v>5.9533914489214492</v>
      </c>
      <c r="D126" s="418">
        <f t="shared" si="18"/>
        <v>2023</v>
      </c>
      <c r="I126" s="60">
        <f t="shared" si="21"/>
        <v>11</v>
      </c>
      <c r="J126" s="441">
        <f t="shared" si="22"/>
        <v>2023</v>
      </c>
      <c r="K126" s="413">
        <f t="shared" si="19"/>
        <v>45231</v>
      </c>
      <c r="L126" s="414">
        <v>56.572749999999999</v>
      </c>
      <c r="M126" s="414">
        <v>52.013649999999998</v>
      </c>
      <c r="N126" s="414">
        <v>47.142229999999998</v>
      </c>
      <c r="O126" s="415">
        <v>49.672069999999998</v>
      </c>
      <c r="Q126" s="438">
        <v>50.971143509015263</v>
      </c>
      <c r="R126" s="440">
        <f t="shared" si="23"/>
        <v>1.0204528762592966</v>
      </c>
      <c r="S126" s="440">
        <f t="shared" si="24"/>
        <v>0.97451354983265193</v>
      </c>
    </row>
    <row r="127" spans="2:19" x14ac:dyDescent="0.2">
      <c r="B127" s="419">
        <f t="shared" si="20"/>
        <v>45261</v>
      </c>
      <c r="C127" s="420">
        <v>6.1629966585266587</v>
      </c>
      <c r="D127" s="421">
        <f t="shared" si="18"/>
        <v>2023</v>
      </c>
      <c r="I127" s="60">
        <f t="shared" si="21"/>
        <v>12</v>
      </c>
      <c r="J127" s="441">
        <f t="shared" si="22"/>
        <v>2023</v>
      </c>
      <c r="K127" s="422">
        <f t="shared" si="19"/>
        <v>45261</v>
      </c>
      <c r="L127" s="423">
        <v>61.795999999999999</v>
      </c>
      <c r="M127" s="423">
        <v>54.522869999999998</v>
      </c>
      <c r="N127" s="423">
        <v>50.558019999999999</v>
      </c>
      <c r="O127" s="424">
        <v>52.414929999999998</v>
      </c>
      <c r="Q127" s="438">
        <v>53.548231075268809</v>
      </c>
      <c r="R127" s="440">
        <f t="shared" si="23"/>
        <v>1.0182011413852534</v>
      </c>
      <c r="S127" s="440">
        <f t="shared" si="24"/>
        <v>0.9788358821101707</v>
      </c>
    </row>
    <row r="128" spans="2:19" x14ac:dyDescent="0.2">
      <c r="B128" s="408">
        <f t="shared" si="20"/>
        <v>45292</v>
      </c>
      <c r="C128" s="409">
        <v>6.0426262881562893</v>
      </c>
      <c r="D128" s="410">
        <f t="shared" si="18"/>
        <v>2024</v>
      </c>
      <c r="I128" s="60">
        <f t="shared" si="21"/>
        <v>1</v>
      </c>
      <c r="J128" s="441">
        <f t="shared" si="22"/>
        <v>2024</v>
      </c>
      <c r="K128" s="413">
        <f t="shared" si="19"/>
        <v>45292</v>
      </c>
      <c r="L128" s="425">
        <v>58.837569999999999</v>
      </c>
      <c r="M128" s="425">
        <v>54.423810000000003</v>
      </c>
      <c r="N128" s="425">
        <v>48.639740000000003</v>
      </c>
      <c r="O128" s="426">
        <v>52.594140000000003</v>
      </c>
      <c r="Q128" s="438">
        <v>53.617181290322584</v>
      </c>
      <c r="R128" s="440">
        <f t="shared" si="23"/>
        <v>1.0150442207192829</v>
      </c>
      <c r="S128" s="440">
        <f t="shared" si="24"/>
        <v>0.98091952494139723</v>
      </c>
    </row>
    <row r="129" spans="2:19" x14ac:dyDescent="0.2">
      <c r="B129" s="417">
        <f t="shared" si="20"/>
        <v>45323</v>
      </c>
      <c r="C129" s="409">
        <v>6.0026384981684986</v>
      </c>
      <c r="D129" s="418">
        <f t="shared" si="18"/>
        <v>2024</v>
      </c>
      <c r="I129" s="60">
        <f t="shared" si="21"/>
        <v>2</v>
      </c>
      <c r="J129" s="441">
        <f t="shared" si="22"/>
        <v>2024</v>
      </c>
      <c r="K129" s="413">
        <f t="shared" si="19"/>
        <v>45323</v>
      </c>
      <c r="L129" s="414">
        <v>56.55818</v>
      </c>
      <c r="M129" s="414">
        <v>53.07649</v>
      </c>
      <c r="N129" s="414">
        <v>47.746859999999998</v>
      </c>
      <c r="O129" s="415">
        <v>51.996380000000002</v>
      </c>
      <c r="Q129" s="438">
        <v>52.617132873563214</v>
      </c>
      <c r="R129" s="440">
        <f t="shared" si="23"/>
        <v>1.0087301816224119</v>
      </c>
      <c r="S129" s="440">
        <f t="shared" si="24"/>
        <v>0.98820245726701117</v>
      </c>
    </row>
    <row r="130" spans="2:19" x14ac:dyDescent="0.2">
      <c r="B130" s="417">
        <f t="shared" si="20"/>
        <v>45352</v>
      </c>
      <c r="C130" s="409">
        <v>5.654449649979651</v>
      </c>
      <c r="D130" s="418">
        <f t="shared" si="18"/>
        <v>2024</v>
      </c>
      <c r="I130" s="60">
        <f t="shared" si="21"/>
        <v>3</v>
      </c>
      <c r="J130" s="441">
        <f t="shared" si="22"/>
        <v>2024</v>
      </c>
      <c r="K130" s="413">
        <f t="shared" si="19"/>
        <v>45352</v>
      </c>
      <c r="L130" s="414">
        <v>49.841720000000002</v>
      </c>
      <c r="M130" s="414">
        <v>49.240720000000003</v>
      </c>
      <c r="N130" s="414">
        <v>43.337519999999998</v>
      </c>
      <c r="O130" s="415">
        <v>48.235169999999997</v>
      </c>
      <c r="Q130" s="438">
        <v>48.798169730820995</v>
      </c>
      <c r="R130" s="440">
        <f t="shared" si="23"/>
        <v>1.0090689931942158</v>
      </c>
      <c r="S130" s="440">
        <f t="shared" si="24"/>
        <v>0.98846268755720557</v>
      </c>
    </row>
    <row r="131" spans="2:19" x14ac:dyDescent="0.2">
      <c r="B131" s="417">
        <f t="shared" si="20"/>
        <v>45383</v>
      </c>
      <c r="C131" s="409">
        <v>5.5838350793650795</v>
      </c>
      <c r="D131" s="418">
        <f t="shared" si="18"/>
        <v>2024</v>
      </c>
      <c r="I131" s="60">
        <f t="shared" si="21"/>
        <v>4</v>
      </c>
      <c r="J131" s="441">
        <f t="shared" si="22"/>
        <v>2024</v>
      </c>
      <c r="K131" s="413">
        <f t="shared" si="19"/>
        <v>45383</v>
      </c>
      <c r="L131" s="414">
        <v>46.291580000000003</v>
      </c>
      <c r="M131" s="414">
        <v>48.765419999999999</v>
      </c>
      <c r="N131" s="414">
        <v>41.570599999999999</v>
      </c>
      <c r="O131" s="415">
        <v>46.184519999999999</v>
      </c>
      <c r="Q131" s="438">
        <v>47.675706666666663</v>
      </c>
      <c r="R131" s="440">
        <f t="shared" si="23"/>
        <v>1.0228567840840255</v>
      </c>
      <c r="S131" s="440">
        <f t="shared" si="24"/>
        <v>0.96872229546396516</v>
      </c>
    </row>
    <row r="132" spans="2:19" x14ac:dyDescent="0.2">
      <c r="B132" s="417">
        <f t="shared" si="20"/>
        <v>45413</v>
      </c>
      <c r="C132" s="409">
        <v>5.462243707773708</v>
      </c>
      <c r="D132" s="418">
        <f t="shared" si="18"/>
        <v>2024</v>
      </c>
      <c r="I132" s="60">
        <f t="shared" si="21"/>
        <v>5</v>
      </c>
      <c r="J132" s="441">
        <f t="shared" si="22"/>
        <v>2024</v>
      </c>
      <c r="K132" s="413">
        <f t="shared" si="19"/>
        <v>45413</v>
      </c>
      <c r="L132" s="414">
        <v>41.735259999999997</v>
      </c>
      <c r="M132" s="414">
        <v>48.581029999999998</v>
      </c>
      <c r="N132" s="414">
        <v>37.64499</v>
      </c>
      <c r="O132" s="415">
        <v>46.153979999999997</v>
      </c>
      <c r="Q132" s="438">
        <v>47.511040215053761</v>
      </c>
      <c r="R132" s="440">
        <f t="shared" si="23"/>
        <v>1.0225208663102943</v>
      </c>
      <c r="S132" s="440">
        <f t="shared" si="24"/>
        <v>0.97143695004548059</v>
      </c>
    </row>
    <row r="133" spans="2:19" x14ac:dyDescent="0.2">
      <c r="B133" s="417">
        <f t="shared" si="20"/>
        <v>45444</v>
      </c>
      <c r="C133" s="409">
        <v>5.469264464794465</v>
      </c>
      <c r="D133" s="418">
        <f t="shared" si="18"/>
        <v>2024</v>
      </c>
      <c r="I133" s="60">
        <f t="shared" si="21"/>
        <v>6</v>
      </c>
      <c r="J133" s="441">
        <f t="shared" si="22"/>
        <v>2024</v>
      </c>
      <c r="K133" s="413">
        <f t="shared" si="19"/>
        <v>45444</v>
      </c>
      <c r="L133" s="414">
        <v>45.079439999999998</v>
      </c>
      <c r="M133" s="414">
        <v>52.909379999999999</v>
      </c>
      <c r="N133" s="414">
        <v>39.242310000000003</v>
      </c>
      <c r="O133" s="415">
        <v>48.023009999999999</v>
      </c>
      <c r="Q133" s="438">
        <v>50.737659999999998</v>
      </c>
      <c r="R133" s="440">
        <f t="shared" si="23"/>
        <v>1.0428029199612281</v>
      </c>
      <c r="S133" s="440">
        <f t="shared" si="24"/>
        <v>0.946496350048465</v>
      </c>
    </row>
    <row r="134" spans="2:19" x14ac:dyDescent="0.2">
      <c r="B134" s="417">
        <f t="shared" si="20"/>
        <v>45474</v>
      </c>
      <c r="C134" s="409">
        <v>5.5281777737077746</v>
      </c>
      <c r="D134" s="418">
        <f t="shared" si="18"/>
        <v>2024</v>
      </c>
      <c r="I134" s="60">
        <f t="shared" si="21"/>
        <v>7</v>
      </c>
      <c r="J134" s="441">
        <f t="shared" si="22"/>
        <v>2024</v>
      </c>
      <c r="K134" s="413">
        <f t="shared" si="19"/>
        <v>45474</v>
      </c>
      <c r="L134" s="414">
        <v>54.660800000000002</v>
      </c>
      <c r="M134" s="414">
        <v>61.828000000000003</v>
      </c>
      <c r="N134" s="414">
        <v>45.57385</v>
      </c>
      <c r="O134" s="415">
        <v>53.195079999999997</v>
      </c>
      <c r="Q134" s="438">
        <v>58.022089032258066</v>
      </c>
      <c r="R134" s="440">
        <f t="shared" si="23"/>
        <v>1.0655941733781078</v>
      </c>
      <c r="S134" s="440">
        <f t="shared" si="24"/>
        <v>0.91680738986191213</v>
      </c>
    </row>
    <row r="135" spans="2:19" x14ac:dyDescent="0.2">
      <c r="B135" s="417">
        <f t="shared" si="20"/>
        <v>45505</v>
      </c>
      <c r="C135" s="409">
        <v>5.5571765527065535</v>
      </c>
      <c r="D135" s="418">
        <f t="shared" si="18"/>
        <v>2024</v>
      </c>
      <c r="I135" s="60">
        <f t="shared" si="21"/>
        <v>8</v>
      </c>
      <c r="J135" s="441">
        <f t="shared" si="22"/>
        <v>2024</v>
      </c>
      <c r="K135" s="413">
        <f t="shared" si="19"/>
        <v>45505</v>
      </c>
      <c r="L135" s="414">
        <v>58.367980000000003</v>
      </c>
      <c r="M135" s="414">
        <v>64.126000000000005</v>
      </c>
      <c r="N135" s="414">
        <v>47.361330000000002</v>
      </c>
      <c r="O135" s="415">
        <v>54.877360000000003</v>
      </c>
      <c r="Q135" s="438">
        <v>60.247538064516135</v>
      </c>
      <c r="R135" s="440">
        <f t="shared" si="23"/>
        <v>1.0643754427165242</v>
      </c>
      <c r="S135" s="440">
        <f t="shared" si="24"/>
        <v>0.91086477162327406</v>
      </c>
    </row>
    <row r="136" spans="2:19" x14ac:dyDescent="0.2">
      <c r="B136" s="417">
        <f t="shared" si="20"/>
        <v>45536</v>
      </c>
      <c r="C136" s="409">
        <v>5.5927890883190896</v>
      </c>
      <c r="D136" s="418">
        <f t="shared" ref="D136:D199" si="25">YEAR(B136)</f>
        <v>2024</v>
      </c>
      <c r="I136" s="60">
        <f t="shared" si="21"/>
        <v>9</v>
      </c>
      <c r="J136" s="441">
        <f t="shared" si="22"/>
        <v>2024</v>
      </c>
      <c r="K136" s="413">
        <f t="shared" ref="K136:K199" si="26">B136</f>
        <v>45536</v>
      </c>
      <c r="L136" s="414">
        <v>55.500360000000001</v>
      </c>
      <c r="M136" s="414">
        <v>57.949359999999999</v>
      </c>
      <c r="N136" s="414">
        <v>47.399079999999998</v>
      </c>
      <c r="O136" s="415">
        <v>52.73798</v>
      </c>
      <c r="Q136" s="438">
        <v>55.51738266666667</v>
      </c>
      <c r="R136" s="440">
        <f t="shared" si="23"/>
        <v>1.0438056914162404</v>
      </c>
      <c r="S136" s="440">
        <f t="shared" si="24"/>
        <v>0.94993635266715382</v>
      </c>
    </row>
    <row r="137" spans="2:19" x14ac:dyDescent="0.2">
      <c r="B137" s="417">
        <f t="shared" ref="B137:B200" si="27">EDATE(B136,1)</f>
        <v>45566</v>
      </c>
      <c r="C137" s="409">
        <v>5.7219099674399683</v>
      </c>
      <c r="D137" s="418">
        <f t="shared" si="25"/>
        <v>2024</v>
      </c>
      <c r="I137" s="60">
        <f t="shared" ref="I137:I200" si="28">MONTH(K137)</f>
        <v>10</v>
      </c>
      <c r="J137" s="441">
        <f t="shared" ref="J137:J200" si="29">YEAR(K137)</f>
        <v>2024</v>
      </c>
      <c r="K137" s="413">
        <f t="shared" si="26"/>
        <v>45566</v>
      </c>
      <c r="L137" s="414">
        <v>53.862459999999999</v>
      </c>
      <c r="M137" s="414">
        <v>53.15448</v>
      </c>
      <c r="N137" s="414">
        <v>46.09</v>
      </c>
      <c r="O137" s="415">
        <v>50.372520000000002</v>
      </c>
      <c r="Q137" s="438">
        <v>51.987851612903221</v>
      </c>
      <c r="R137" s="440">
        <f t="shared" ref="R137:R200" si="30">M137/Q137</f>
        <v>1.0224404038809565</v>
      </c>
      <c r="S137" s="440">
        <f t="shared" ref="S137:S200" si="31">O137/Q137</f>
        <v>0.96892867154944529</v>
      </c>
    </row>
    <row r="138" spans="2:19" x14ac:dyDescent="0.2">
      <c r="B138" s="417">
        <f t="shared" si="27"/>
        <v>45597</v>
      </c>
      <c r="C138" s="409">
        <v>5.9634647089947093</v>
      </c>
      <c r="D138" s="418">
        <f t="shared" si="25"/>
        <v>2024</v>
      </c>
      <c r="I138" s="60">
        <f t="shared" si="28"/>
        <v>11</v>
      </c>
      <c r="J138" s="441">
        <f t="shared" si="29"/>
        <v>2024</v>
      </c>
      <c r="K138" s="413">
        <f t="shared" si="26"/>
        <v>45597</v>
      </c>
      <c r="L138" s="414">
        <v>55.885109999999997</v>
      </c>
      <c r="M138" s="414">
        <v>53.232779999999998</v>
      </c>
      <c r="N138" s="414">
        <v>47.181089999999998</v>
      </c>
      <c r="O138" s="415">
        <v>50.517560000000003</v>
      </c>
      <c r="Q138" s="438">
        <v>52.023923384188627</v>
      </c>
      <c r="R138" s="440">
        <f t="shared" si="30"/>
        <v>1.0232365522854583</v>
      </c>
      <c r="S138" s="440">
        <f t="shared" si="31"/>
        <v>0.97104479465986515</v>
      </c>
    </row>
    <row r="139" spans="2:19" x14ac:dyDescent="0.2">
      <c r="B139" s="419">
        <f t="shared" si="27"/>
        <v>45627</v>
      </c>
      <c r="C139" s="420">
        <v>6.2034931990231987</v>
      </c>
      <c r="D139" s="421">
        <f t="shared" si="25"/>
        <v>2024</v>
      </c>
      <c r="I139" s="60">
        <f t="shared" si="28"/>
        <v>12</v>
      </c>
      <c r="J139" s="441">
        <f t="shared" si="29"/>
        <v>2024</v>
      </c>
      <c r="K139" s="422">
        <f t="shared" si="26"/>
        <v>45627</v>
      </c>
      <c r="L139" s="423">
        <v>63.242690000000003</v>
      </c>
      <c r="M139" s="423">
        <v>55.024149999999999</v>
      </c>
      <c r="N139" s="423">
        <v>51.363610000000001</v>
      </c>
      <c r="O139" s="424">
        <v>53.022799999999997</v>
      </c>
      <c r="Q139" s="438">
        <v>54.098794623655913</v>
      </c>
      <c r="R139" s="440">
        <f t="shared" si="30"/>
        <v>1.0171049167136055</v>
      </c>
      <c r="S139" s="440">
        <f t="shared" si="31"/>
        <v>0.98011056196092372</v>
      </c>
    </row>
    <row r="140" spans="2:19" x14ac:dyDescent="0.2">
      <c r="B140" s="408">
        <f t="shared" si="27"/>
        <v>45658</v>
      </c>
      <c r="C140" s="409">
        <v>6.3070748026048031</v>
      </c>
      <c r="D140" s="410">
        <f t="shared" si="25"/>
        <v>2025</v>
      </c>
      <c r="I140" s="60">
        <f t="shared" si="28"/>
        <v>1</v>
      </c>
      <c r="J140" s="441">
        <f t="shared" si="29"/>
        <v>2025</v>
      </c>
      <c r="K140" s="413">
        <f t="shared" si="26"/>
        <v>45658</v>
      </c>
      <c r="L140" s="425">
        <v>61.900570000000002</v>
      </c>
      <c r="M140" s="425">
        <v>57.010359999999999</v>
      </c>
      <c r="N140" s="425">
        <v>50.939729999999997</v>
      </c>
      <c r="O140" s="426">
        <v>54.801540000000003</v>
      </c>
      <c r="Q140" s="438">
        <v>56.036579139784948</v>
      </c>
      <c r="R140" s="440">
        <f t="shared" si="30"/>
        <v>1.01737759290741</v>
      </c>
      <c r="S140" s="440">
        <f t="shared" si="31"/>
        <v>0.97796012606865057</v>
      </c>
    </row>
    <row r="141" spans="2:19" x14ac:dyDescent="0.2">
      <c r="B141" s="417">
        <f t="shared" si="27"/>
        <v>45689</v>
      </c>
      <c r="C141" s="409">
        <v>6.2050194505494503</v>
      </c>
      <c r="D141" s="418">
        <f t="shared" si="25"/>
        <v>2025</v>
      </c>
      <c r="I141" s="60">
        <f t="shared" si="28"/>
        <v>2</v>
      </c>
      <c r="J141" s="441">
        <f t="shared" si="29"/>
        <v>2025</v>
      </c>
      <c r="K141" s="413">
        <f t="shared" si="26"/>
        <v>45689</v>
      </c>
      <c r="L141" s="414">
        <v>58.519280000000002</v>
      </c>
      <c r="M141" s="414">
        <v>54.79665</v>
      </c>
      <c r="N141" s="414">
        <v>49.203510000000001</v>
      </c>
      <c r="O141" s="415">
        <v>53.279829999999997</v>
      </c>
      <c r="Q141" s="438">
        <v>54.146584285714283</v>
      </c>
      <c r="R141" s="440">
        <f t="shared" si="30"/>
        <v>1.0120056643066444</v>
      </c>
      <c r="S141" s="440">
        <f t="shared" si="31"/>
        <v>0.9839924475911408</v>
      </c>
    </row>
    <row r="142" spans="2:19" x14ac:dyDescent="0.2">
      <c r="B142" s="417">
        <f t="shared" si="27"/>
        <v>45717</v>
      </c>
      <c r="C142" s="409">
        <v>5.7030861986161989</v>
      </c>
      <c r="D142" s="418">
        <f t="shared" si="25"/>
        <v>2025</v>
      </c>
      <c r="I142" s="60">
        <f t="shared" si="28"/>
        <v>3</v>
      </c>
      <c r="J142" s="441">
        <f t="shared" si="29"/>
        <v>2025</v>
      </c>
      <c r="K142" s="413">
        <f t="shared" si="26"/>
        <v>45717</v>
      </c>
      <c r="L142" s="414">
        <v>50.451569999999997</v>
      </c>
      <c r="M142" s="414">
        <v>49.769069999999999</v>
      </c>
      <c r="N142" s="414">
        <v>43.713540000000002</v>
      </c>
      <c r="O142" s="415">
        <v>48.179729999999999</v>
      </c>
      <c r="Q142" s="438">
        <v>49.069589273216685</v>
      </c>
      <c r="R142" s="440">
        <f t="shared" si="30"/>
        <v>1.0142548722567992</v>
      </c>
      <c r="S142" s="440">
        <f t="shared" si="31"/>
        <v>0.98186536128798629</v>
      </c>
    </row>
    <row r="143" spans="2:19" x14ac:dyDescent="0.2">
      <c r="B143" s="417">
        <f t="shared" si="27"/>
        <v>45748</v>
      </c>
      <c r="C143" s="409">
        <v>5.6160898616198622</v>
      </c>
      <c r="D143" s="418">
        <f t="shared" si="25"/>
        <v>2025</v>
      </c>
      <c r="I143" s="60">
        <f t="shared" si="28"/>
        <v>4</v>
      </c>
      <c r="J143" s="441">
        <f t="shared" si="29"/>
        <v>2025</v>
      </c>
      <c r="K143" s="413">
        <f t="shared" si="26"/>
        <v>45748</v>
      </c>
      <c r="L143" s="414">
        <v>46.884999999999998</v>
      </c>
      <c r="M143" s="414">
        <v>49.408070000000002</v>
      </c>
      <c r="N143" s="414">
        <v>42.06823</v>
      </c>
      <c r="O143" s="415">
        <v>47.367460000000001</v>
      </c>
      <c r="Q143" s="438">
        <v>48.546479111111118</v>
      </c>
      <c r="R143" s="440">
        <f t="shared" si="30"/>
        <v>1.0177477523533047</v>
      </c>
      <c r="S143" s="440">
        <f t="shared" si="31"/>
        <v>0.97571360204284585</v>
      </c>
    </row>
    <row r="144" spans="2:19" x14ac:dyDescent="0.2">
      <c r="B144" s="417">
        <f t="shared" si="27"/>
        <v>45778</v>
      </c>
      <c r="C144" s="409">
        <v>5.6235176190476199</v>
      </c>
      <c r="D144" s="418">
        <f t="shared" si="25"/>
        <v>2025</v>
      </c>
      <c r="I144" s="60">
        <f t="shared" si="28"/>
        <v>5</v>
      </c>
      <c r="J144" s="441">
        <f t="shared" si="29"/>
        <v>2025</v>
      </c>
      <c r="K144" s="413">
        <f t="shared" si="26"/>
        <v>45778</v>
      </c>
      <c r="L144" s="414">
        <v>42.605879999999999</v>
      </c>
      <c r="M144" s="414">
        <v>49.655189999999997</v>
      </c>
      <c r="N144" s="414">
        <v>39.075449999999996</v>
      </c>
      <c r="O144" s="415">
        <v>47.319980000000001</v>
      </c>
      <c r="Q144" s="438">
        <v>48.625688817204299</v>
      </c>
      <c r="R144" s="440">
        <f t="shared" si="30"/>
        <v>1.0211719609086842</v>
      </c>
      <c r="S144" s="440">
        <f t="shared" si="31"/>
        <v>0.97314775689630284</v>
      </c>
    </row>
    <row r="145" spans="2:19" x14ac:dyDescent="0.2">
      <c r="B145" s="417">
        <f t="shared" si="27"/>
        <v>45809</v>
      </c>
      <c r="C145" s="409">
        <v>5.6339978795278798</v>
      </c>
      <c r="D145" s="418">
        <f t="shared" si="25"/>
        <v>2025</v>
      </c>
      <c r="I145" s="60">
        <f t="shared" si="28"/>
        <v>6</v>
      </c>
      <c r="J145" s="441">
        <f t="shared" si="29"/>
        <v>2025</v>
      </c>
      <c r="K145" s="413">
        <f t="shared" si="26"/>
        <v>45809</v>
      </c>
      <c r="L145" s="414">
        <v>46.6203</v>
      </c>
      <c r="M145" s="414">
        <v>55.024540000000002</v>
      </c>
      <c r="N145" s="414">
        <v>40.40325</v>
      </c>
      <c r="O145" s="415">
        <v>49.33625</v>
      </c>
      <c r="Q145" s="438">
        <v>52.496411111111115</v>
      </c>
      <c r="R145" s="440">
        <f t="shared" si="30"/>
        <v>1.0481581280582779</v>
      </c>
      <c r="S145" s="440">
        <f t="shared" si="31"/>
        <v>0.93980233992715256</v>
      </c>
    </row>
    <row r="146" spans="2:19" x14ac:dyDescent="0.2">
      <c r="B146" s="417">
        <f t="shared" si="27"/>
        <v>45839</v>
      </c>
      <c r="C146" s="409">
        <v>5.7320849776149787</v>
      </c>
      <c r="D146" s="418">
        <f t="shared" si="25"/>
        <v>2025</v>
      </c>
      <c r="I146" s="60">
        <f t="shared" si="28"/>
        <v>7</v>
      </c>
      <c r="J146" s="441">
        <f t="shared" si="29"/>
        <v>2025</v>
      </c>
      <c r="K146" s="413">
        <f t="shared" si="26"/>
        <v>45839</v>
      </c>
      <c r="L146" s="414">
        <v>56.961640000000003</v>
      </c>
      <c r="M146" s="414">
        <v>63.823909999999998</v>
      </c>
      <c r="N146" s="414">
        <v>47.249389999999998</v>
      </c>
      <c r="O146" s="415">
        <v>54.524720000000002</v>
      </c>
      <c r="Q146" s="438">
        <v>59.724267096774192</v>
      </c>
      <c r="R146" s="440">
        <f t="shared" si="30"/>
        <v>1.0686428331817441</v>
      </c>
      <c r="S146" s="440">
        <f t="shared" si="31"/>
        <v>0.9129407969402269</v>
      </c>
    </row>
    <row r="147" spans="2:19" x14ac:dyDescent="0.2">
      <c r="B147" s="417">
        <f t="shared" si="27"/>
        <v>45870</v>
      </c>
      <c r="C147" s="409">
        <v>5.7624065079365083</v>
      </c>
      <c r="D147" s="418">
        <f t="shared" si="25"/>
        <v>2025</v>
      </c>
      <c r="I147" s="60">
        <f t="shared" si="28"/>
        <v>8</v>
      </c>
      <c r="J147" s="441">
        <f t="shared" si="29"/>
        <v>2025</v>
      </c>
      <c r="K147" s="413">
        <f t="shared" si="26"/>
        <v>45870</v>
      </c>
      <c r="L147" s="414">
        <v>59.824489999999997</v>
      </c>
      <c r="M147" s="414">
        <v>65.230220000000003</v>
      </c>
      <c r="N147" s="414">
        <v>48.802309999999999</v>
      </c>
      <c r="O147" s="415">
        <v>55.943040000000003</v>
      </c>
      <c r="Q147" s="438">
        <v>61.13587182795699</v>
      </c>
      <c r="R147" s="440">
        <f t="shared" si="30"/>
        <v>1.0669712895166517</v>
      </c>
      <c r="S147" s="440">
        <f t="shared" si="31"/>
        <v>0.91506080353985653</v>
      </c>
    </row>
    <row r="148" spans="2:19" x14ac:dyDescent="0.2">
      <c r="B148" s="417">
        <f t="shared" si="27"/>
        <v>45901</v>
      </c>
      <c r="C148" s="409">
        <v>5.7726832682132683</v>
      </c>
      <c r="D148" s="418">
        <f t="shared" si="25"/>
        <v>2025</v>
      </c>
      <c r="I148" s="60">
        <f t="shared" si="28"/>
        <v>9</v>
      </c>
      <c r="J148" s="441">
        <f t="shared" si="29"/>
        <v>2025</v>
      </c>
      <c r="K148" s="413">
        <f t="shared" si="26"/>
        <v>45901</v>
      </c>
      <c r="L148" s="414">
        <v>57.801909999999999</v>
      </c>
      <c r="M148" s="414">
        <v>59.93479</v>
      </c>
      <c r="N148" s="414">
        <v>48.920839999999998</v>
      </c>
      <c r="O148" s="415">
        <v>54.088200000000001</v>
      </c>
      <c r="Q148" s="438">
        <v>57.336305555555555</v>
      </c>
      <c r="R148" s="440">
        <f t="shared" si="30"/>
        <v>1.0453200536600089</v>
      </c>
      <c r="S148" s="440">
        <f t="shared" si="31"/>
        <v>0.94334993292498892</v>
      </c>
    </row>
    <row r="149" spans="2:19" x14ac:dyDescent="0.2">
      <c r="B149" s="417">
        <f t="shared" si="27"/>
        <v>45931</v>
      </c>
      <c r="C149" s="409">
        <v>5.8181655636955645</v>
      </c>
      <c r="D149" s="418">
        <f t="shared" si="25"/>
        <v>2025</v>
      </c>
      <c r="I149" s="60">
        <f t="shared" si="28"/>
        <v>10</v>
      </c>
      <c r="J149" s="441">
        <f t="shared" si="29"/>
        <v>2025</v>
      </c>
      <c r="K149" s="413">
        <f t="shared" si="26"/>
        <v>45931</v>
      </c>
      <c r="L149" s="414">
        <v>55.251759999999997</v>
      </c>
      <c r="M149" s="414">
        <v>53.69802</v>
      </c>
      <c r="N149" s="414">
        <v>47.378500000000003</v>
      </c>
      <c r="O149" s="415">
        <v>51.011279999999999</v>
      </c>
      <c r="Q149" s="438">
        <v>52.571322580645159</v>
      </c>
      <c r="R149" s="440">
        <f t="shared" si="30"/>
        <v>1.021431787599151</v>
      </c>
      <c r="S149" s="440">
        <f t="shared" si="31"/>
        <v>0.97032521717040632</v>
      </c>
    </row>
    <row r="150" spans="2:19" x14ac:dyDescent="0.2">
      <c r="B150" s="417">
        <f t="shared" si="27"/>
        <v>45962</v>
      </c>
      <c r="C150" s="409">
        <v>6.040184285714286</v>
      </c>
      <c r="D150" s="418">
        <f t="shared" si="25"/>
        <v>2025</v>
      </c>
      <c r="I150" s="60">
        <f t="shared" si="28"/>
        <v>11</v>
      </c>
      <c r="J150" s="441">
        <f t="shared" si="29"/>
        <v>2025</v>
      </c>
      <c r="K150" s="413">
        <f t="shared" si="26"/>
        <v>45962</v>
      </c>
      <c r="L150" s="414">
        <v>57.606859999999998</v>
      </c>
      <c r="M150" s="414">
        <v>53.849029999999999</v>
      </c>
      <c r="N150" s="414">
        <v>48.746250000000003</v>
      </c>
      <c r="O150" s="415">
        <v>51.200209999999998</v>
      </c>
      <c r="Q150" s="438">
        <v>52.61095463245492</v>
      </c>
      <c r="R150" s="440">
        <f t="shared" si="30"/>
        <v>1.0235326535356446</v>
      </c>
      <c r="S150" s="440">
        <f t="shared" si="31"/>
        <v>0.97318534433920623</v>
      </c>
    </row>
    <row r="151" spans="2:19" x14ac:dyDescent="0.2">
      <c r="B151" s="419">
        <f t="shared" si="27"/>
        <v>45992</v>
      </c>
      <c r="C151" s="420">
        <v>6.2632205087505088</v>
      </c>
      <c r="D151" s="421">
        <f t="shared" si="25"/>
        <v>2025</v>
      </c>
      <c r="I151" s="60">
        <f t="shared" si="28"/>
        <v>12</v>
      </c>
      <c r="J151" s="441">
        <f t="shared" si="29"/>
        <v>2025</v>
      </c>
      <c r="K151" s="422">
        <f t="shared" si="26"/>
        <v>45992</v>
      </c>
      <c r="L151" s="423">
        <v>65.599400000000003</v>
      </c>
      <c r="M151" s="423">
        <v>56.645760000000003</v>
      </c>
      <c r="N151" s="423">
        <v>52.368989999999997</v>
      </c>
      <c r="O151" s="424">
        <v>54.392319999999998</v>
      </c>
      <c r="Q151" s="438">
        <v>55.65230795698924</v>
      </c>
      <c r="R151" s="440">
        <f t="shared" si="30"/>
        <v>1.017851048401776</v>
      </c>
      <c r="S151" s="440">
        <f t="shared" si="31"/>
        <v>0.97735964592945501</v>
      </c>
    </row>
    <row r="152" spans="2:19" x14ac:dyDescent="0.2">
      <c r="B152" s="408">
        <f t="shared" si="27"/>
        <v>46023</v>
      </c>
      <c r="C152" s="409">
        <v>6.4159474114774113</v>
      </c>
      <c r="D152" s="410">
        <f t="shared" si="25"/>
        <v>2026</v>
      </c>
      <c r="I152" s="60">
        <f t="shared" si="28"/>
        <v>1</v>
      </c>
      <c r="J152" s="441">
        <f t="shared" si="29"/>
        <v>2026</v>
      </c>
      <c r="K152" s="413">
        <f t="shared" si="26"/>
        <v>46023</v>
      </c>
      <c r="L152" s="425">
        <v>62.874250000000004</v>
      </c>
      <c r="M152" s="425">
        <v>57.417369999999998</v>
      </c>
      <c r="N152" s="425">
        <v>51.803359999999998</v>
      </c>
      <c r="O152" s="426">
        <v>55.702190000000002</v>
      </c>
      <c r="Q152" s="438">
        <v>56.661215376344089</v>
      </c>
      <c r="R152" s="440">
        <f t="shared" si="30"/>
        <v>1.0133451889203846</v>
      </c>
      <c r="S152" s="440">
        <f t="shared" si="31"/>
        <v>0.98307439454000001</v>
      </c>
    </row>
    <row r="153" spans="2:19" x14ac:dyDescent="0.2">
      <c r="B153" s="417">
        <f t="shared" si="27"/>
        <v>46054</v>
      </c>
      <c r="C153" s="409">
        <v>6.3336315791615796</v>
      </c>
      <c r="D153" s="418">
        <f t="shared" si="25"/>
        <v>2026</v>
      </c>
      <c r="I153" s="60">
        <f t="shared" si="28"/>
        <v>2</v>
      </c>
      <c r="J153" s="441">
        <f t="shared" si="29"/>
        <v>2026</v>
      </c>
      <c r="K153" s="413">
        <f t="shared" si="26"/>
        <v>46054</v>
      </c>
      <c r="L153" s="414">
        <v>60.002789999999997</v>
      </c>
      <c r="M153" s="414">
        <v>55.859169999999999</v>
      </c>
      <c r="N153" s="414">
        <v>50.929200000000002</v>
      </c>
      <c r="O153" s="415">
        <v>54.996569999999998</v>
      </c>
      <c r="Q153" s="438">
        <v>55.48948428571429</v>
      </c>
      <c r="R153" s="440">
        <f t="shared" si="30"/>
        <v>1.0066622661760958</v>
      </c>
      <c r="S153" s="440">
        <f t="shared" si="31"/>
        <v>0.99111697843187219</v>
      </c>
    </row>
    <row r="154" spans="2:19" x14ac:dyDescent="0.2">
      <c r="B154" s="417">
        <f t="shared" si="27"/>
        <v>46082</v>
      </c>
      <c r="C154" s="409">
        <v>5.935788681318682</v>
      </c>
      <c r="D154" s="418">
        <f t="shared" si="25"/>
        <v>2026</v>
      </c>
      <c r="I154" s="60">
        <f t="shared" si="28"/>
        <v>3</v>
      </c>
      <c r="J154" s="441">
        <f t="shared" si="29"/>
        <v>2026</v>
      </c>
      <c r="K154" s="413">
        <f t="shared" si="26"/>
        <v>46082</v>
      </c>
      <c r="L154" s="414">
        <v>52.77713</v>
      </c>
      <c r="M154" s="414">
        <v>51.817480000000003</v>
      </c>
      <c r="N154" s="414">
        <v>45.726509999999998</v>
      </c>
      <c r="O154" s="415">
        <v>50.511400000000002</v>
      </c>
      <c r="Q154" s="438">
        <v>51.242664172274566</v>
      </c>
      <c r="R154" s="440">
        <f t="shared" si="30"/>
        <v>1.0112175242448938</v>
      </c>
      <c r="S154" s="440">
        <f t="shared" si="31"/>
        <v>0.98572938811658772</v>
      </c>
    </row>
    <row r="155" spans="2:19" x14ac:dyDescent="0.2">
      <c r="B155" s="417">
        <f t="shared" si="27"/>
        <v>46113</v>
      </c>
      <c r="C155" s="409">
        <v>5.8602901058201056</v>
      </c>
      <c r="D155" s="418">
        <f t="shared" si="25"/>
        <v>2026</v>
      </c>
      <c r="I155" s="60">
        <f t="shared" si="28"/>
        <v>4</v>
      </c>
      <c r="J155" s="441">
        <f t="shared" si="29"/>
        <v>2026</v>
      </c>
      <c r="K155" s="413">
        <f t="shared" si="26"/>
        <v>46113</v>
      </c>
      <c r="L155" s="414">
        <v>48.282209999999999</v>
      </c>
      <c r="M155" s="414">
        <v>51.124139999999997</v>
      </c>
      <c r="N155" s="414">
        <v>44.262839999999997</v>
      </c>
      <c r="O155" s="415">
        <v>50.186250000000001</v>
      </c>
      <c r="Q155" s="438">
        <v>50.728142000000005</v>
      </c>
      <c r="R155" s="440">
        <f t="shared" si="30"/>
        <v>1.0078062784164259</v>
      </c>
      <c r="S155" s="440">
        <f t="shared" si="31"/>
        <v>0.98931772427225895</v>
      </c>
    </row>
    <row r="156" spans="2:19" x14ac:dyDescent="0.2">
      <c r="B156" s="417">
        <f t="shared" si="27"/>
        <v>46143</v>
      </c>
      <c r="C156" s="409">
        <v>5.7915070370370376</v>
      </c>
      <c r="D156" s="418">
        <f t="shared" si="25"/>
        <v>2026</v>
      </c>
      <c r="I156" s="60">
        <f t="shared" si="28"/>
        <v>5</v>
      </c>
      <c r="J156" s="441">
        <f t="shared" si="29"/>
        <v>2026</v>
      </c>
      <c r="K156" s="413">
        <f t="shared" si="26"/>
        <v>46143</v>
      </c>
      <c r="L156" s="414">
        <v>43.559460000000001</v>
      </c>
      <c r="M156" s="414">
        <v>51.71425</v>
      </c>
      <c r="N156" s="414">
        <v>40.243270000000003</v>
      </c>
      <c r="O156" s="415">
        <v>49.327440000000003</v>
      </c>
      <c r="Q156" s="438">
        <v>50.610671182795699</v>
      </c>
      <c r="R156" s="440">
        <f t="shared" si="30"/>
        <v>1.0218052594722247</v>
      </c>
      <c r="S156" s="440">
        <f t="shared" si="31"/>
        <v>0.9746450471253203</v>
      </c>
    </row>
    <row r="157" spans="2:19" x14ac:dyDescent="0.2">
      <c r="B157" s="417">
        <f t="shared" si="27"/>
        <v>46174</v>
      </c>
      <c r="C157" s="409">
        <v>5.8238635693935699</v>
      </c>
      <c r="D157" s="418">
        <f t="shared" si="25"/>
        <v>2026</v>
      </c>
      <c r="I157" s="60">
        <f t="shared" si="28"/>
        <v>6</v>
      </c>
      <c r="J157" s="441">
        <f t="shared" si="29"/>
        <v>2026</v>
      </c>
      <c r="K157" s="413">
        <f t="shared" si="26"/>
        <v>46174</v>
      </c>
      <c r="L157" s="414">
        <v>48.681730000000002</v>
      </c>
      <c r="M157" s="414">
        <v>57.178559999999997</v>
      </c>
      <c r="N157" s="414">
        <v>41.5976</v>
      </c>
      <c r="O157" s="415">
        <v>51.091320000000003</v>
      </c>
      <c r="Q157" s="438">
        <v>54.608392000000002</v>
      </c>
      <c r="R157" s="440">
        <f t="shared" si="30"/>
        <v>1.047065440051778</v>
      </c>
      <c r="S157" s="440">
        <f t="shared" si="31"/>
        <v>0.93559466098177735</v>
      </c>
    </row>
    <row r="158" spans="2:19" x14ac:dyDescent="0.2">
      <c r="B158" s="417">
        <f t="shared" si="27"/>
        <v>46204</v>
      </c>
      <c r="C158" s="409">
        <v>5.8970218925518934</v>
      </c>
      <c r="D158" s="418">
        <f t="shared" si="25"/>
        <v>2026</v>
      </c>
      <c r="I158" s="60">
        <f t="shared" si="28"/>
        <v>7</v>
      </c>
      <c r="J158" s="441">
        <f t="shared" si="29"/>
        <v>2026</v>
      </c>
      <c r="K158" s="413">
        <f t="shared" si="26"/>
        <v>46204</v>
      </c>
      <c r="L158" s="414">
        <v>59.52308</v>
      </c>
      <c r="M158" s="414">
        <v>66.263419999999996</v>
      </c>
      <c r="N158" s="414">
        <v>48.768940000000001</v>
      </c>
      <c r="O158" s="415">
        <v>56.33934</v>
      </c>
      <c r="Q158" s="438">
        <v>61.888287956989245</v>
      </c>
      <c r="R158" s="440">
        <f t="shared" si="30"/>
        <v>1.0706940228505166</v>
      </c>
      <c r="S158" s="440">
        <f t="shared" si="31"/>
        <v>0.91033928809202769</v>
      </c>
    </row>
    <row r="159" spans="2:19" x14ac:dyDescent="0.2">
      <c r="B159" s="417">
        <f t="shared" si="27"/>
        <v>46235</v>
      </c>
      <c r="C159" s="409">
        <v>5.931108176638177</v>
      </c>
      <c r="D159" s="418">
        <f t="shared" si="25"/>
        <v>2026</v>
      </c>
      <c r="I159" s="60">
        <f t="shared" si="28"/>
        <v>8</v>
      </c>
      <c r="J159" s="441">
        <f t="shared" si="29"/>
        <v>2026</v>
      </c>
      <c r="K159" s="413">
        <f t="shared" si="26"/>
        <v>46235</v>
      </c>
      <c r="L159" s="414">
        <v>62.053170000000001</v>
      </c>
      <c r="M159" s="414">
        <v>67.716930000000005</v>
      </c>
      <c r="N159" s="414">
        <v>50.560229999999997</v>
      </c>
      <c r="O159" s="415">
        <v>57.965260000000001</v>
      </c>
      <c r="Q159" s="438">
        <v>63.417806666666671</v>
      </c>
      <c r="R159" s="440">
        <f t="shared" si="30"/>
        <v>1.0677904765128532</v>
      </c>
      <c r="S159" s="440">
        <f t="shared" si="31"/>
        <v>0.91402183466662512</v>
      </c>
    </row>
    <row r="160" spans="2:19" x14ac:dyDescent="0.2">
      <c r="B160" s="417">
        <f t="shared" si="27"/>
        <v>46266</v>
      </c>
      <c r="C160" s="409">
        <v>5.9434199389499396</v>
      </c>
      <c r="D160" s="418">
        <f t="shared" si="25"/>
        <v>2026</v>
      </c>
      <c r="I160" s="60">
        <f t="shared" si="28"/>
        <v>9</v>
      </c>
      <c r="J160" s="441">
        <f t="shared" si="29"/>
        <v>2026</v>
      </c>
      <c r="K160" s="413">
        <f t="shared" si="26"/>
        <v>46266</v>
      </c>
      <c r="L160" s="414">
        <v>58.983409999999999</v>
      </c>
      <c r="M160" s="414">
        <v>60.328299999999999</v>
      </c>
      <c r="N160" s="414">
        <v>50.386510000000001</v>
      </c>
      <c r="O160" s="415">
        <v>55.354959999999998</v>
      </c>
      <c r="Q160" s="438">
        <v>58.117926666666662</v>
      </c>
      <c r="R160" s="440">
        <f t="shared" si="30"/>
        <v>1.0380325565640161</v>
      </c>
      <c r="S160" s="440">
        <f t="shared" si="31"/>
        <v>0.95245930429498005</v>
      </c>
    </row>
    <row r="161" spans="2:19" x14ac:dyDescent="0.2">
      <c r="B161" s="417">
        <f t="shared" si="27"/>
        <v>46296</v>
      </c>
      <c r="C161" s="409">
        <v>6.0748810704110712</v>
      </c>
      <c r="D161" s="418">
        <f t="shared" si="25"/>
        <v>2026</v>
      </c>
      <c r="I161" s="60">
        <f t="shared" si="28"/>
        <v>10</v>
      </c>
      <c r="J161" s="441">
        <f t="shared" si="29"/>
        <v>2026</v>
      </c>
      <c r="K161" s="413">
        <f t="shared" si="26"/>
        <v>46296</v>
      </c>
      <c r="L161" s="414">
        <v>56.442970000000003</v>
      </c>
      <c r="M161" s="414">
        <v>54.87547</v>
      </c>
      <c r="N161" s="414">
        <v>48.818869999999997</v>
      </c>
      <c r="O161" s="415">
        <v>51.85519</v>
      </c>
      <c r="Q161" s="438">
        <v>53.608900967741931</v>
      </c>
      <c r="R161" s="440">
        <f t="shared" si="30"/>
        <v>1.0236260958421848</v>
      </c>
      <c r="S161" s="440">
        <f t="shared" si="31"/>
        <v>0.96728694421851347</v>
      </c>
    </row>
    <row r="162" spans="2:19" x14ac:dyDescent="0.2">
      <c r="B162" s="417">
        <f t="shared" si="27"/>
        <v>46327</v>
      </c>
      <c r="C162" s="409">
        <v>6.2412424867724878</v>
      </c>
      <c r="D162" s="418">
        <f t="shared" si="25"/>
        <v>2026</v>
      </c>
      <c r="I162" s="60">
        <f t="shared" si="28"/>
        <v>11</v>
      </c>
      <c r="J162" s="441">
        <f t="shared" si="29"/>
        <v>2026</v>
      </c>
      <c r="K162" s="413">
        <f t="shared" si="26"/>
        <v>46327</v>
      </c>
      <c r="L162" s="414">
        <v>60.087539999999997</v>
      </c>
      <c r="M162" s="414">
        <v>56.822189999999999</v>
      </c>
      <c r="N162" s="414">
        <v>50.850439999999999</v>
      </c>
      <c r="O162" s="415">
        <v>54.079099999999997</v>
      </c>
      <c r="Q162" s="438">
        <v>55.54005223300971</v>
      </c>
      <c r="R162" s="440">
        <f t="shared" si="30"/>
        <v>1.0230849218796425</v>
      </c>
      <c r="S162" s="440">
        <f t="shared" si="31"/>
        <v>0.97369551928254383</v>
      </c>
    </row>
    <row r="163" spans="2:19" x14ac:dyDescent="0.2">
      <c r="B163" s="419">
        <f t="shared" si="27"/>
        <v>46357</v>
      </c>
      <c r="C163" s="420">
        <v>6.5006034961334969</v>
      </c>
      <c r="D163" s="421">
        <f t="shared" si="25"/>
        <v>2026</v>
      </c>
      <c r="I163" s="60">
        <f t="shared" si="28"/>
        <v>12</v>
      </c>
      <c r="J163" s="441">
        <f t="shared" si="29"/>
        <v>2026</v>
      </c>
      <c r="K163" s="422">
        <f t="shared" si="26"/>
        <v>46357</v>
      </c>
      <c r="L163" s="423">
        <v>68.033140000000003</v>
      </c>
      <c r="M163" s="423">
        <v>58.525620000000004</v>
      </c>
      <c r="N163" s="423">
        <v>54.356580000000001</v>
      </c>
      <c r="O163" s="424">
        <v>56.2271</v>
      </c>
      <c r="Q163" s="438">
        <v>57.512293978494625</v>
      </c>
      <c r="R163" s="440">
        <f t="shared" si="30"/>
        <v>1.0176192940918733</v>
      </c>
      <c r="S163" s="440">
        <f t="shared" si="31"/>
        <v>0.97765357822494103</v>
      </c>
    </row>
    <row r="164" spans="2:19" x14ac:dyDescent="0.2">
      <c r="B164" s="408">
        <f t="shared" si="27"/>
        <v>46388</v>
      </c>
      <c r="C164" s="409">
        <v>6.7009494464794468</v>
      </c>
      <c r="D164" s="410">
        <f t="shared" si="25"/>
        <v>2027</v>
      </c>
      <c r="I164" s="60">
        <f t="shared" si="28"/>
        <v>1</v>
      </c>
      <c r="J164" s="441">
        <f t="shared" si="29"/>
        <v>2027</v>
      </c>
      <c r="K164" s="413">
        <f t="shared" si="26"/>
        <v>46388</v>
      </c>
      <c r="L164" s="425">
        <v>65.668670000000006</v>
      </c>
      <c r="M164" s="425">
        <v>60.710520000000002</v>
      </c>
      <c r="N164" s="425">
        <v>54.799630000000001</v>
      </c>
      <c r="O164" s="426">
        <v>58.948189999999997</v>
      </c>
      <c r="Q164" s="438">
        <v>59.895679247311826</v>
      </c>
      <c r="R164" s="440">
        <f t="shared" si="30"/>
        <v>1.0136043327820636</v>
      </c>
      <c r="S164" s="440">
        <f t="shared" si="31"/>
        <v>0.98418100839294931</v>
      </c>
    </row>
    <row r="165" spans="2:19" x14ac:dyDescent="0.2">
      <c r="B165" s="417">
        <f t="shared" si="27"/>
        <v>46419</v>
      </c>
      <c r="C165" s="409">
        <v>6.5305180260480267</v>
      </c>
      <c r="D165" s="418">
        <f t="shared" si="25"/>
        <v>2027</v>
      </c>
      <c r="I165" s="60">
        <f t="shared" si="28"/>
        <v>2</v>
      </c>
      <c r="J165" s="441">
        <f t="shared" si="29"/>
        <v>2027</v>
      </c>
      <c r="K165" s="413">
        <f t="shared" si="26"/>
        <v>46419</v>
      </c>
      <c r="L165" s="414">
        <v>61.648069999999997</v>
      </c>
      <c r="M165" s="414">
        <v>60.319740000000003</v>
      </c>
      <c r="N165" s="414">
        <v>53.145290000000003</v>
      </c>
      <c r="O165" s="415">
        <v>58.769829999999999</v>
      </c>
      <c r="Q165" s="438">
        <v>59.65549285714286</v>
      </c>
      <c r="R165" s="440">
        <f t="shared" si="30"/>
        <v>1.0111347188841071</v>
      </c>
      <c r="S165" s="440">
        <f t="shared" si="31"/>
        <v>0.98515370815452386</v>
      </c>
    </row>
    <row r="166" spans="2:19" x14ac:dyDescent="0.2">
      <c r="B166" s="417">
        <f t="shared" si="27"/>
        <v>46447</v>
      </c>
      <c r="C166" s="409">
        <v>6.080680826210827</v>
      </c>
      <c r="D166" s="418">
        <f t="shared" si="25"/>
        <v>2027</v>
      </c>
      <c r="I166" s="60">
        <f t="shared" si="28"/>
        <v>3</v>
      </c>
      <c r="J166" s="441">
        <f t="shared" si="29"/>
        <v>2027</v>
      </c>
      <c r="K166" s="413">
        <f t="shared" si="26"/>
        <v>46447</v>
      </c>
      <c r="L166" s="414">
        <v>54.646180000000001</v>
      </c>
      <c r="M166" s="414">
        <v>53.434910000000002</v>
      </c>
      <c r="N166" s="414">
        <v>47.002839999999999</v>
      </c>
      <c r="O166" s="415">
        <v>51.801870000000001</v>
      </c>
      <c r="Q166" s="438">
        <v>52.751362974427998</v>
      </c>
      <c r="R166" s="440">
        <f t="shared" si="30"/>
        <v>1.0129579026404183</v>
      </c>
      <c r="S166" s="440">
        <f t="shared" si="31"/>
        <v>0.98200059826154107</v>
      </c>
    </row>
    <row r="167" spans="2:19" x14ac:dyDescent="0.2">
      <c r="B167" s="417">
        <f t="shared" si="27"/>
        <v>46478</v>
      </c>
      <c r="C167" s="409">
        <v>6.0069120024420037</v>
      </c>
      <c r="D167" s="418">
        <f t="shared" si="25"/>
        <v>2027</v>
      </c>
      <c r="I167" s="60">
        <f t="shared" si="28"/>
        <v>4</v>
      </c>
      <c r="J167" s="441">
        <f t="shared" si="29"/>
        <v>2027</v>
      </c>
      <c r="K167" s="413">
        <f t="shared" si="26"/>
        <v>46478</v>
      </c>
      <c r="L167" s="414">
        <v>49.636690000000002</v>
      </c>
      <c r="M167" s="414">
        <v>52.700650000000003</v>
      </c>
      <c r="N167" s="414">
        <v>45.441890000000001</v>
      </c>
      <c r="O167" s="415">
        <v>51.1768</v>
      </c>
      <c r="Q167" s="438">
        <v>52.057246666666671</v>
      </c>
      <c r="R167" s="440">
        <f t="shared" si="30"/>
        <v>1.0123595344458607</v>
      </c>
      <c r="S167" s="440">
        <f t="shared" si="31"/>
        <v>0.98308695286355896</v>
      </c>
    </row>
    <row r="168" spans="2:19" x14ac:dyDescent="0.2">
      <c r="B168" s="417">
        <f t="shared" si="27"/>
        <v>46508</v>
      </c>
      <c r="C168" s="409">
        <v>5.9990772446072445</v>
      </c>
      <c r="D168" s="418">
        <f t="shared" si="25"/>
        <v>2027</v>
      </c>
      <c r="I168" s="60">
        <f t="shared" si="28"/>
        <v>5</v>
      </c>
      <c r="J168" s="441">
        <f t="shared" si="29"/>
        <v>2027</v>
      </c>
      <c r="K168" s="413">
        <f t="shared" si="26"/>
        <v>46508</v>
      </c>
      <c r="L168" s="414">
        <v>44.937820000000002</v>
      </c>
      <c r="M168" s="414">
        <v>53.068959999999997</v>
      </c>
      <c r="N168" s="414">
        <v>41.589489999999998</v>
      </c>
      <c r="O168" s="415">
        <v>50.965009999999999</v>
      </c>
      <c r="Q168" s="438">
        <v>52.096165913978496</v>
      </c>
      <c r="R168" s="440">
        <f t="shared" si="30"/>
        <v>1.0186730456830122</v>
      </c>
      <c r="S168" s="440">
        <f t="shared" si="31"/>
        <v>0.97828715618254392</v>
      </c>
    </row>
    <row r="169" spans="2:19" x14ac:dyDescent="0.2">
      <c r="B169" s="417">
        <f t="shared" si="27"/>
        <v>46539</v>
      </c>
      <c r="C169" s="409">
        <v>6.0349950305250308</v>
      </c>
      <c r="D169" s="418">
        <f t="shared" si="25"/>
        <v>2027</v>
      </c>
      <c r="I169" s="60">
        <f t="shared" si="28"/>
        <v>6</v>
      </c>
      <c r="J169" s="441">
        <f t="shared" si="29"/>
        <v>2027</v>
      </c>
      <c r="K169" s="413">
        <f t="shared" si="26"/>
        <v>46539</v>
      </c>
      <c r="L169" s="414">
        <v>50.735140000000001</v>
      </c>
      <c r="M169" s="414">
        <v>60.020539999999997</v>
      </c>
      <c r="N169" s="414">
        <v>43.110219999999998</v>
      </c>
      <c r="O169" s="415">
        <v>53.285969999999999</v>
      </c>
      <c r="Q169" s="438">
        <v>57.17705488888889</v>
      </c>
      <c r="R169" s="440">
        <f t="shared" si="30"/>
        <v>1.049731227266546</v>
      </c>
      <c r="S169" s="440">
        <f t="shared" si="31"/>
        <v>0.93194674163525271</v>
      </c>
    </row>
    <row r="170" spans="2:19" x14ac:dyDescent="0.2">
      <c r="B170" s="417">
        <f t="shared" si="27"/>
        <v>46569</v>
      </c>
      <c r="C170" s="409">
        <v>6.0971643426943434</v>
      </c>
      <c r="D170" s="418">
        <f t="shared" si="25"/>
        <v>2027</v>
      </c>
      <c r="I170" s="60">
        <f t="shared" si="28"/>
        <v>7</v>
      </c>
      <c r="J170" s="441">
        <f t="shared" si="29"/>
        <v>2027</v>
      </c>
      <c r="K170" s="413">
        <f t="shared" si="26"/>
        <v>46569</v>
      </c>
      <c r="L170" s="414">
        <v>60.585209999999996</v>
      </c>
      <c r="M170" s="414">
        <v>67.433689999999999</v>
      </c>
      <c r="N170" s="414">
        <v>49.678800000000003</v>
      </c>
      <c r="O170" s="415">
        <v>57.385869999999997</v>
      </c>
      <c r="Q170" s="438">
        <v>63.004005913978496</v>
      </c>
      <c r="R170" s="440">
        <f t="shared" si="30"/>
        <v>1.0703079752114413</v>
      </c>
      <c r="S170" s="440">
        <f t="shared" si="31"/>
        <v>0.91082890948792794</v>
      </c>
    </row>
    <row r="171" spans="2:19" x14ac:dyDescent="0.2">
      <c r="B171" s="417">
        <f t="shared" si="27"/>
        <v>46600</v>
      </c>
      <c r="C171" s="409">
        <v>6.1277911233211233</v>
      </c>
      <c r="D171" s="418">
        <f t="shared" si="25"/>
        <v>2027</v>
      </c>
      <c r="I171" s="60">
        <f t="shared" si="28"/>
        <v>8</v>
      </c>
      <c r="J171" s="441">
        <f t="shared" si="29"/>
        <v>2027</v>
      </c>
      <c r="K171" s="413">
        <f t="shared" si="26"/>
        <v>46600</v>
      </c>
      <c r="L171" s="414">
        <v>63.81438</v>
      </c>
      <c r="M171" s="414">
        <v>69.835040000000006</v>
      </c>
      <c r="N171" s="414">
        <v>51.828859999999999</v>
      </c>
      <c r="O171" s="415">
        <v>59.578589999999998</v>
      </c>
      <c r="Q171" s="438">
        <v>65.313379247311829</v>
      </c>
      <c r="R171" s="440">
        <f t="shared" si="30"/>
        <v>1.0692302374306299</v>
      </c>
      <c r="S171" s="440">
        <f t="shared" si="31"/>
        <v>0.91219579642944504</v>
      </c>
    </row>
    <row r="172" spans="2:19" x14ac:dyDescent="0.2">
      <c r="B172" s="417">
        <f t="shared" si="27"/>
        <v>46631</v>
      </c>
      <c r="C172" s="409">
        <v>6.1667614122914127</v>
      </c>
      <c r="D172" s="418">
        <f t="shared" si="25"/>
        <v>2027</v>
      </c>
      <c r="I172" s="60">
        <f t="shared" si="28"/>
        <v>9</v>
      </c>
      <c r="J172" s="441">
        <f t="shared" si="29"/>
        <v>2027</v>
      </c>
      <c r="K172" s="413">
        <f t="shared" si="26"/>
        <v>46631</v>
      </c>
      <c r="L172" s="414">
        <v>59.901789999999998</v>
      </c>
      <c r="M172" s="414">
        <v>63.160290000000003</v>
      </c>
      <c r="N172" s="414">
        <v>51.518250000000002</v>
      </c>
      <c r="O172" s="415">
        <v>56.987929999999999</v>
      </c>
      <c r="Q172" s="438">
        <v>60.41701888888889</v>
      </c>
      <c r="R172" s="440">
        <f t="shared" si="30"/>
        <v>1.0454056019572264</v>
      </c>
      <c r="S172" s="440">
        <f t="shared" si="31"/>
        <v>0.94324299755346708</v>
      </c>
    </row>
    <row r="173" spans="2:19" x14ac:dyDescent="0.2">
      <c r="B173" s="417">
        <f t="shared" si="27"/>
        <v>46661</v>
      </c>
      <c r="C173" s="409">
        <v>6.2553857509157513</v>
      </c>
      <c r="D173" s="418">
        <f t="shared" si="25"/>
        <v>2027</v>
      </c>
      <c r="I173" s="60">
        <f t="shared" si="28"/>
        <v>10</v>
      </c>
      <c r="J173" s="441">
        <f t="shared" si="29"/>
        <v>2027</v>
      </c>
      <c r="K173" s="413">
        <f t="shared" si="26"/>
        <v>46661</v>
      </c>
      <c r="L173" s="414">
        <v>57.753399999999999</v>
      </c>
      <c r="M173" s="414">
        <v>57.822780000000002</v>
      </c>
      <c r="N173" s="414">
        <v>50.490299999999998</v>
      </c>
      <c r="O173" s="415">
        <v>55.007750000000001</v>
      </c>
      <c r="Q173" s="438">
        <v>56.581745268817208</v>
      </c>
      <c r="R173" s="440">
        <f t="shared" si="30"/>
        <v>1.0219334827034179</v>
      </c>
      <c r="S173" s="440">
        <f t="shared" si="31"/>
        <v>0.97218192437615292</v>
      </c>
    </row>
    <row r="174" spans="2:19" x14ac:dyDescent="0.2">
      <c r="B174" s="417">
        <f t="shared" si="27"/>
        <v>46692</v>
      </c>
      <c r="C174" s="409">
        <v>6.652312897842898</v>
      </c>
      <c r="D174" s="418">
        <f t="shared" si="25"/>
        <v>2027</v>
      </c>
      <c r="I174" s="60">
        <f t="shared" si="28"/>
        <v>11</v>
      </c>
      <c r="J174" s="441">
        <f t="shared" si="29"/>
        <v>2027</v>
      </c>
      <c r="K174" s="413">
        <f t="shared" si="26"/>
        <v>46692</v>
      </c>
      <c r="L174" s="414">
        <v>63.438000000000002</v>
      </c>
      <c r="M174" s="414">
        <v>59.389029999999998</v>
      </c>
      <c r="N174" s="414">
        <v>54.011609999999997</v>
      </c>
      <c r="O174" s="415">
        <v>56.516770000000001</v>
      </c>
      <c r="Q174" s="438">
        <v>58.110256823855757</v>
      </c>
      <c r="R174" s="440">
        <f t="shared" si="30"/>
        <v>1.0220059804591892</v>
      </c>
      <c r="S174" s="440">
        <f t="shared" si="31"/>
        <v>0.97257821749633722</v>
      </c>
    </row>
    <row r="175" spans="2:19" x14ac:dyDescent="0.2">
      <c r="B175" s="419">
        <f t="shared" si="27"/>
        <v>46722</v>
      </c>
      <c r="C175" s="420">
        <v>6.9057724013024018</v>
      </c>
      <c r="D175" s="421">
        <f t="shared" si="25"/>
        <v>2027</v>
      </c>
      <c r="I175" s="60">
        <f t="shared" si="28"/>
        <v>12</v>
      </c>
      <c r="J175" s="441">
        <f t="shared" si="29"/>
        <v>2027</v>
      </c>
      <c r="K175" s="422">
        <f t="shared" si="26"/>
        <v>46722</v>
      </c>
      <c r="L175" s="423">
        <v>71.352999999999994</v>
      </c>
      <c r="M175" s="423">
        <v>61.239040000000003</v>
      </c>
      <c r="N175" s="423">
        <v>57.223379999999999</v>
      </c>
      <c r="O175" s="424">
        <v>58.659019999999998</v>
      </c>
      <c r="Q175" s="438">
        <v>60.101611827956987</v>
      </c>
      <c r="R175" s="440">
        <f t="shared" si="30"/>
        <v>1.0189250859910204</v>
      </c>
      <c r="S175" s="440">
        <f t="shared" si="31"/>
        <v>0.97599745191382792</v>
      </c>
    </row>
    <row r="176" spans="2:19" x14ac:dyDescent="0.2">
      <c r="B176" s="408">
        <f t="shared" si="27"/>
        <v>46753</v>
      </c>
      <c r="C176" s="409">
        <v>6.930192425722427</v>
      </c>
      <c r="D176" s="410">
        <f t="shared" si="25"/>
        <v>2028</v>
      </c>
      <c r="I176" s="60">
        <f t="shared" si="28"/>
        <v>1</v>
      </c>
      <c r="J176" s="441">
        <f t="shared" si="29"/>
        <v>2028</v>
      </c>
      <c r="K176" s="413">
        <f t="shared" si="26"/>
        <v>46753</v>
      </c>
      <c r="L176" s="425">
        <v>68.723269999999999</v>
      </c>
      <c r="M176" s="425">
        <v>62.786729999999999</v>
      </c>
      <c r="N176" s="425">
        <v>56.811999999999998</v>
      </c>
      <c r="O176" s="426">
        <v>61.070770000000003</v>
      </c>
      <c r="Q176" s="438">
        <v>61.993329139784947</v>
      </c>
      <c r="R176" s="440">
        <f t="shared" si="30"/>
        <v>1.0127981650804083</v>
      </c>
      <c r="S176" s="440">
        <f t="shared" si="31"/>
        <v>0.98511841269719969</v>
      </c>
    </row>
    <row r="177" spans="2:19" x14ac:dyDescent="0.2">
      <c r="B177" s="417">
        <f t="shared" si="27"/>
        <v>46784</v>
      </c>
      <c r="C177" s="409">
        <v>6.8161305616605619</v>
      </c>
      <c r="D177" s="418">
        <f t="shared" si="25"/>
        <v>2028</v>
      </c>
      <c r="I177" s="60">
        <f t="shared" si="28"/>
        <v>2</v>
      </c>
      <c r="J177" s="441">
        <f t="shared" si="29"/>
        <v>2028</v>
      </c>
      <c r="K177" s="413">
        <f t="shared" si="26"/>
        <v>46784</v>
      </c>
      <c r="L177" s="414">
        <v>63.66825</v>
      </c>
      <c r="M177" s="414">
        <v>62.050870000000003</v>
      </c>
      <c r="N177" s="414">
        <v>55.00873</v>
      </c>
      <c r="O177" s="415">
        <v>60.467370000000003</v>
      </c>
      <c r="Q177" s="438">
        <v>61.377427471264369</v>
      </c>
      <c r="R177" s="440">
        <f t="shared" si="30"/>
        <v>1.0109721530614968</v>
      </c>
      <c r="S177" s="440">
        <f t="shared" si="31"/>
        <v>0.98517276613311244</v>
      </c>
    </row>
    <row r="178" spans="2:19" x14ac:dyDescent="0.2">
      <c r="B178" s="417">
        <f t="shared" si="27"/>
        <v>46813</v>
      </c>
      <c r="C178" s="409">
        <v>6.2690202645502646</v>
      </c>
      <c r="D178" s="418">
        <f t="shared" si="25"/>
        <v>2028</v>
      </c>
      <c r="I178" s="60">
        <f t="shared" si="28"/>
        <v>3</v>
      </c>
      <c r="J178" s="441">
        <f t="shared" si="29"/>
        <v>2028</v>
      </c>
      <c r="K178" s="413">
        <f t="shared" si="26"/>
        <v>46813</v>
      </c>
      <c r="L178" s="414">
        <v>56.038919999999997</v>
      </c>
      <c r="M178" s="414">
        <v>54.344320000000003</v>
      </c>
      <c r="N178" s="414">
        <v>48.352890000000002</v>
      </c>
      <c r="O178" s="415">
        <v>52.66254</v>
      </c>
      <c r="Q178" s="438">
        <v>53.640371709286683</v>
      </c>
      <c r="R178" s="440">
        <f t="shared" si="30"/>
        <v>1.0131234789819967</v>
      </c>
      <c r="S178" s="440">
        <f t="shared" si="31"/>
        <v>0.98177060154269225</v>
      </c>
    </row>
    <row r="179" spans="2:19" x14ac:dyDescent="0.2">
      <c r="B179" s="417">
        <f t="shared" si="27"/>
        <v>46844</v>
      </c>
      <c r="C179" s="409">
        <v>6.1779539234839245</v>
      </c>
      <c r="D179" s="418">
        <f t="shared" si="25"/>
        <v>2028</v>
      </c>
      <c r="I179" s="60">
        <f t="shared" si="28"/>
        <v>4</v>
      </c>
      <c r="J179" s="441">
        <f t="shared" si="29"/>
        <v>2028</v>
      </c>
      <c r="K179" s="413">
        <f t="shared" si="26"/>
        <v>46844</v>
      </c>
      <c r="L179" s="414">
        <v>50.953310000000002</v>
      </c>
      <c r="M179" s="414">
        <v>54.533560000000001</v>
      </c>
      <c r="N179" s="414">
        <v>46.517539999999997</v>
      </c>
      <c r="O179" s="415">
        <v>52.317419999999998</v>
      </c>
      <c r="Q179" s="438">
        <v>53.548608888888893</v>
      </c>
      <c r="R179" s="440">
        <f t="shared" si="30"/>
        <v>1.0183935891435545</v>
      </c>
      <c r="S179" s="440">
        <f t="shared" si="31"/>
        <v>0.97700801357055678</v>
      </c>
    </row>
    <row r="180" spans="2:19" x14ac:dyDescent="0.2">
      <c r="B180" s="417">
        <f t="shared" si="27"/>
        <v>46874</v>
      </c>
      <c r="C180" s="409">
        <v>6.178767924297925</v>
      </c>
      <c r="D180" s="418">
        <f t="shared" si="25"/>
        <v>2028</v>
      </c>
      <c r="I180" s="60">
        <f t="shared" si="28"/>
        <v>5</v>
      </c>
      <c r="J180" s="441">
        <f t="shared" si="29"/>
        <v>2028</v>
      </c>
      <c r="K180" s="413">
        <f t="shared" si="26"/>
        <v>46874</v>
      </c>
      <c r="L180" s="414">
        <v>46.154719999999998</v>
      </c>
      <c r="M180" s="414">
        <v>54.577539999999999</v>
      </c>
      <c r="N180" s="414">
        <v>42.845280000000002</v>
      </c>
      <c r="O180" s="415">
        <v>52.285159999999998</v>
      </c>
      <c r="Q180" s="438">
        <v>53.566920860215049</v>
      </c>
      <c r="R180" s="440">
        <f t="shared" si="30"/>
        <v>1.0188664781091712</v>
      </c>
      <c r="S180" s="440">
        <f t="shared" si="31"/>
        <v>0.97607178386153914</v>
      </c>
    </row>
    <row r="181" spans="2:19" x14ac:dyDescent="0.2">
      <c r="B181" s="417">
        <f t="shared" si="27"/>
        <v>46905</v>
      </c>
      <c r="C181" s="409">
        <v>6.1860939316239323</v>
      </c>
      <c r="D181" s="418">
        <f t="shared" si="25"/>
        <v>2028</v>
      </c>
      <c r="I181" s="60">
        <f t="shared" si="28"/>
        <v>6</v>
      </c>
      <c r="J181" s="441">
        <f t="shared" si="29"/>
        <v>2028</v>
      </c>
      <c r="K181" s="413">
        <f t="shared" si="26"/>
        <v>46905</v>
      </c>
      <c r="L181" s="414">
        <v>53.170340000000003</v>
      </c>
      <c r="M181" s="414">
        <v>62.577170000000002</v>
      </c>
      <c r="N181" s="414">
        <v>44.600090000000002</v>
      </c>
      <c r="O181" s="415">
        <v>54.866309999999999</v>
      </c>
      <c r="Q181" s="438">
        <v>59.321473555555563</v>
      </c>
      <c r="R181" s="440">
        <f t="shared" si="30"/>
        <v>1.0548822584691093</v>
      </c>
      <c r="S181" s="440">
        <f t="shared" si="31"/>
        <v>0.9248979620949026</v>
      </c>
    </row>
    <row r="182" spans="2:19" x14ac:dyDescent="0.2">
      <c r="B182" s="417">
        <f t="shared" si="27"/>
        <v>46935</v>
      </c>
      <c r="C182" s="409">
        <v>6.2455159910459921</v>
      </c>
      <c r="D182" s="418">
        <f t="shared" si="25"/>
        <v>2028</v>
      </c>
      <c r="I182" s="60">
        <f t="shared" si="28"/>
        <v>7</v>
      </c>
      <c r="J182" s="441">
        <f t="shared" si="29"/>
        <v>2028</v>
      </c>
      <c r="K182" s="413">
        <f t="shared" si="26"/>
        <v>46935</v>
      </c>
      <c r="L182" s="414">
        <v>62.263759999999998</v>
      </c>
      <c r="M182" s="414">
        <v>69.380319999999998</v>
      </c>
      <c r="N182" s="414">
        <v>51.313339999999997</v>
      </c>
      <c r="O182" s="415">
        <v>59.287419999999997</v>
      </c>
      <c r="Q182" s="438">
        <v>64.713710322580638</v>
      </c>
      <c r="R182" s="440">
        <f t="shared" si="30"/>
        <v>1.0721116074809736</v>
      </c>
      <c r="S182" s="440">
        <f t="shared" si="31"/>
        <v>0.91614929362677511</v>
      </c>
    </row>
    <row r="183" spans="2:19" x14ac:dyDescent="0.2">
      <c r="B183" s="417">
        <f t="shared" si="27"/>
        <v>46966</v>
      </c>
      <c r="C183" s="409">
        <v>6.2782795238095241</v>
      </c>
      <c r="D183" s="418">
        <f t="shared" si="25"/>
        <v>2028</v>
      </c>
      <c r="I183" s="60">
        <f t="shared" si="28"/>
        <v>8</v>
      </c>
      <c r="J183" s="441">
        <f t="shared" si="29"/>
        <v>2028</v>
      </c>
      <c r="K183" s="413">
        <f t="shared" si="26"/>
        <v>46966</v>
      </c>
      <c r="L183" s="414">
        <v>65.771079999999998</v>
      </c>
      <c r="M183" s="414">
        <v>71.836039999999997</v>
      </c>
      <c r="N183" s="414">
        <v>53.199860000000001</v>
      </c>
      <c r="O183" s="415">
        <v>60.792400000000001</v>
      </c>
      <c r="Q183" s="438">
        <v>67.204836129032259</v>
      </c>
      <c r="R183" s="440">
        <f t="shared" si="30"/>
        <v>1.0689117649520921</v>
      </c>
      <c r="S183" s="440">
        <f t="shared" si="31"/>
        <v>0.90458371006633398</v>
      </c>
    </row>
    <row r="184" spans="2:19" x14ac:dyDescent="0.2">
      <c r="B184" s="417">
        <f t="shared" si="27"/>
        <v>46997</v>
      </c>
      <c r="C184" s="409">
        <v>6.3177585632885638</v>
      </c>
      <c r="D184" s="418">
        <f t="shared" si="25"/>
        <v>2028</v>
      </c>
      <c r="I184" s="60">
        <f t="shared" si="28"/>
        <v>9</v>
      </c>
      <c r="J184" s="441">
        <f t="shared" si="29"/>
        <v>2028</v>
      </c>
      <c r="K184" s="413">
        <f t="shared" si="26"/>
        <v>46997</v>
      </c>
      <c r="L184" s="414">
        <v>60.758420000000001</v>
      </c>
      <c r="M184" s="414">
        <v>64.099019999999996</v>
      </c>
      <c r="N184" s="414">
        <v>52.914909999999999</v>
      </c>
      <c r="O184" s="415">
        <v>58.350900000000003</v>
      </c>
      <c r="Q184" s="438">
        <v>61.5443</v>
      </c>
      <c r="R184" s="440">
        <f t="shared" si="30"/>
        <v>1.0415102617139198</v>
      </c>
      <c r="S184" s="440">
        <f t="shared" si="31"/>
        <v>0.94811217285760019</v>
      </c>
    </row>
    <row r="185" spans="2:19" x14ac:dyDescent="0.2">
      <c r="B185" s="417">
        <f t="shared" si="27"/>
        <v>47027</v>
      </c>
      <c r="C185" s="409">
        <v>6.4434199389499396</v>
      </c>
      <c r="D185" s="418">
        <f t="shared" si="25"/>
        <v>2028</v>
      </c>
      <c r="I185" s="60">
        <f t="shared" si="28"/>
        <v>10</v>
      </c>
      <c r="J185" s="441">
        <f t="shared" si="29"/>
        <v>2028</v>
      </c>
      <c r="K185" s="413">
        <f t="shared" si="26"/>
        <v>47027</v>
      </c>
      <c r="L185" s="414">
        <v>60.066249999999997</v>
      </c>
      <c r="M185" s="414">
        <v>58.838630000000002</v>
      </c>
      <c r="N185" s="414">
        <v>52.502090000000003</v>
      </c>
      <c r="O185" s="415">
        <v>55.998629999999999</v>
      </c>
      <c r="Q185" s="438">
        <v>57.586586989247316</v>
      </c>
      <c r="R185" s="440">
        <f t="shared" si="30"/>
        <v>1.0217419207529432</v>
      </c>
      <c r="S185" s="440">
        <f t="shared" si="31"/>
        <v>0.972424880996267</v>
      </c>
    </row>
    <row r="186" spans="2:19" x14ac:dyDescent="0.2">
      <c r="B186" s="417">
        <f t="shared" si="27"/>
        <v>47058</v>
      </c>
      <c r="C186" s="409">
        <v>7.1257561212861216</v>
      </c>
      <c r="D186" s="418">
        <f t="shared" si="25"/>
        <v>2028</v>
      </c>
      <c r="I186" s="60">
        <f t="shared" si="28"/>
        <v>11</v>
      </c>
      <c r="J186" s="441">
        <f t="shared" si="29"/>
        <v>2028</v>
      </c>
      <c r="K186" s="413">
        <f t="shared" si="26"/>
        <v>47058</v>
      </c>
      <c r="L186" s="414">
        <v>68.986869999999996</v>
      </c>
      <c r="M186" s="414">
        <v>62.292549999999999</v>
      </c>
      <c r="N186" s="414">
        <v>58.639299999999999</v>
      </c>
      <c r="O186" s="415">
        <v>59.590789999999998</v>
      </c>
      <c r="Q186" s="438">
        <v>61.089685977808607</v>
      </c>
      <c r="R186" s="440">
        <f t="shared" si="30"/>
        <v>1.0196901326785073</v>
      </c>
      <c r="S186" s="440">
        <f t="shared" si="31"/>
        <v>0.97546400912335518</v>
      </c>
    </row>
    <row r="187" spans="2:19" x14ac:dyDescent="0.2">
      <c r="B187" s="419">
        <f t="shared" si="27"/>
        <v>47088</v>
      </c>
      <c r="C187" s="420">
        <v>7.4788289743589749</v>
      </c>
      <c r="D187" s="421">
        <f t="shared" si="25"/>
        <v>2028</v>
      </c>
      <c r="I187" s="60">
        <f t="shared" si="28"/>
        <v>12</v>
      </c>
      <c r="J187" s="441">
        <f t="shared" si="29"/>
        <v>2028</v>
      </c>
      <c r="K187" s="422">
        <f t="shared" si="26"/>
        <v>47088</v>
      </c>
      <c r="L187" s="423">
        <v>76.811229999999995</v>
      </c>
      <c r="M187" s="423">
        <v>65.153080000000003</v>
      </c>
      <c r="N187" s="423">
        <v>62.51717</v>
      </c>
      <c r="O187" s="424">
        <v>63.027749999999997</v>
      </c>
      <c r="Q187" s="438">
        <v>64.170400537634407</v>
      </c>
      <c r="R187" s="440">
        <f t="shared" si="30"/>
        <v>1.0153135940267239</v>
      </c>
      <c r="S187" s="440">
        <f t="shared" si="31"/>
        <v>0.98219349531776301</v>
      </c>
    </row>
    <row r="188" spans="2:19" x14ac:dyDescent="0.2">
      <c r="B188" s="408">
        <f t="shared" si="27"/>
        <v>47119</v>
      </c>
      <c r="C188" s="409">
        <v>7.2760410215710216</v>
      </c>
      <c r="D188" s="410">
        <f t="shared" si="25"/>
        <v>2029</v>
      </c>
      <c r="I188" s="60">
        <f t="shared" si="28"/>
        <v>1</v>
      </c>
      <c r="J188" s="441">
        <f t="shared" si="29"/>
        <v>2029</v>
      </c>
      <c r="K188" s="413">
        <f t="shared" si="26"/>
        <v>47119</v>
      </c>
      <c r="L188" s="425">
        <v>72.186440000000005</v>
      </c>
      <c r="M188" s="425">
        <v>65.462649999999996</v>
      </c>
      <c r="N188" s="425">
        <v>58.927160000000001</v>
      </c>
      <c r="O188" s="426">
        <v>63.462209999999999</v>
      </c>
      <c r="Q188" s="438">
        <v>64.58073559139784</v>
      </c>
      <c r="R188" s="440">
        <f t="shared" si="30"/>
        <v>1.0136559981939819</v>
      </c>
      <c r="S188" s="440">
        <f t="shared" si="31"/>
        <v>0.98268019741251089</v>
      </c>
    </row>
    <row r="189" spans="2:19" x14ac:dyDescent="0.2">
      <c r="B189" s="417">
        <f t="shared" si="27"/>
        <v>47150</v>
      </c>
      <c r="C189" s="409">
        <v>7.1082551037851047</v>
      </c>
      <c r="D189" s="418">
        <f t="shared" si="25"/>
        <v>2029</v>
      </c>
      <c r="I189" s="60">
        <f t="shared" si="28"/>
        <v>2</v>
      </c>
      <c r="J189" s="441">
        <f t="shared" si="29"/>
        <v>2029</v>
      </c>
      <c r="K189" s="413">
        <f t="shared" si="26"/>
        <v>47150</v>
      </c>
      <c r="L189" s="414">
        <v>68.087699999999998</v>
      </c>
      <c r="M189" s="414">
        <v>64.739220000000003</v>
      </c>
      <c r="N189" s="414">
        <v>58.61298</v>
      </c>
      <c r="O189" s="415">
        <v>62.874160000000003</v>
      </c>
      <c r="Q189" s="438">
        <v>63.939908571428582</v>
      </c>
      <c r="R189" s="440">
        <f t="shared" si="30"/>
        <v>1.0125009785974044</v>
      </c>
      <c r="S189" s="440">
        <f t="shared" si="31"/>
        <v>0.98333202853679391</v>
      </c>
    </row>
    <row r="190" spans="2:19" x14ac:dyDescent="0.2">
      <c r="B190" s="417">
        <f t="shared" si="27"/>
        <v>47178</v>
      </c>
      <c r="C190" s="409">
        <v>6.592382087912088</v>
      </c>
      <c r="D190" s="418">
        <f t="shared" si="25"/>
        <v>2029</v>
      </c>
      <c r="I190" s="60">
        <f t="shared" si="28"/>
        <v>3</v>
      </c>
      <c r="J190" s="441">
        <f t="shared" si="29"/>
        <v>2029</v>
      </c>
      <c r="K190" s="413">
        <f t="shared" si="26"/>
        <v>47178</v>
      </c>
      <c r="L190" s="414">
        <v>60.333739999999999</v>
      </c>
      <c r="M190" s="414">
        <v>56.34243</v>
      </c>
      <c r="N190" s="414">
        <v>51.186050000000002</v>
      </c>
      <c r="O190" s="415">
        <v>55.777189999999997</v>
      </c>
      <c r="Q190" s="438">
        <v>56.105835598923285</v>
      </c>
      <c r="R190" s="440">
        <f t="shared" si="30"/>
        <v>1.0042169303522726</v>
      </c>
      <c r="S190" s="440">
        <f t="shared" si="31"/>
        <v>0.99414239899620005</v>
      </c>
    </row>
    <row r="191" spans="2:19" x14ac:dyDescent="0.2">
      <c r="B191" s="417">
        <f t="shared" si="27"/>
        <v>47209</v>
      </c>
      <c r="C191" s="409">
        <v>6.5140345095645094</v>
      </c>
      <c r="D191" s="418">
        <f t="shared" si="25"/>
        <v>2029</v>
      </c>
      <c r="I191" s="60">
        <f t="shared" si="28"/>
        <v>4</v>
      </c>
      <c r="J191" s="441">
        <f t="shared" si="29"/>
        <v>2029</v>
      </c>
      <c r="K191" s="413">
        <f t="shared" si="26"/>
        <v>47209</v>
      </c>
      <c r="L191" s="414">
        <v>53.661949999999997</v>
      </c>
      <c r="M191" s="414">
        <v>56.976990000000001</v>
      </c>
      <c r="N191" s="414">
        <v>49.125450000000001</v>
      </c>
      <c r="O191" s="415">
        <v>55.368099999999998</v>
      </c>
      <c r="Q191" s="438">
        <v>56.261927777777778</v>
      </c>
      <c r="R191" s="440">
        <f t="shared" si="30"/>
        <v>1.0127095222376055</v>
      </c>
      <c r="S191" s="440">
        <f t="shared" si="31"/>
        <v>0.98411309720299311</v>
      </c>
    </row>
    <row r="192" spans="2:19" x14ac:dyDescent="0.2">
      <c r="B192" s="417">
        <f t="shared" si="27"/>
        <v>47239</v>
      </c>
      <c r="C192" s="409">
        <v>6.5155607610907618</v>
      </c>
      <c r="D192" s="418">
        <f t="shared" si="25"/>
        <v>2029</v>
      </c>
      <c r="I192" s="60">
        <f t="shared" si="28"/>
        <v>5</v>
      </c>
      <c r="J192" s="441">
        <f t="shared" si="29"/>
        <v>2029</v>
      </c>
      <c r="K192" s="413">
        <f t="shared" si="26"/>
        <v>47239</v>
      </c>
      <c r="L192" s="414">
        <v>48.549550000000004</v>
      </c>
      <c r="M192" s="414">
        <v>57.38308</v>
      </c>
      <c r="N192" s="414">
        <v>45.192770000000003</v>
      </c>
      <c r="O192" s="415">
        <v>54.564990000000002</v>
      </c>
      <c r="Q192" s="438">
        <v>56.140696236559137</v>
      </c>
      <c r="R192" s="440">
        <f t="shared" si="30"/>
        <v>1.0221298246499446</v>
      </c>
      <c r="S192" s="440">
        <f t="shared" si="31"/>
        <v>0.97193290532202148</v>
      </c>
    </row>
    <row r="193" spans="2:19" x14ac:dyDescent="0.2">
      <c r="B193" s="417">
        <f t="shared" si="27"/>
        <v>47270</v>
      </c>
      <c r="C193" s="409">
        <v>6.5074207529507531</v>
      </c>
      <c r="D193" s="418">
        <f t="shared" si="25"/>
        <v>2029</v>
      </c>
      <c r="I193" s="60">
        <f t="shared" si="28"/>
        <v>6</v>
      </c>
      <c r="J193" s="441">
        <f t="shared" si="29"/>
        <v>2029</v>
      </c>
      <c r="K193" s="413">
        <f t="shared" si="26"/>
        <v>47270</v>
      </c>
      <c r="L193" s="414">
        <v>52.97231</v>
      </c>
      <c r="M193" s="414">
        <v>63.358730000000001</v>
      </c>
      <c r="N193" s="414">
        <v>46.251100000000001</v>
      </c>
      <c r="O193" s="415">
        <v>56.332839999999997</v>
      </c>
      <c r="Q193" s="438">
        <v>60.3922431111111</v>
      </c>
      <c r="R193" s="440">
        <f t="shared" si="30"/>
        <v>1.0491203296329148</v>
      </c>
      <c r="S193" s="440">
        <f t="shared" si="31"/>
        <v>0.93278270681811715</v>
      </c>
    </row>
    <row r="194" spans="2:19" x14ac:dyDescent="0.2">
      <c r="B194" s="417">
        <f t="shared" si="27"/>
        <v>47300</v>
      </c>
      <c r="C194" s="409">
        <v>6.6044903500203507</v>
      </c>
      <c r="D194" s="418">
        <f t="shared" si="25"/>
        <v>2029</v>
      </c>
      <c r="I194" s="60">
        <f t="shared" si="28"/>
        <v>7</v>
      </c>
      <c r="J194" s="441">
        <f t="shared" si="29"/>
        <v>2029</v>
      </c>
      <c r="K194" s="413">
        <f t="shared" si="26"/>
        <v>47300</v>
      </c>
      <c r="L194" s="414">
        <v>64.905259999999998</v>
      </c>
      <c r="M194" s="414">
        <v>72.871619999999993</v>
      </c>
      <c r="N194" s="414">
        <v>53.392899999999997</v>
      </c>
      <c r="O194" s="415">
        <v>61.758290000000002</v>
      </c>
      <c r="Q194" s="438">
        <v>67.733198602150537</v>
      </c>
      <c r="R194" s="440">
        <f t="shared" si="30"/>
        <v>1.0758626715391277</v>
      </c>
      <c r="S194" s="440">
        <f t="shared" si="31"/>
        <v>0.91178759123357223</v>
      </c>
    </row>
    <row r="195" spans="2:19" x14ac:dyDescent="0.2">
      <c r="B195" s="417">
        <f t="shared" si="27"/>
        <v>47331</v>
      </c>
      <c r="C195" s="409">
        <v>6.6659474114774122</v>
      </c>
      <c r="D195" s="418">
        <f t="shared" si="25"/>
        <v>2029</v>
      </c>
      <c r="I195" s="60">
        <f t="shared" si="28"/>
        <v>8</v>
      </c>
      <c r="J195" s="441">
        <f t="shared" si="29"/>
        <v>2029</v>
      </c>
      <c r="K195" s="413">
        <f t="shared" si="26"/>
        <v>47331</v>
      </c>
      <c r="L195" s="414">
        <v>69.715509999999995</v>
      </c>
      <c r="M195" s="414">
        <v>75.97963</v>
      </c>
      <c r="N195" s="414">
        <v>56.342910000000003</v>
      </c>
      <c r="O195" s="415">
        <v>64.393500000000003</v>
      </c>
      <c r="Q195" s="438">
        <v>71.120930322580648</v>
      </c>
      <c r="R195" s="440">
        <f t="shared" si="30"/>
        <v>1.0683160309543467</v>
      </c>
      <c r="S195" s="440">
        <f t="shared" si="31"/>
        <v>0.90540857252475071</v>
      </c>
    </row>
    <row r="196" spans="2:19" x14ac:dyDescent="0.2">
      <c r="B196" s="417">
        <f t="shared" si="27"/>
        <v>47362</v>
      </c>
      <c r="C196" s="409">
        <v>6.702882698412699</v>
      </c>
      <c r="D196" s="418">
        <f t="shared" si="25"/>
        <v>2029</v>
      </c>
      <c r="I196" s="60">
        <f t="shared" si="28"/>
        <v>9</v>
      </c>
      <c r="J196" s="441">
        <f t="shared" si="29"/>
        <v>2029</v>
      </c>
      <c r="K196" s="413">
        <f t="shared" si="26"/>
        <v>47362</v>
      </c>
      <c r="L196" s="414">
        <v>65.288589999999999</v>
      </c>
      <c r="M196" s="414">
        <v>68.833870000000005</v>
      </c>
      <c r="N196" s="414">
        <v>56.233939999999997</v>
      </c>
      <c r="O196" s="415">
        <v>61.934269999999998</v>
      </c>
      <c r="Q196" s="438">
        <v>65.61405666666667</v>
      </c>
      <c r="R196" s="440">
        <f t="shared" si="30"/>
        <v>1.0490720052517202</v>
      </c>
      <c r="S196" s="440">
        <f t="shared" si="31"/>
        <v>0.94391770828374821</v>
      </c>
    </row>
    <row r="197" spans="2:19" x14ac:dyDescent="0.2">
      <c r="B197" s="417">
        <f t="shared" si="27"/>
        <v>47392</v>
      </c>
      <c r="C197" s="409">
        <v>6.7567085022385029</v>
      </c>
      <c r="D197" s="418">
        <f t="shared" si="25"/>
        <v>2029</v>
      </c>
      <c r="I197" s="60">
        <f t="shared" si="28"/>
        <v>10</v>
      </c>
      <c r="J197" s="441">
        <f t="shared" si="29"/>
        <v>2029</v>
      </c>
      <c r="K197" s="413">
        <f t="shared" si="26"/>
        <v>47392</v>
      </c>
      <c r="L197" s="414">
        <v>62.08663</v>
      </c>
      <c r="M197" s="414">
        <v>62.590479999999999</v>
      </c>
      <c r="N197" s="414">
        <v>54.475079999999998</v>
      </c>
      <c r="O197" s="415">
        <v>59.117730000000002</v>
      </c>
      <c r="Q197" s="438">
        <v>61.134165483870966</v>
      </c>
      <c r="R197" s="440">
        <f t="shared" si="30"/>
        <v>1.0238216143886556</v>
      </c>
      <c r="S197" s="440">
        <f t="shared" si="31"/>
        <v>0.96701622623109229</v>
      </c>
    </row>
    <row r="198" spans="2:19" x14ac:dyDescent="0.2">
      <c r="B198" s="417">
        <f t="shared" si="27"/>
        <v>47423</v>
      </c>
      <c r="C198" s="409">
        <v>7.1625896581196589</v>
      </c>
      <c r="D198" s="418">
        <f t="shared" si="25"/>
        <v>2029</v>
      </c>
      <c r="I198" s="60">
        <f t="shared" si="28"/>
        <v>11</v>
      </c>
      <c r="J198" s="441">
        <f t="shared" si="29"/>
        <v>2029</v>
      </c>
      <c r="K198" s="413">
        <f t="shared" si="26"/>
        <v>47423</v>
      </c>
      <c r="L198" s="414">
        <v>67.229640000000003</v>
      </c>
      <c r="M198" s="414">
        <v>63.864170000000001</v>
      </c>
      <c r="N198" s="414">
        <v>57.87706</v>
      </c>
      <c r="O198" s="415">
        <v>60.901179999999997</v>
      </c>
      <c r="Q198" s="438">
        <v>62.545002468793349</v>
      </c>
      <c r="R198" s="440">
        <f t="shared" si="30"/>
        <v>1.0210914937906486</v>
      </c>
      <c r="S198" s="440">
        <f t="shared" si="31"/>
        <v>0.97371776474685512</v>
      </c>
    </row>
    <row r="199" spans="2:19" x14ac:dyDescent="0.2">
      <c r="B199" s="419">
        <f t="shared" si="27"/>
        <v>47453</v>
      </c>
      <c r="C199" s="420">
        <v>7.507217252747254</v>
      </c>
      <c r="D199" s="421">
        <f t="shared" si="25"/>
        <v>2029</v>
      </c>
      <c r="I199" s="60">
        <f t="shared" si="28"/>
        <v>12</v>
      </c>
      <c r="J199" s="441">
        <f t="shared" si="29"/>
        <v>2029</v>
      </c>
      <c r="K199" s="422">
        <f t="shared" si="26"/>
        <v>47453</v>
      </c>
      <c r="L199" s="423">
        <v>77.207310000000007</v>
      </c>
      <c r="M199" s="423">
        <v>66.132580000000004</v>
      </c>
      <c r="N199" s="423">
        <v>63.131590000000003</v>
      </c>
      <c r="O199" s="424">
        <v>63.67165</v>
      </c>
      <c r="Q199" s="438">
        <v>64.994730645161297</v>
      </c>
      <c r="R199" s="440">
        <f t="shared" si="30"/>
        <v>1.0175067939130449</v>
      </c>
      <c r="S199" s="440">
        <f t="shared" si="31"/>
        <v>0.97964326289180803</v>
      </c>
    </row>
    <row r="200" spans="2:19" x14ac:dyDescent="0.2">
      <c r="B200" s="408">
        <f t="shared" si="27"/>
        <v>47484</v>
      </c>
      <c r="C200" s="409">
        <v>7.8722966178266178</v>
      </c>
      <c r="D200" s="410">
        <f t="shared" ref="D200:D263" si="32">YEAR(B200)</f>
        <v>2030</v>
      </c>
      <c r="I200" s="60">
        <f t="shared" si="28"/>
        <v>1</v>
      </c>
      <c r="J200" s="441">
        <f t="shared" si="29"/>
        <v>2030</v>
      </c>
      <c r="K200" s="413">
        <f t="shared" ref="K200:K263" si="33">B200</f>
        <v>47484</v>
      </c>
      <c r="L200" s="425">
        <v>78.537989999999994</v>
      </c>
      <c r="M200" s="425">
        <v>69.76661</v>
      </c>
      <c r="N200" s="425">
        <v>63.966200000000001</v>
      </c>
      <c r="O200" s="426">
        <v>67.926779999999994</v>
      </c>
      <c r="Q200" s="438">
        <v>68.955502150537626</v>
      </c>
      <c r="R200" s="440">
        <f t="shared" si="30"/>
        <v>1.0117627719930402</v>
      </c>
      <c r="S200" s="440">
        <f t="shared" si="31"/>
        <v>0.98508136235029053</v>
      </c>
    </row>
    <row r="201" spans="2:19" x14ac:dyDescent="0.2">
      <c r="B201" s="417">
        <f t="shared" ref="B201:B264" si="34">EDATE(B200,1)</f>
        <v>47515</v>
      </c>
      <c r="C201" s="409">
        <v>7.6489551444851447</v>
      </c>
      <c r="D201" s="418">
        <f t="shared" si="32"/>
        <v>2030</v>
      </c>
      <c r="I201" s="60">
        <f t="shared" ref="I201:I264" si="35">MONTH(K201)</f>
        <v>2</v>
      </c>
      <c r="J201" s="441">
        <f t="shared" ref="J201:J264" si="36">YEAR(K201)</f>
        <v>2030</v>
      </c>
      <c r="K201" s="413">
        <f t="shared" si="33"/>
        <v>47515</v>
      </c>
      <c r="L201" s="414">
        <v>71.618189999999998</v>
      </c>
      <c r="M201" s="414">
        <v>68.812970000000007</v>
      </c>
      <c r="N201" s="414">
        <v>62.169379999999997</v>
      </c>
      <c r="O201" s="415">
        <v>66.250659999999996</v>
      </c>
      <c r="Q201" s="438">
        <v>67.714837142857149</v>
      </c>
      <c r="R201" s="440">
        <f t="shared" ref="R201:R264" si="37">M201/Q201</f>
        <v>1.0162170198360831</v>
      </c>
      <c r="S201" s="440">
        <f t="shared" ref="S201:S264" si="38">O201/Q201</f>
        <v>0.97837730688522229</v>
      </c>
    </row>
    <row r="202" spans="2:19" x14ac:dyDescent="0.2">
      <c r="B202" s="417">
        <f t="shared" si="34"/>
        <v>47543</v>
      </c>
      <c r="C202" s="409">
        <v>6.8137903093203098</v>
      </c>
      <c r="D202" s="418">
        <f t="shared" si="32"/>
        <v>2030</v>
      </c>
      <c r="I202" s="60">
        <f t="shared" si="35"/>
        <v>3</v>
      </c>
      <c r="J202" s="441">
        <f t="shared" si="36"/>
        <v>2030</v>
      </c>
      <c r="K202" s="413">
        <f t="shared" si="33"/>
        <v>47543</v>
      </c>
      <c r="L202" s="414">
        <v>62.27055</v>
      </c>
      <c r="M202" s="414">
        <v>58.201779999999999</v>
      </c>
      <c r="N202" s="414">
        <v>52.805979999999998</v>
      </c>
      <c r="O202" s="415">
        <v>56.934339999999999</v>
      </c>
      <c r="Q202" s="438">
        <v>57.643969932705247</v>
      </c>
      <c r="R202" s="440">
        <f t="shared" si="37"/>
        <v>1.0096768155966001</v>
      </c>
      <c r="S202" s="440">
        <f t="shared" si="38"/>
        <v>0.9876894333694628</v>
      </c>
    </row>
    <row r="203" spans="2:19" x14ac:dyDescent="0.2">
      <c r="B203" s="417">
        <f t="shared" si="34"/>
        <v>47574</v>
      </c>
      <c r="C203" s="409">
        <v>6.7019669474969481</v>
      </c>
      <c r="D203" s="418">
        <f t="shared" si="32"/>
        <v>2030</v>
      </c>
      <c r="I203" s="60">
        <f t="shared" si="35"/>
        <v>4</v>
      </c>
      <c r="J203" s="441">
        <f t="shared" si="36"/>
        <v>2030</v>
      </c>
      <c r="K203" s="413">
        <f t="shared" si="33"/>
        <v>47574</v>
      </c>
      <c r="L203" s="414">
        <v>54.565280000000001</v>
      </c>
      <c r="M203" s="414">
        <v>57.423270000000002</v>
      </c>
      <c r="N203" s="414">
        <v>50.195399999999999</v>
      </c>
      <c r="O203" s="415">
        <v>56.029769999999999</v>
      </c>
      <c r="Q203" s="438">
        <v>56.834903333333337</v>
      </c>
      <c r="R203" s="440">
        <f t="shared" si="37"/>
        <v>1.0103522066927066</v>
      </c>
      <c r="S203" s="440">
        <f t="shared" si="38"/>
        <v>0.98583382242050666</v>
      </c>
    </row>
    <row r="204" spans="2:19" x14ac:dyDescent="0.2">
      <c r="B204" s="417">
        <f t="shared" si="34"/>
        <v>47604</v>
      </c>
      <c r="C204" s="409">
        <v>6.6320646275946284</v>
      </c>
      <c r="D204" s="418">
        <f t="shared" si="32"/>
        <v>2030</v>
      </c>
      <c r="I204" s="60">
        <f t="shared" si="35"/>
        <v>5</v>
      </c>
      <c r="J204" s="441">
        <f t="shared" si="36"/>
        <v>2030</v>
      </c>
      <c r="K204" s="413">
        <f t="shared" si="33"/>
        <v>47604</v>
      </c>
      <c r="L204" s="414">
        <v>49.032119999999999</v>
      </c>
      <c r="M204" s="414">
        <v>58.472580000000001</v>
      </c>
      <c r="N204" s="414">
        <v>45.87782</v>
      </c>
      <c r="O204" s="415">
        <v>55.42877</v>
      </c>
      <c r="Q204" s="438">
        <v>57.130685268817203</v>
      </c>
      <c r="R204" s="440">
        <f t="shared" si="37"/>
        <v>1.0234881609570894</v>
      </c>
      <c r="S204" s="440">
        <f t="shared" si="38"/>
        <v>0.97021013732271588</v>
      </c>
    </row>
    <row r="205" spans="2:19" x14ac:dyDescent="0.2">
      <c r="B205" s="417">
        <f t="shared" si="34"/>
        <v>47635</v>
      </c>
      <c r="C205" s="409">
        <v>6.6701191656491661</v>
      </c>
      <c r="D205" s="418">
        <f t="shared" si="32"/>
        <v>2030</v>
      </c>
      <c r="I205" s="60">
        <f t="shared" si="35"/>
        <v>6</v>
      </c>
      <c r="J205" s="441">
        <f t="shared" si="36"/>
        <v>2030</v>
      </c>
      <c r="K205" s="413">
        <f t="shared" si="33"/>
        <v>47635</v>
      </c>
      <c r="L205" s="414">
        <v>53.988529999999997</v>
      </c>
      <c r="M205" s="414">
        <v>65.117069999999998</v>
      </c>
      <c r="N205" s="414">
        <v>47.388739999999999</v>
      </c>
      <c r="O205" s="415">
        <v>58.385100000000001</v>
      </c>
      <c r="Q205" s="438">
        <v>62.125083333333336</v>
      </c>
      <c r="R205" s="440">
        <f t="shared" si="37"/>
        <v>1.0481606865718489</v>
      </c>
      <c r="S205" s="440">
        <f t="shared" si="38"/>
        <v>0.93979914178518875</v>
      </c>
    </row>
    <row r="206" spans="2:19" x14ac:dyDescent="0.2">
      <c r="B206" s="417">
        <f t="shared" si="34"/>
        <v>47665</v>
      </c>
      <c r="C206" s="409">
        <v>6.7601680056980058</v>
      </c>
      <c r="D206" s="418">
        <f t="shared" si="32"/>
        <v>2030</v>
      </c>
      <c r="I206" s="60">
        <f t="shared" si="35"/>
        <v>7</v>
      </c>
      <c r="J206" s="441">
        <f t="shared" si="36"/>
        <v>2030</v>
      </c>
      <c r="K206" s="413">
        <f t="shared" si="33"/>
        <v>47665</v>
      </c>
      <c r="L206" s="414">
        <v>67.086619999999996</v>
      </c>
      <c r="M206" s="414">
        <v>75.80986</v>
      </c>
      <c r="N206" s="414">
        <v>55.223660000000002</v>
      </c>
      <c r="O206" s="415">
        <v>64.272490000000005</v>
      </c>
      <c r="Q206" s="438">
        <v>70.723492580645157</v>
      </c>
      <c r="R206" s="440">
        <f t="shared" si="37"/>
        <v>1.071919064426222</v>
      </c>
      <c r="S206" s="440">
        <f t="shared" si="38"/>
        <v>0.90878557682527983</v>
      </c>
    </row>
    <row r="207" spans="2:19" x14ac:dyDescent="0.2">
      <c r="B207" s="417">
        <f t="shared" si="34"/>
        <v>47696</v>
      </c>
      <c r="C207" s="409">
        <v>6.8213198168498179</v>
      </c>
      <c r="D207" s="418">
        <f t="shared" si="32"/>
        <v>2030</v>
      </c>
      <c r="I207" s="60">
        <f t="shared" si="35"/>
        <v>8</v>
      </c>
      <c r="J207" s="441">
        <f t="shared" si="36"/>
        <v>2030</v>
      </c>
      <c r="K207" s="413">
        <f t="shared" si="33"/>
        <v>47696</v>
      </c>
      <c r="L207" s="414">
        <v>70.811610000000002</v>
      </c>
      <c r="M207" s="414">
        <v>77.763769999999994</v>
      </c>
      <c r="N207" s="414">
        <v>57.526760000000003</v>
      </c>
      <c r="O207" s="415">
        <v>65.721500000000006</v>
      </c>
      <c r="Q207" s="438">
        <v>72.713785806451611</v>
      </c>
      <c r="R207" s="440">
        <f t="shared" si="37"/>
        <v>1.0694501618577577</v>
      </c>
      <c r="S207" s="440">
        <f t="shared" si="38"/>
        <v>0.90383823742772029</v>
      </c>
    </row>
    <row r="208" spans="2:19" x14ac:dyDescent="0.2">
      <c r="B208" s="417">
        <f t="shared" si="34"/>
        <v>47727</v>
      </c>
      <c r="C208" s="409">
        <v>6.8661916117216117</v>
      </c>
      <c r="D208" s="418">
        <f t="shared" si="32"/>
        <v>2030</v>
      </c>
      <c r="I208" s="60">
        <f t="shared" si="35"/>
        <v>9</v>
      </c>
      <c r="J208" s="441">
        <f t="shared" si="36"/>
        <v>2030</v>
      </c>
      <c r="K208" s="413">
        <f t="shared" si="33"/>
        <v>47727</v>
      </c>
      <c r="L208" s="414">
        <v>66.68674</v>
      </c>
      <c r="M208" s="414">
        <v>71.769419999999997</v>
      </c>
      <c r="N208" s="414">
        <v>57.110810000000001</v>
      </c>
      <c r="O208" s="415">
        <v>63.875529999999998</v>
      </c>
      <c r="Q208" s="438">
        <v>68.085604666666669</v>
      </c>
      <c r="R208" s="440">
        <f t="shared" si="37"/>
        <v>1.0541056417339398</v>
      </c>
      <c r="S208" s="440">
        <f t="shared" si="38"/>
        <v>0.93816498087549716</v>
      </c>
    </row>
    <row r="209" spans="2:19" x14ac:dyDescent="0.2">
      <c r="B209" s="417">
        <f t="shared" si="34"/>
        <v>47757</v>
      </c>
      <c r="C209" s="409">
        <v>6.9986702442002446</v>
      </c>
      <c r="D209" s="418">
        <f t="shared" si="32"/>
        <v>2030</v>
      </c>
      <c r="I209" s="60">
        <f t="shared" si="35"/>
        <v>10</v>
      </c>
      <c r="J209" s="441">
        <f t="shared" si="36"/>
        <v>2030</v>
      </c>
      <c r="K209" s="413">
        <f t="shared" si="33"/>
        <v>47757</v>
      </c>
      <c r="L209" s="414">
        <v>63.477849999999997</v>
      </c>
      <c r="M209" s="414">
        <v>65.200800000000001</v>
      </c>
      <c r="N209" s="414">
        <v>55.923459999999999</v>
      </c>
      <c r="O209" s="415">
        <v>61.322659999999999</v>
      </c>
      <c r="Q209" s="438">
        <v>63.574483225806446</v>
      </c>
      <c r="R209" s="440">
        <f t="shared" si="37"/>
        <v>1.0255812818551295</v>
      </c>
      <c r="S209" s="440">
        <f t="shared" si="38"/>
        <v>0.96457976358520559</v>
      </c>
    </row>
    <row r="210" spans="2:19" x14ac:dyDescent="0.2">
      <c r="B210" s="417">
        <f t="shared" si="34"/>
        <v>47788</v>
      </c>
      <c r="C210" s="409">
        <v>7.6440711396011407</v>
      </c>
      <c r="D210" s="418">
        <f t="shared" si="32"/>
        <v>2030</v>
      </c>
      <c r="I210" s="60">
        <f t="shared" si="35"/>
        <v>11</v>
      </c>
      <c r="J210" s="441">
        <f t="shared" si="36"/>
        <v>2030</v>
      </c>
      <c r="K210" s="413">
        <f t="shared" si="33"/>
        <v>47788</v>
      </c>
      <c r="L210" s="414">
        <v>71.547039999999996</v>
      </c>
      <c r="M210" s="414">
        <v>67.72278</v>
      </c>
      <c r="N210" s="414">
        <v>62.082799999999999</v>
      </c>
      <c r="O210" s="415">
        <v>64.784610000000001</v>
      </c>
      <c r="Q210" s="438">
        <v>66.414662704576969</v>
      </c>
      <c r="R210" s="440">
        <f t="shared" si="37"/>
        <v>1.0196962122843527</v>
      </c>
      <c r="S210" s="440">
        <f t="shared" si="38"/>
        <v>0.97545643329052645</v>
      </c>
    </row>
    <row r="211" spans="2:19" x14ac:dyDescent="0.2">
      <c r="B211" s="419">
        <f t="shared" si="34"/>
        <v>47818</v>
      </c>
      <c r="C211" s="420">
        <v>8.0534117989417986</v>
      </c>
      <c r="D211" s="421">
        <f t="shared" si="32"/>
        <v>2030</v>
      </c>
      <c r="I211" s="60">
        <f t="shared" si="35"/>
        <v>12</v>
      </c>
      <c r="J211" s="441">
        <f t="shared" si="36"/>
        <v>2030</v>
      </c>
      <c r="K211" s="422">
        <f t="shared" si="33"/>
        <v>47818</v>
      </c>
      <c r="L211" s="423">
        <v>81.900819999999996</v>
      </c>
      <c r="M211" s="423">
        <v>69.705479999999994</v>
      </c>
      <c r="N211" s="423">
        <v>68.038679999999999</v>
      </c>
      <c r="O211" s="424">
        <v>67.124210000000005</v>
      </c>
      <c r="Q211" s="438">
        <v>68.511989569892478</v>
      </c>
      <c r="R211" s="440">
        <f t="shared" si="37"/>
        <v>1.0174201689018239</v>
      </c>
      <c r="S211" s="440">
        <f t="shared" si="38"/>
        <v>0.97974398964904197</v>
      </c>
    </row>
    <row r="212" spans="2:19" x14ac:dyDescent="0.2">
      <c r="B212" s="408">
        <f t="shared" si="34"/>
        <v>47849</v>
      </c>
      <c r="C212" s="409">
        <v>8.0296022751322749</v>
      </c>
      <c r="D212" s="410">
        <f t="shared" si="32"/>
        <v>2031</v>
      </c>
      <c r="I212" s="60">
        <f t="shared" si="35"/>
        <v>1</v>
      </c>
      <c r="J212" s="441">
        <f t="shared" si="36"/>
        <v>2031</v>
      </c>
      <c r="K212" s="413">
        <f t="shared" si="33"/>
        <v>47849</v>
      </c>
      <c r="L212" s="425">
        <v>80.238460000000003</v>
      </c>
      <c r="M212" s="425">
        <v>70.76097</v>
      </c>
      <c r="N212" s="425">
        <v>65.423739999999995</v>
      </c>
      <c r="O212" s="426">
        <v>68.578829999999996</v>
      </c>
      <c r="Q212" s="438">
        <v>69.798951290322577</v>
      </c>
      <c r="R212" s="440">
        <f t="shared" si="37"/>
        <v>1.0137827100822188</v>
      </c>
      <c r="S212" s="440">
        <f t="shared" si="38"/>
        <v>0.98251948965182023</v>
      </c>
    </row>
    <row r="213" spans="2:19" x14ac:dyDescent="0.2">
      <c r="B213" s="417">
        <f t="shared" si="34"/>
        <v>47880</v>
      </c>
      <c r="C213" s="409">
        <v>7.8018855474155471</v>
      </c>
      <c r="D213" s="418">
        <f t="shared" si="32"/>
        <v>2031</v>
      </c>
      <c r="I213" s="60">
        <f t="shared" si="35"/>
        <v>2</v>
      </c>
      <c r="J213" s="441">
        <f t="shared" si="36"/>
        <v>2031</v>
      </c>
      <c r="K213" s="413">
        <f t="shared" si="33"/>
        <v>47880</v>
      </c>
      <c r="L213" s="414">
        <v>72.81438</v>
      </c>
      <c r="M213" s="414">
        <v>69.924009999999996</v>
      </c>
      <c r="N213" s="414">
        <v>63.433639999999997</v>
      </c>
      <c r="O213" s="415">
        <v>67.964160000000007</v>
      </c>
      <c r="Q213" s="438">
        <v>69.084074285714294</v>
      </c>
      <c r="R213" s="440">
        <f t="shared" si="37"/>
        <v>1.0121581670301021</v>
      </c>
      <c r="S213" s="440">
        <f t="shared" si="38"/>
        <v>0.98378911062653018</v>
      </c>
    </row>
    <row r="214" spans="2:19" x14ac:dyDescent="0.2">
      <c r="B214" s="417">
        <f t="shared" si="34"/>
        <v>47908</v>
      </c>
      <c r="C214" s="409">
        <v>6.9500336955636968</v>
      </c>
      <c r="D214" s="418">
        <f t="shared" si="32"/>
        <v>2031</v>
      </c>
      <c r="I214" s="60">
        <f t="shared" si="35"/>
        <v>3</v>
      </c>
      <c r="J214" s="441">
        <f t="shared" si="36"/>
        <v>2031</v>
      </c>
      <c r="K214" s="413">
        <f t="shared" si="33"/>
        <v>47908</v>
      </c>
      <c r="L214" s="414">
        <v>63.314720000000001</v>
      </c>
      <c r="M214" s="414">
        <v>59.873869999999997</v>
      </c>
      <c r="N214" s="414">
        <v>53.847450000000002</v>
      </c>
      <c r="O214" s="415">
        <v>57.756360000000001</v>
      </c>
      <c r="Q214" s="438">
        <v>58.941937604306865</v>
      </c>
      <c r="R214" s="440">
        <f t="shared" si="37"/>
        <v>1.0158110240954317</v>
      </c>
      <c r="S214" s="440">
        <f t="shared" si="38"/>
        <v>0.97988566965229462</v>
      </c>
    </row>
    <row r="215" spans="2:19" x14ac:dyDescent="0.2">
      <c r="B215" s="417">
        <f t="shared" si="34"/>
        <v>47939</v>
      </c>
      <c r="C215" s="409">
        <v>6.8358700814000812</v>
      </c>
      <c r="D215" s="418">
        <f t="shared" si="32"/>
        <v>2031</v>
      </c>
      <c r="I215" s="60">
        <f t="shared" si="35"/>
        <v>4</v>
      </c>
      <c r="J215" s="441">
        <f t="shared" si="36"/>
        <v>2031</v>
      </c>
      <c r="K215" s="413">
        <f t="shared" si="33"/>
        <v>47939</v>
      </c>
      <c r="L215" s="414">
        <v>55.509099999999997</v>
      </c>
      <c r="M215" s="414">
        <v>59.120869999999996</v>
      </c>
      <c r="N215" s="414">
        <v>51.202460000000002</v>
      </c>
      <c r="O215" s="415">
        <v>56.86253</v>
      </c>
      <c r="Q215" s="438">
        <v>58.167348666666662</v>
      </c>
      <c r="R215" s="440">
        <f t="shared" si="37"/>
        <v>1.0163927247019213</v>
      </c>
      <c r="S215" s="440">
        <f t="shared" si="38"/>
        <v>0.97756785040789729</v>
      </c>
    </row>
    <row r="216" spans="2:19" x14ac:dyDescent="0.2">
      <c r="B216" s="417">
        <f t="shared" si="34"/>
        <v>47969</v>
      </c>
      <c r="C216" s="409">
        <v>6.7645432600732605</v>
      </c>
      <c r="D216" s="418">
        <f t="shared" si="32"/>
        <v>2031</v>
      </c>
      <c r="I216" s="60">
        <f t="shared" si="35"/>
        <v>5</v>
      </c>
      <c r="J216" s="441">
        <f t="shared" si="36"/>
        <v>2031</v>
      </c>
      <c r="K216" s="413">
        <f t="shared" si="33"/>
        <v>47969</v>
      </c>
      <c r="L216" s="414">
        <v>49.916089999999997</v>
      </c>
      <c r="M216" s="414">
        <v>59.805109999999999</v>
      </c>
      <c r="N216" s="414">
        <v>46.75103</v>
      </c>
      <c r="O216" s="415">
        <v>56.661650000000002</v>
      </c>
      <c r="Q216" s="438">
        <v>58.419283548387099</v>
      </c>
      <c r="R216" s="440">
        <f t="shared" si="37"/>
        <v>1.0237220720186522</v>
      </c>
      <c r="S216" s="440">
        <f t="shared" si="38"/>
        <v>0.96991346963488012</v>
      </c>
    </row>
    <row r="217" spans="2:19" x14ac:dyDescent="0.2">
      <c r="B217" s="417">
        <f t="shared" si="34"/>
        <v>48000</v>
      </c>
      <c r="C217" s="409">
        <v>6.8034117989417995</v>
      </c>
      <c r="D217" s="418">
        <f t="shared" si="32"/>
        <v>2031</v>
      </c>
      <c r="I217" s="60">
        <f t="shared" si="35"/>
        <v>6</v>
      </c>
      <c r="J217" s="441">
        <f t="shared" si="36"/>
        <v>2031</v>
      </c>
      <c r="K217" s="413">
        <f t="shared" si="33"/>
        <v>48000</v>
      </c>
      <c r="L217" s="414">
        <v>55.165619999999997</v>
      </c>
      <c r="M217" s="414">
        <v>67.001959999999997</v>
      </c>
      <c r="N217" s="414">
        <v>48.494880000000002</v>
      </c>
      <c r="O217" s="415">
        <v>59.606929999999998</v>
      </c>
      <c r="Q217" s="438">
        <v>63.71528</v>
      </c>
      <c r="R217" s="440">
        <f t="shared" si="37"/>
        <v>1.0515838586913531</v>
      </c>
      <c r="S217" s="440">
        <f t="shared" si="38"/>
        <v>0.93552017663580855</v>
      </c>
    </row>
    <row r="218" spans="2:19" x14ac:dyDescent="0.2">
      <c r="B218" s="417">
        <f t="shared" si="34"/>
        <v>48030</v>
      </c>
      <c r="C218" s="409">
        <v>6.8952921408221419</v>
      </c>
      <c r="D218" s="418">
        <f t="shared" si="32"/>
        <v>2031</v>
      </c>
      <c r="I218" s="60">
        <f t="shared" si="35"/>
        <v>7</v>
      </c>
      <c r="J218" s="441">
        <f t="shared" si="36"/>
        <v>2031</v>
      </c>
      <c r="K218" s="413">
        <f t="shared" si="33"/>
        <v>48030</v>
      </c>
      <c r="L218" s="414">
        <v>68.194190000000006</v>
      </c>
      <c r="M218" s="414">
        <v>77.537859999999995</v>
      </c>
      <c r="N218" s="414">
        <v>56.263449999999999</v>
      </c>
      <c r="O218" s="415">
        <v>65.452839999999995</v>
      </c>
      <c r="Q218" s="438">
        <v>72.21005548387096</v>
      </c>
      <c r="R218" s="440">
        <f t="shared" si="37"/>
        <v>1.0737820305001575</v>
      </c>
      <c r="S218" s="440">
        <f t="shared" si="38"/>
        <v>0.90642279058516617</v>
      </c>
    </row>
    <row r="219" spans="2:19" x14ac:dyDescent="0.2">
      <c r="B219" s="417">
        <f t="shared" si="34"/>
        <v>48061</v>
      </c>
      <c r="C219" s="409">
        <v>6.9575632030932031</v>
      </c>
      <c r="D219" s="418">
        <f t="shared" si="32"/>
        <v>2031</v>
      </c>
      <c r="I219" s="60">
        <f t="shared" si="35"/>
        <v>8</v>
      </c>
      <c r="J219" s="441">
        <f t="shared" si="36"/>
        <v>2031</v>
      </c>
      <c r="K219" s="413">
        <f t="shared" si="33"/>
        <v>48061</v>
      </c>
      <c r="L219" s="414">
        <v>71.530760000000001</v>
      </c>
      <c r="M219" s="414">
        <v>78.933880000000002</v>
      </c>
      <c r="N219" s="414">
        <v>58.918979999999998</v>
      </c>
      <c r="O219" s="415">
        <v>67.445319999999995</v>
      </c>
      <c r="Q219" s="438">
        <v>73.869030967741935</v>
      </c>
      <c r="R219" s="440">
        <f t="shared" si="37"/>
        <v>1.0685652561825245</v>
      </c>
      <c r="S219" s="440">
        <f t="shared" si="38"/>
        <v>0.91303918728070055</v>
      </c>
    </row>
    <row r="220" spans="2:19" x14ac:dyDescent="0.2">
      <c r="B220" s="417">
        <f t="shared" si="34"/>
        <v>48092</v>
      </c>
      <c r="C220" s="409">
        <v>7.0034524989824991</v>
      </c>
      <c r="D220" s="418">
        <f t="shared" si="32"/>
        <v>2031</v>
      </c>
      <c r="I220" s="60">
        <f t="shared" si="35"/>
        <v>9</v>
      </c>
      <c r="J220" s="441">
        <f t="shared" si="36"/>
        <v>2031</v>
      </c>
      <c r="K220" s="413">
        <f t="shared" si="33"/>
        <v>48092</v>
      </c>
      <c r="L220" s="414">
        <v>67.333420000000004</v>
      </c>
      <c r="M220" s="414">
        <v>72.914940000000001</v>
      </c>
      <c r="N220" s="414">
        <v>57.831099999999999</v>
      </c>
      <c r="O220" s="415">
        <v>64.781210000000002</v>
      </c>
      <c r="Q220" s="438">
        <v>69.299948888888892</v>
      </c>
      <c r="R220" s="440">
        <f t="shared" si="37"/>
        <v>1.0521644123707385</v>
      </c>
      <c r="S220" s="440">
        <f t="shared" si="38"/>
        <v>0.93479448453657665</v>
      </c>
    </row>
    <row r="221" spans="2:19" x14ac:dyDescent="0.2">
      <c r="B221" s="417">
        <f t="shared" si="34"/>
        <v>48122</v>
      </c>
      <c r="C221" s="409">
        <v>7.1385766341066343</v>
      </c>
      <c r="D221" s="418">
        <f t="shared" si="32"/>
        <v>2031</v>
      </c>
      <c r="I221" s="60">
        <f t="shared" si="35"/>
        <v>10</v>
      </c>
      <c r="J221" s="441">
        <f t="shared" si="36"/>
        <v>2031</v>
      </c>
      <c r="K221" s="413">
        <f t="shared" si="33"/>
        <v>48122</v>
      </c>
      <c r="L221" s="414">
        <v>64.291820000000001</v>
      </c>
      <c r="M221" s="414">
        <v>65.762780000000006</v>
      </c>
      <c r="N221" s="414">
        <v>56.93242</v>
      </c>
      <c r="O221" s="415">
        <v>62.148389999999999</v>
      </c>
      <c r="Q221" s="438">
        <v>64.247068064516128</v>
      </c>
      <c r="R221" s="440">
        <f t="shared" si="37"/>
        <v>1.0235919238207387</v>
      </c>
      <c r="S221" s="440">
        <f t="shared" si="38"/>
        <v>0.96733425932513117</v>
      </c>
    </row>
    <row r="222" spans="2:19" x14ac:dyDescent="0.2">
      <c r="B222" s="417">
        <f t="shared" si="34"/>
        <v>48153</v>
      </c>
      <c r="C222" s="409">
        <v>7.7968997924297936</v>
      </c>
      <c r="D222" s="418">
        <f t="shared" si="32"/>
        <v>2031</v>
      </c>
      <c r="I222" s="60">
        <f t="shared" si="35"/>
        <v>11</v>
      </c>
      <c r="J222" s="441">
        <f t="shared" si="36"/>
        <v>2031</v>
      </c>
      <c r="K222" s="413">
        <f t="shared" si="33"/>
        <v>48153</v>
      </c>
      <c r="L222" s="414">
        <v>72.964609999999993</v>
      </c>
      <c r="M222" s="414">
        <v>68.627120000000005</v>
      </c>
      <c r="N222" s="414">
        <v>64.103989999999996</v>
      </c>
      <c r="O222" s="415">
        <v>65.799289999999999</v>
      </c>
      <c r="Q222" s="438">
        <v>67.368127725381413</v>
      </c>
      <c r="R222" s="440">
        <f t="shared" si="37"/>
        <v>1.0186882479464285</v>
      </c>
      <c r="S222" s="440">
        <f t="shared" si="38"/>
        <v>0.97671246361815778</v>
      </c>
    </row>
    <row r="223" spans="2:19" x14ac:dyDescent="0.2">
      <c r="B223" s="419">
        <f t="shared" si="34"/>
        <v>48183</v>
      </c>
      <c r="C223" s="420">
        <v>8.2143804599104602</v>
      </c>
      <c r="D223" s="421">
        <f t="shared" si="32"/>
        <v>2031</v>
      </c>
      <c r="I223" s="60">
        <f t="shared" si="35"/>
        <v>12</v>
      </c>
      <c r="J223" s="441">
        <f t="shared" si="36"/>
        <v>2031</v>
      </c>
      <c r="K223" s="422">
        <f t="shared" si="33"/>
        <v>48183</v>
      </c>
      <c r="L223" s="423">
        <v>83.413640000000001</v>
      </c>
      <c r="M223" s="423">
        <v>71.448710000000005</v>
      </c>
      <c r="N223" s="423">
        <v>69.421599999999998</v>
      </c>
      <c r="O223" s="424">
        <v>68.880520000000004</v>
      </c>
      <c r="Q223" s="438">
        <v>70.371727096774194</v>
      </c>
      <c r="R223" s="440">
        <f t="shared" si="37"/>
        <v>1.0153041988261104</v>
      </c>
      <c r="S223" s="440">
        <f t="shared" si="38"/>
        <v>0.97880957085615505</v>
      </c>
    </row>
    <row r="224" spans="2:19" x14ac:dyDescent="0.2">
      <c r="B224" s="408">
        <f t="shared" si="34"/>
        <v>48214</v>
      </c>
      <c r="C224" s="409">
        <v>8.1901639356939349</v>
      </c>
      <c r="D224" s="410">
        <f t="shared" si="32"/>
        <v>2032</v>
      </c>
      <c r="I224" s="60">
        <f t="shared" si="35"/>
        <v>1</v>
      </c>
      <c r="J224" s="441">
        <f t="shared" si="36"/>
        <v>2032</v>
      </c>
      <c r="K224" s="413">
        <f t="shared" si="33"/>
        <v>48214</v>
      </c>
      <c r="L224" s="425">
        <v>81.695819999999998</v>
      </c>
      <c r="M224" s="425">
        <v>72.344179999999994</v>
      </c>
      <c r="N224" s="425">
        <v>67.233500000000006</v>
      </c>
      <c r="O224" s="426">
        <v>69.907499999999999</v>
      </c>
      <c r="Q224" s="438">
        <v>71.26994473118279</v>
      </c>
      <c r="R224" s="440">
        <f t="shared" si="37"/>
        <v>1.0150727669688677</v>
      </c>
      <c r="S224" s="440">
        <f t="shared" si="38"/>
        <v>0.9808833199419239</v>
      </c>
    </row>
    <row r="225" spans="2:19" x14ac:dyDescent="0.2">
      <c r="B225" s="417">
        <f t="shared" si="34"/>
        <v>48245</v>
      </c>
      <c r="C225" s="409">
        <v>7.957766703296703</v>
      </c>
      <c r="D225" s="418">
        <f t="shared" si="32"/>
        <v>2032</v>
      </c>
      <c r="I225" s="60">
        <f t="shared" si="35"/>
        <v>2</v>
      </c>
      <c r="J225" s="441">
        <f t="shared" si="36"/>
        <v>2032</v>
      </c>
      <c r="K225" s="413">
        <f t="shared" si="33"/>
        <v>48245</v>
      </c>
      <c r="L225" s="414">
        <v>73.931939999999997</v>
      </c>
      <c r="M225" s="414">
        <v>71.002129999999994</v>
      </c>
      <c r="N225" s="414">
        <v>64.62527</v>
      </c>
      <c r="O225" s="415">
        <v>69.569419999999994</v>
      </c>
      <c r="Q225" s="438">
        <v>70.359880689655171</v>
      </c>
      <c r="R225" s="440">
        <f t="shared" si="37"/>
        <v>1.0091280613902356</v>
      </c>
      <c r="S225" s="440">
        <f t="shared" si="38"/>
        <v>0.98876546290432532</v>
      </c>
    </row>
    <row r="226" spans="2:19" x14ac:dyDescent="0.2">
      <c r="B226" s="417">
        <f t="shared" si="34"/>
        <v>48274</v>
      </c>
      <c r="C226" s="409">
        <v>7.0889225844525852</v>
      </c>
      <c r="D226" s="418">
        <f t="shared" si="32"/>
        <v>2032</v>
      </c>
      <c r="I226" s="60">
        <f t="shared" si="35"/>
        <v>3</v>
      </c>
      <c r="J226" s="441">
        <f t="shared" si="36"/>
        <v>2032</v>
      </c>
      <c r="K226" s="413">
        <f t="shared" si="33"/>
        <v>48274</v>
      </c>
      <c r="L226" s="414">
        <v>64.759320000000002</v>
      </c>
      <c r="M226" s="414">
        <v>60.461289999999998</v>
      </c>
      <c r="N226" s="414">
        <v>55.051920000000003</v>
      </c>
      <c r="O226" s="415">
        <v>59.311880000000002</v>
      </c>
      <c r="Q226" s="438">
        <v>59.980177604306867</v>
      </c>
      <c r="R226" s="440">
        <f t="shared" si="37"/>
        <v>1.0080211899148925</v>
      </c>
      <c r="S226" s="440">
        <f t="shared" si="38"/>
        <v>0.98885802558445779</v>
      </c>
    </row>
    <row r="227" spans="2:19" x14ac:dyDescent="0.2">
      <c r="B227" s="417">
        <f t="shared" si="34"/>
        <v>48305</v>
      </c>
      <c r="C227" s="409">
        <v>6.9725204680504689</v>
      </c>
      <c r="D227" s="418">
        <f t="shared" si="32"/>
        <v>2032</v>
      </c>
      <c r="I227" s="60">
        <f t="shared" si="35"/>
        <v>4</v>
      </c>
      <c r="J227" s="441">
        <f t="shared" si="36"/>
        <v>2032</v>
      </c>
      <c r="K227" s="413">
        <f t="shared" si="33"/>
        <v>48305</v>
      </c>
      <c r="L227" s="414">
        <v>56.500109999999999</v>
      </c>
      <c r="M227" s="414">
        <v>60.463419999999999</v>
      </c>
      <c r="N227" s="414">
        <v>52.48236</v>
      </c>
      <c r="O227" s="415">
        <v>58.92474</v>
      </c>
      <c r="Q227" s="438">
        <v>59.813755111111114</v>
      </c>
      <c r="R227" s="440">
        <f t="shared" si="37"/>
        <v>1.0108614630143526</v>
      </c>
      <c r="S227" s="440">
        <f t="shared" si="38"/>
        <v>0.98513694534878038</v>
      </c>
    </row>
    <row r="228" spans="2:19" x14ac:dyDescent="0.2">
      <c r="B228" s="417">
        <f t="shared" si="34"/>
        <v>48335</v>
      </c>
      <c r="C228" s="409">
        <v>6.8997691452991461</v>
      </c>
      <c r="D228" s="418">
        <f t="shared" si="32"/>
        <v>2032</v>
      </c>
      <c r="I228" s="60">
        <f t="shared" si="35"/>
        <v>5</v>
      </c>
      <c r="J228" s="441">
        <f t="shared" si="36"/>
        <v>2032</v>
      </c>
      <c r="K228" s="413">
        <f t="shared" si="33"/>
        <v>48335</v>
      </c>
      <c r="L228" s="414">
        <v>50.877519999999997</v>
      </c>
      <c r="M228" s="414">
        <v>62.010890000000003</v>
      </c>
      <c r="N228" s="414">
        <v>47.807690000000001</v>
      </c>
      <c r="O228" s="415">
        <v>58.198450000000001</v>
      </c>
      <c r="Q228" s="438">
        <v>60.248148924731183</v>
      </c>
      <c r="R228" s="440">
        <f t="shared" si="37"/>
        <v>1.0292580121834289</v>
      </c>
      <c r="S228" s="440">
        <f t="shared" si="38"/>
        <v>0.96597905560066422</v>
      </c>
    </row>
    <row r="229" spans="2:19" x14ac:dyDescent="0.2">
      <c r="B229" s="417">
        <f t="shared" si="34"/>
        <v>48366</v>
      </c>
      <c r="C229" s="409">
        <v>6.9394516849816847</v>
      </c>
      <c r="D229" s="418">
        <f t="shared" si="32"/>
        <v>2032</v>
      </c>
      <c r="I229" s="60">
        <f t="shared" si="35"/>
        <v>6</v>
      </c>
      <c r="J229" s="441">
        <f t="shared" si="36"/>
        <v>2032</v>
      </c>
      <c r="K229" s="413">
        <f t="shared" si="33"/>
        <v>48366</v>
      </c>
      <c r="L229" s="414">
        <v>57.162709999999997</v>
      </c>
      <c r="M229" s="414">
        <v>69.243709999999993</v>
      </c>
      <c r="N229" s="414">
        <v>49.739550000000001</v>
      </c>
      <c r="O229" s="415">
        <v>61.114759999999997</v>
      </c>
      <c r="Q229" s="438">
        <v>65.811486666666667</v>
      </c>
      <c r="R229" s="440">
        <f t="shared" si="37"/>
        <v>1.0521523446312258</v>
      </c>
      <c r="S229" s="440">
        <f t="shared" si="38"/>
        <v>0.92863363366253282</v>
      </c>
    </row>
    <row r="230" spans="2:19" x14ac:dyDescent="0.2">
      <c r="B230" s="417">
        <f t="shared" si="34"/>
        <v>48396</v>
      </c>
      <c r="C230" s="409">
        <v>7.033163528693529</v>
      </c>
      <c r="D230" s="418">
        <f t="shared" si="32"/>
        <v>2032</v>
      </c>
      <c r="I230" s="60">
        <f t="shared" si="35"/>
        <v>7</v>
      </c>
      <c r="J230" s="441">
        <f t="shared" si="36"/>
        <v>2032</v>
      </c>
      <c r="K230" s="413">
        <f t="shared" si="33"/>
        <v>48396</v>
      </c>
      <c r="L230" s="414">
        <v>69.509810000000002</v>
      </c>
      <c r="M230" s="414">
        <v>79.246930000000006</v>
      </c>
      <c r="N230" s="414">
        <v>57.485259999999997</v>
      </c>
      <c r="O230" s="415">
        <v>66.856030000000004</v>
      </c>
      <c r="Q230" s="438">
        <v>73.784275161290324</v>
      </c>
      <c r="R230" s="440">
        <f t="shared" si="37"/>
        <v>1.0740354882767158</v>
      </c>
      <c r="S230" s="440">
        <f t="shared" si="38"/>
        <v>0.90610133194172637</v>
      </c>
    </row>
    <row r="231" spans="2:19" x14ac:dyDescent="0.2">
      <c r="B231" s="417">
        <f t="shared" si="34"/>
        <v>48427</v>
      </c>
      <c r="C231" s="409">
        <v>7.0966555921855932</v>
      </c>
      <c r="D231" s="418">
        <f t="shared" si="32"/>
        <v>2032</v>
      </c>
      <c r="I231" s="60">
        <f t="shared" si="35"/>
        <v>8</v>
      </c>
      <c r="J231" s="441">
        <f t="shared" si="36"/>
        <v>2032</v>
      </c>
      <c r="K231" s="413">
        <f t="shared" si="33"/>
        <v>48427</v>
      </c>
      <c r="L231" s="414">
        <v>72.815740000000005</v>
      </c>
      <c r="M231" s="414">
        <v>80.682109999999994</v>
      </c>
      <c r="N231" s="414">
        <v>59.989890000000003</v>
      </c>
      <c r="O231" s="415">
        <v>68.583349999999996</v>
      </c>
      <c r="Q231" s="438">
        <v>75.348248064516113</v>
      </c>
      <c r="R231" s="440">
        <f t="shared" si="37"/>
        <v>1.0707894618985279</v>
      </c>
      <c r="S231" s="440">
        <f t="shared" si="38"/>
        <v>0.91021824344576996</v>
      </c>
    </row>
    <row r="232" spans="2:19" x14ac:dyDescent="0.2">
      <c r="B232" s="417">
        <f t="shared" si="34"/>
        <v>48458</v>
      </c>
      <c r="C232" s="409">
        <v>7.1433588888888888</v>
      </c>
      <c r="D232" s="418">
        <f t="shared" si="32"/>
        <v>2032</v>
      </c>
      <c r="I232" s="60">
        <f t="shared" si="35"/>
        <v>9</v>
      </c>
      <c r="J232" s="441">
        <f t="shared" si="36"/>
        <v>2032</v>
      </c>
      <c r="K232" s="413">
        <f t="shared" si="33"/>
        <v>48458</v>
      </c>
      <c r="L232" s="414">
        <v>67.653660000000002</v>
      </c>
      <c r="M232" s="414">
        <v>72.093860000000006</v>
      </c>
      <c r="N232" s="414">
        <v>58.759770000000003</v>
      </c>
      <c r="O232" s="415">
        <v>65.277450000000002</v>
      </c>
      <c r="Q232" s="438">
        <v>69.064344444444458</v>
      </c>
      <c r="R232" s="440">
        <f t="shared" si="37"/>
        <v>1.0438651170864657</v>
      </c>
      <c r="S232" s="440">
        <f t="shared" si="38"/>
        <v>0.94516860364191768</v>
      </c>
    </row>
    <row r="233" spans="2:19" x14ac:dyDescent="0.2">
      <c r="B233" s="417">
        <f t="shared" si="34"/>
        <v>48488</v>
      </c>
      <c r="C233" s="409">
        <v>7.2812302767602777</v>
      </c>
      <c r="D233" s="418">
        <f t="shared" si="32"/>
        <v>2032</v>
      </c>
      <c r="I233" s="60">
        <f t="shared" si="35"/>
        <v>10</v>
      </c>
      <c r="J233" s="441">
        <f t="shared" si="36"/>
        <v>2032</v>
      </c>
      <c r="K233" s="413">
        <f t="shared" si="33"/>
        <v>48488</v>
      </c>
      <c r="L233" s="414">
        <v>64.962360000000004</v>
      </c>
      <c r="M233" s="414">
        <v>66.406570000000002</v>
      </c>
      <c r="N233" s="414">
        <v>58.001300000000001</v>
      </c>
      <c r="O233" s="415">
        <v>62.81033</v>
      </c>
      <c r="Q233" s="438">
        <v>64.821130860215064</v>
      </c>
      <c r="R233" s="440">
        <f t="shared" si="37"/>
        <v>1.0244586775754327</v>
      </c>
      <c r="S233" s="440">
        <f t="shared" si="38"/>
        <v>0.96897923819701171</v>
      </c>
    </row>
    <row r="234" spans="2:19" x14ac:dyDescent="0.2">
      <c r="B234" s="417">
        <f t="shared" si="34"/>
        <v>48519</v>
      </c>
      <c r="C234" s="409">
        <v>7.9526791982091982</v>
      </c>
      <c r="D234" s="418">
        <f t="shared" si="32"/>
        <v>2032</v>
      </c>
      <c r="I234" s="60">
        <f t="shared" si="35"/>
        <v>11</v>
      </c>
      <c r="J234" s="441">
        <f t="shared" si="36"/>
        <v>2032</v>
      </c>
      <c r="K234" s="413">
        <f t="shared" si="33"/>
        <v>48519</v>
      </c>
      <c r="L234" s="414">
        <v>75.074169999999995</v>
      </c>
      <c r="M234" s="414">
        <v>70.259990000000002</v>
      </c>
      <c r="N234" s="414">
        <v>66.085599999999999</v>
      </c>
      <c r="O234" s="415">
        <v>67.290450000000007</v>
      </c>
      <c r="Q234" s="438">
        <v>68.937906310679622</v>
      </c>
      <c r="R234" s="440">
        <f t="shared" si="37"/>
        <v>1.0191778915269374</v>
      </c>
      <c r="S234" s="440">
        <f t="shared" si="38"/>
        <v>0.97610231585428353</v>
      </c>
    </row>
    <row r="235" spans="2:19" x14ac:dyDescent="0.2">
      <c r="B235" s="419">
        <f t="shared" si="34"/>
        <v>48549</v>
      </c>
      <c r="C235" s="420">
        <v>8.3786051241351238</v>
      </c>
      <c r="D235" s="421">
        <f t="shared" si="32"/>
        <v>2032</v>
      </c>
      <c r="I235" s="60">
        <f t="shared" si="35"/>
        <v>12</v>
      </c>
      <c r="J235" s="441">
        <f t="shared" si="36"/>
        <v>2032</v>
      </c>
      <c r="K235" s="422">
        <f t="shared" si="33"/>
        <v>48549</v>
      </c>
      <c r="L235" s="423">
        <v>84.938929999999999</v>
      </c>
      <c r="M235" s="423">
        <v>72.701179999999994</v>
      </c>
      <c r="N235" s="423">
        <v>71.404949999999999</v>
      </c>
      <c r="O235" s="424">
        <v>70.014110000000002</v>
      </c>
      <c r="Q235" s="438">
        <v>71.516557741935486</v>
      </c>
      <c r="R235" s="440">
        <f t="shared" si="37"/>
        <v>1.0165643075599244</v>
      </c>
      <c r="S235" s="440">
        <f t="shared" si="38"/>
        <v>0.97899160992399825</v>
      </c>
    </row>
    <row r="236" spans="2:19" x14ac:dyDescent="0.2">
      <c r="B236" s="408">
        <f t="shared" si="34"/>
        <v>48580</v>
      </c>
      <c r="C236" s="409">
        <v>8.3538798494098483</v>
      </c>
      <c r="D236" s="410">
        <f t="shared" si="32"/>
        <v>2033</v>
      </c>
      <c r="I236" s="60">
        <f t="shared" si="35"/>
        <v>1</v>
      </c>
      <c r="J236" s="441">
        <f t="shared" si="36"/>
        <v>2033</v>
      </c>
      <c r="K236" s="413">
        <f t="shared" si="33"/>
        <v>48580</v>
      </c>
      <c r="L236" s="425">
        <v>83.117710000000002</v>
      </c>
      <c r="M236" s="425">
        <v>73.379149999999996</v>
      </c>
      <c r="N236" s="425">
        <v>69.421369999999996</v>
      </c>
      <c r="O236" s="426">
        <v>71.637559999999993</v>
      </c>
      <c r="Q236" s="438">
        <v>72.573898709677422</v>
      </c>
      <c r="R236" s="440">
        <f t="shared" si="37"/>
        <v>1.0110956046821169</v>
      </c>
      <c r="S236" s="440">
        <f t="shared" si="38"/>
        <v>0.98709813409056146</v>
      </c>
    </row>
    <row r="237" spans="2:19" x14ac:dyDescent="0.2">
      <c r="B237" s="417">
        <f t="shared" si="34"/>
        <v>48611</v>
      </c>
      <c r="C237" s="409">
        <v>8.1169038624338619</v>
      </c>
      <c r="D237" s="418">
        <f t="shared" si="32"/>
        <v>2033</v>
      </c>
      <c r="I237" s="60">
        <f t="shared" si="35"/>
        <v>2</v>
      </c>
      <c r="J237" s="441">
        <f t="shared" si="36"/>
        <v>2033</v>
      </c>
      <c r="K237" s="413">
        <f t="shared" si="33"/>
        <v>48611</v>
      </c>
      <c r="L237" s="414">
        <v>74.985669999999999</v>
      </c>
      <c r="M237" s="414">
        <v>72.796809999999994</v>
      </c>
      <c r="N237" s="414">
        <v>65.914630000000002</v>
      </c>
      <c r="O237" s="415">
        <v>70.824430000000007</v>
      </c>
      <c r="Q237" s="438">
        <v>71.951504285714279</v>
      </c>
      <c r="R237" s="440">
        <f t="shared" si="37"/>
        <v>1.0117482702089045</v>
      </c>
      <c r="S237" s="440">
        <f t="shared" si="38"/>
        <v>0.98433563972146099</v>
      </c>
    </row>
    <row r="238" spans="2:19" x14ac:dyDescent="0.2">
      <c r="B238" s="417">
        <f t="shared" si="34"/>
        <v>48639</v>
      </c>
      <c r="C238" s="409">
        <v>7.2305587260887263</v>
      </c>
      <c r="D238" s="418">
        <f t="shared" si="32"/>
        <v>2033</v>
      </c>
      <c r="I238" s="60">
        <f t="shared" si="35"/>
        <v>3</v>
      </c>
      <c r="J238" s="441">
        <f t="shared" si="36"/>
        <v>2033</v>
      </c>
      <c r="K238" s="413">
        <f t="shared" si="33"/>
        <v>48639</v>
      </c>
      <c r="L238" s="414">
        <v>65.875010000000003</v>
      </c>
      <c r="M238" s="414">
        <v>62.28931</v>
      </c>
      <c r="N238" s="414">
        <v>56.347549999999998</v>
      </c>
      <c r="O238" s="415">
        <v>60.439010000000003</v>
      </c>
      <c r="Q238" s="438">
        <v>61.514823728129208</v>
      </c>
      <c r="R238" s="440">
        <f t="shared" si="37"/>
        <v>1.0125902380098448</v>
      </c>
      <c r="S238" s="440">
        <f t="shared" si="38"/>
        <v>0.98251130925963681</v>
      </c>
    </row>
    <row r="239" spans="2:19" x14ac:dyDescent="0.2">
      <c r="B239" s="417">
        <f t="shared" si="34"/>
        <v>48670</v>
      </c>
      <c r="C239" s="409">
        <v>7.1119181074481075</v>
      </c>
      <c r="D239" s="418">
        <f t="shared" si="32"/>
        <v>2033</v>
      </c>
      <c r="I239" s="60">
        <f t="shared" si="35"/>
        <v>4</v>
      </c>
      <c r="J239" s="441">
        <f t="shared" si="36"/>
        <v>2033</v>
      </c>
      <c r="K239" s="413">
        <f t="shared" si="33"/>
        <v>48670</v>
      </c>
      <c r="L239" s="414">
        <v>57.198720000000002</v>
      </c>
      <c r="M239" s="414">
        <v>61.243099999999998</v>
      </c>
      <c r="N239" s="414">
        <v>53.53586</v>
      </c>
      <c r="O239" s="415">
        <v>59.99456</v>
      </c>
      <c r="Q239" s="438">
        <v>60.715938666666666</v>
      </c>
      <c r="R239" s="440">
        <f t="shared" si="37"/>
        <v>1.0086824208751424</v>
      </c>
      <c r="S239" s="440">
        <f t="shared" si="38"/>
        <v>0.98811879248664725</v>
      </c>
    </row>
    <row r="240" spans="2:19" x14ac:dyDescent="0.2">
      <c r="B240" s="417">
        <f t="shared" si="34"/>
        <v>48700</v>
      </c>
      <c r="C240" s="409">
        <v>7.0376405331705341</v>
      </c>
      <c r="D240" s="418">
        <f t="shared" si="32"/>
        <v>2033</v>
      </c>
      <c r="I240" s="60">
        <f t="shared" si="35"/>
        <v>5</v>
      </c>
      <c r="J240" s="441">
        <f t="shared" si="36"/>
        <v>2033</v>
      </c>
      <c r="K240" s="413">
        <f t="shared" si="33"/>
        <v>48700</v>
      </c>
      <c r="L240" s="414">
        <v>51.904110000000003</v>
      </c>
      <c r="M240" s="414">
        <v>62.693510000000003</v>
      </c>
      <c r="N240" s="414">
        <v>48.893149999999999</v>
      </c>
      <c r="O240" s="415">
        <v>58.98019</v>
      </c>
      <c r="Q240" s="438">
        <v>60.976598602150538</v>
      </c>
      <c r="R240" s="440">
        <f t="shared" si="37"/>
        <v>1.0281568903023219</v>
      </c>
      <c r="S240" s="440">
        <f t="shared" si="38"/>
        <v>0.96725942988102109</v>
      </c>
    </row>
    <row r="241" spans="2:19" x14ac:dyDescent="0.2">
      <c r="B241" s="417">
        <f t="shared" si="34"/>
        <v>48731</v>
      </c>
      <c r="C241" s="409">
        <v>7.0781370736670741</v>
      </c>
      <c r="D241" s="418">
        <f t="shared" si="32"/>
        <v>2033</v>
      </c>
      <c r="I241" s="60">
        <f t="shared" si="35"/>
        <v>6</v>
      </c>
      <c r="J241" s="441">
        <f t="shared" si="36"/>
        <v>2033</v>
      </c>
      <c r="K241" s="413">
        <f t="shared" si="33"/>
        <v>48731</v>
      </c>
      <c r="L241" s="414">
        <v>58.343069999999997</v>
      </c>
      <c r="M241" s="414">
        <v>71.221010000000007</v>
      </c>
      <c r="N241" s="414">
        <v>50.82461</v>
      </c>
      <c r="O241" s="415">
        <v>62.388359999999999</v>
      </c>
      <c r="Q241" s="438">
        <v>67.491668888888896</v>
      </c>
      <c r="R241" s="440">
        <f t="shared" si="37"/>
        <v>1.0552563178908896</v>
      </c>
      <c r="S241" s="440">
        <f t="shared" si="38"/>
        <v>0.92438609130720351</v>
      </c>
    </row>
    <row r="242" spans="2:19" x14ac:dyDescent="0.2">
      <c r="B242" s="417">
        <f t="shared" si="34"/>
        <v>48761</v>
      </c>
      <c r="C242" s="409">
        <v>7.1736804192104193</v>
      </c>
      <c r="D242" s="418">
        <f t="shared" si="32"/>
        <v>2033</v>
      </c>
      <c r="I242" s="60">
        <f t="shared" si="35"/>
        <v>7</v>
      </c>
      <c r="J242" s="441">
        <f t="shared" si="36"/>
        <v>2033</v>
      </c>
      <c r="K242" s="413">
        <f t="shared" si="33"/>
        <v>48761</v>
      </c>
      <c r="L242" s="414">
        <v>70.482439999999997</v>
      </c>
      <c r="M242" s="414">
        <v>80.651399999999995</v>
      </c>
      <c r="N242" s="414">
        <v>59.067979999999999</v>
      </c>
      <c r="O242" s="415">
        <v>68.509659999999997</v>
      </c>
      <c r="Q242" s="438">
        <v>75.037477204301055</v>
      </c>
      <c r="R242" s="440">
        <f t="shared" si="37"/>
        <v>1.0748149192224863</v>
      </c>
      <c r="S242" s="440">
        <f t="shared" si="38"/>
        <v>0.91300590788083036</v>
      </c>
    </row>
    <row r="243" spans="2:19" x14ac:dyDescent="0.2">
      <c r="B243" s="417">
        <f t="shared" si="34"/>
        <v>48792</v>
      </c>
      <c r="C243" s="409">
        <v>7.2384952340252351</v>
      </c>
      <c r="D243" s="418">
        <f t="shared" si="32"/>
        <v>2033</v>
      </c>
      <c r="I243" s="60">
        <f t="shared" si="35"/>
        <v>8</v>
      </c>
      <c r="J243" s="441">
        <f t="shared" si="36"/>
        <v>2033</v>
      </c>
      <c r="K243" s="413">
        <f t="shared" si="33"/>
        <v>48792</v>
      </c>
      <c r="L243" s="414">
        <v>73.904110000000003</v>
      </c>
      <c r="M243" s="414">
        <v>82.151920000000004</v>
      </c>
      <c r="N243" s="414">
        <v>60.623469999999998</v>
      </c>
      <c r="O243" s="415">
        <v>69.318860000000001</v>
      </c>
      <c r="Q243" s="438">
        <v>76.770314193548387</v>
      </c>
      <c r="R243" s="440">
        <f t="shared" si="37"/>
        <v>1.0701000883347156</v>
      </c>
      <c r="S243" s="440">
        <f t="shared" si="38"/>
        <v>0.90293833922885536</v>
      </c>
    </row>
    <row r="244" spans="2:19" x14ac:dyDescent="0.2">
      <c r="B244" s="417">
        <f t="shared" si="34"/>
        <v>48823</v>
      </c>
      <c r="C244" s="409">
        <v>7.2862160317460329</v>
      </c>
      <c r="D244" s="418">
        <f t="shared" si="32"/>
        <v>2033</v>
      </c>
      <c r="I244" s="60">
        <f t="shared" si="35"/>
        <v>9</v>
      </c>
      <c r="J244" s="441">
        <f t="shared" si="36"/>
        <v>2033</v>
      </c>
      <c r="K244" s="413">
        <f t="shared" si="33"/>
        <v>48823</v>
      </c>
      <c r="L244" s="414">
        <v>68.354979999999998</v>
      </c>
      <c r="M244" s="414">
        <v>74.461789999999993</v>
      </c>
      <c r="N244" s="414">
        <v>59.716560000000001</v>
      </c>
      <c r="O244" s="415">
        <v>67.060839999999999</v>
      </c>
      <c r="Q244" s="438">
        <v>71.17247888888889</v>
      </c>
      <c r="R244" s="440">
        <f t="shared" si="37"/>
        <v>1.0462160537677241</v>
      </c>
      <c r="S244" s="440">
        <f t="shared" si="38"/>
        <v>0.94222993279034462</v>
      </c>
    </row>
    <row r="245" spans="2:19" x14ac:dyDescent="0.2">
      <c r="B245" s="417">
        <f t="shared" si="34"/>
        <v>48853</v>
      </c>
      <c r="C245" s="409">
        <v>7.4268346723646728</v>
      </c>
      <c r="D245" s="418">
        <f t="shared" si="32"/>
        <v>2033</v>
      </c>
      <c r="I245" s="60">
        <f t="shared" si="35"/>
        <v>10</v>
      </c>
      <c r="J245" s="441">
        <f t="shared" si="36"/>
        <v>2033</v>
      </c>
      <c r="K245" s="413">
        <f t="shared" si="33"/>
        <v>48853</v>
      </c>
      <c r="L245" s="414">
        <v>66.174080000000004</v>
      </c>
      <c r="M245" s="414">
        <v>68.73218</v>
      </c>
      <c r="N245" s="414">
        <v>59.189129999999999</v>
      </c>
      <c r="O245" s="415">
        <v>65.005510000000001</v>
      </c>
      <c r="Q245" s="438">
        <v>67.089239462365597</v>
      </c>
      <c r="R245" s="440">
        <f t="shared" si="37"/>
        <v>1.0244888830280454</v>
      </c>
      <c r="S245" s="440">
        <f t="shared" si="38"/>
        <v>0.96894092884247873</v>
      </c>
    </row>
    <row r="246" spans="2:19" x14ac:dyDescent="0.2">
      <c r="B246" s="417">
        <f t="shared" si="34"/>
        <v>48884</v>
      </c>
      <c r="C246" s="409">
        <v>8.1117146072446076</v>
      </c>
      <c r="D246" s="418">
        <f t="shared" si="32"/>
        <v>2033</v>
      </c>
      <c r="I246" s="60">
        <f t="shared" si="35"/>
        <v>11</v>
      </c>
      <c r="J246" s="441">
        <f t="shared" si="36"/>
        <v>2033</v>
      </c>
      <c r="K246" s="413">
        <f t="shared" si="33"/>
        <v>48884</v>
      </c>
      <c r="L246" s="414">
        <v>76.932680000000005</v>
      </c>
      <c r="M246" s="414">
        <v>71.962680000000006</v>
      </c>
      <c r="N246" s="414">
        <v>68.198430000000002</v>
      </c>
      <c r="O246" s="415">
        <v>68.531189999999995</v>
      </c>
      <c r="Q246" s="438">
        <v>70.434929251040231</v>
      </c>
      <c r="R246" s="440">
        <f t="shared" si="37"/>
        <v>1.0216902432529555</v>
      </c>
      <c r="S246" s="440">
        <f t="shared" si="38"/>
        <v>0.97297165949787445</v>
      </c>
    </row>
    <row r="247" spans="2:19" x14ac:dyDescent="0.2">
      <c r="B247" s="419">
        <f t="shared" si="34"/>
        <v>48914</v>
      </c>
      <c r="C247" s="420">
        <v>8.5460857916157913</v>
      </c>
      <c r="D247" s="421">
        <f t="shared" si="32"/>
        <v>2033</v>
      </c>
      <c r="I247" s="60">
        <f t="shared" si="35"/>
        <v>12</v>
      </c>
      <c r="J247" s="441">
        <f t="shared" si="36"/>
        <v>2033</v>
      </c>
      <c r="K247" s="422">
        <f t="shared" si="33"/>
        <v>48914</v>
      </c>
      <c r="L247" s="423">
        <v>86.264759999999995</v>
      </c>
      <c r="M247" s="423">
        <v>74.144000000000005</v>
      </c>
      <c r="N247" s="423">
        <v>73.447460000000007</v>
      </c>
      <c r="O247" s="424">
        <v>71.376649999999998</v>
      </c>
      <c r="Q247" s="438">
        <v>72.923985483870979</v>
      </c>
      <c r="R247" s="440">
        <f t="shared" si="37"/>
        <v>1.0167299484255268</v>
      </c>
      <c r="S247" s="440">
        <f t="shared" si="38"/>
        <v>0.97878152882616087</v>
      </c>
    </row>
    <row r="248" spans="2:19" x14ac:dyDescent="0.2">
      <c r="B248" s="408">
        <f t="shared" si="34"/>
        <v>48945</v>
      </c>
      <c r="C248" s="409">
        <v>8.5208517663817656</v>
      </c>
      <c r="D248" s="410">
        <f t="shared" si="32"/>
        <v>2034</v>
      </c>
      <c r="I248" s="60">
        <f t="shared" si="35"/>
        <v>1</v>
      </c>
      <c r="J248" s="441">
        <f t="shared" si="36"/>
        <v>2034</v>
      </c>
      <c r="K248" s="413">
        <f t="shared" si="33"/>
        <v>48945</v>
      </c>
      <c r="L248" s="425">
        <v>84.459419999999994</v>
      </c>
      <c r="M248" s="425">
        <v>75.444820000000007</v>
      </c>
      <c r="N248" s="425">
        <v>71.02713</v>
      </c>
      <c r="O248" s="426">
        <v>72.748660000000001</v>
      </c>
      <c r="Q248" s="438">
        <v>74.198208387096784</v>
      </c>
      <c r="R248" s="440">
        <f t="shared" si="37"/>
        <v>1.016801101266483</v>
      </c>
      <c r="S248" s="440">
        <f t="shared" si="38"/>
        <v>0.98046383573664753</v>
      </c>
    </row>
    <row r="249" spans="2:19" x14ac:dyDescent="0.2">
      <c r="B249" s="417">
        <f t="shared" si="34"/>
        <v>48976</v>
      </c>
      <c r="C249" s="409">
        <v>8.2790935246235247</v>
      </c>
      <c r="D249" s="418">
        <f t="shared" si="32"/>
        <v>2034</v>
      </c>
      <c r="I249" s="60">
        <f t="shared" si="35"/>
        <v>2</v>
      </c>
      <c r="J249" s="441">
        <f t="shared" si="36"/>
        <v>2034</v>
      </c>
      <c r="K249" s="413">
        <f t="shared" si="33"/>
        <v>48976</v>
      </c>
      <c r="L249" s="414">
        <v>75.772829999999999</v>
      </c>
      <c r="M249" s="414">
        <v>74.434780000000003</v>
      </c>
      <c r="N249" s="414">
        <v>66.941410000000005</v>
      </c>
      <c r="O249" s="415">
        <v>71.903120000000001</v>
      </c>
      <c r="Q249" s="438">
        <v>73.34978285714287</v>
      </c>
      <c r="R249" s="440">
        <f t="shared" si="37"/>
        <v>1.0147920975440416</v>
      </c>
      <c r="S249" s="440">
        <f t="shared" si="38"/>
        <v>0.98027720327461076</v>
      </c>
    </row>
    <row r="250" spans="2:19" x14ac:dyDescent="0.2">
      <c r="B250" s="417">
        <f t="shared" si="34"/>
        <v>49004</v>
      </c>
      <c r="C250" s="409">
        <v>7.375145620675621</v>
      </c>
      <c r="D250" s="418">
        <f t="shared" si="32"/>
        <v>2034</v>
      </c>
      <c r="I250" s="60">
        <f t="shared" si="35"/>
        <v>3</v>
      </c>
      <c r="J250" s="441">
        <f t="shared" si="36"/>
        <v>2034</v>
      </c>
      <c r="K250" s="413">
        <f t="shared" si="33"/>
        <v>49004</v>
      </c>
      <c r="L250" s="414">
        <v>66.830449999999999</v>
      </c>
      <c r="M250" s="414">
        <v>62.787190000000002</v>
      </c>
      <c r="N250" s="414">
        <v>57.380969999999998</v>
      </c>
      <c r="O250" s="415">
        <v>61.125169999999997</v>
      </c>
      <c r="Q250" s="438">
        <v>62.091512718707946</v>
      </c>
      <c r="R250" s="440">
        <f t="shared" si="37"/>
        <v>1.0112040639828452</v>
      </c>
      <c r="S250" s="440">
        <f t="shared" si="38"/>
        <v>0.98443679858331434</v>
      </c>
    </row>
    <row r="251" spans="2:19" x14ac:dyDescent="0.2">
      <c r="B251" s="417">
        <f t="shared" si="34"/>
        <v>49035</v>
      </c>
      <c r="C251" s="409">
        <v>7.2540629995930006</v>
      </c>
      <c r="D251" s="418">
        <f t="shared" si="32"/>
        <v>2034</v>
      </c>
      <c r="I251" s="60">
        <f t="shared" si="35"/>
        <v>4</v>
      </c>
      <c r="J251" s="441">
        <f t="shared" si="36"/>
        <v>2034</v>
      </c>
      <c r="K251" s="413">
        <f t="shared" si="33"/>
        <v>49035</v>
      </c>
      <c r="L251" s="414">
        <v>58.152259999999998</v>
      </c>
      <c r="M251" s="414">
        <v>62.534959999999998</v>
      </c>
      <c r="N251" s="414">
        <v>54.315219999999997</v>
      </c>
      <c r="O251" s="415">
        <v>60.542119999999997</v>
      </c>
      <c r="Q251" s="438">
        <v>61.649253333333334</v>
      </c>
      <c r="R251" s="440">
        <f t="shared" si="37"/>
        <v>1.0143668677036153</v>
      </c>
      <c r="S251" s="440">
        <f t="shared" si="38"/>
        <v>0.98204141537048073</v>
      </c>
    </row>
    <row r="252" spans="2:19" x14ac:dyDescent="0.2">
      <c r="B252" s="417">
        <f t="shared" si="34"/>
        <v>49065</v>
      </c>
      <c r="C252" s="409">
        <v>7.1783609238909252</v>
      </c>
      <c r="D252" s="418">
        <f t="shared" si="32"/>
        <v>2034</v>
      </c>
      <c r="I252" s="60">
        <f t="shared" si="35"/>
        <v>5</v>
      </c>
      <c r="J252" s="441">
        <f t="shared" si="36"/>
        <v>2034</v>
      </c>
      <c r="K252" s="413">
        <f t="shared" si="33"/>
        <v>49065</v>
      </c>
      <c r="L252" s="414">
        <v>53.023650000000004</v>
      </c>
      <c r="M252" s="414">
        <v>63.92107</v>
      </c>
      <c r="N252" s="414">
        <v>49.986820000000002</v>
      </c>
      <c r="O252" s="415">
        <v>60.041370000000001</v>
      </c>
      <c r="Q252" s="438">
        <v>62.210664623655916</v>
      </c>
      <c r="R252" s="440">
        <f t="shared" si="37"/>
        <v>1.0274937647217113</v>
      </c>
      <c r="S252" s="440">
        <f t="shared" si="38"/>
        <v>0.96512985937734175</v>
      </c>
    </row>
    <row r="253" spans="2:19" x14ac:dyDescent="0.2">
      <c r="B253" s="417">
        <f t="shared" si="34"/>
        <v>49096</v>
      </c>
      <c r="C253" s="409">
        <v>7.2195697150997162</v>
      </c>
      <c r="D253" s="418">
        <f t="shared" si="32"/>
        <v>2034</v>
      </c>
      <c r="I253" s="60">
        <f t="shared" si="35"/>
        <v>6</v>
      </c>
      <c r="J253" s="441">
        <f t="shared" si="36"/>
        <v>2034</v>
      </c>
      <c r="K253" s="413">
        <f t="shared" si="33"/>
        <v>49096</v>
      </c>
      <c r="L253" s="414">
        <v>59.703310000000002</v>
      </c>
      <c r="M253" s="414">
        <v>73.047129999999996</v>
      </c>
      <c r="N253" s="414">
        <v>51.886229999999998</v>
      </c>
      <c r="O253" s="415">
        <v>63.632669999999997</v>
      </c>
      <c r="Q253" s="438">
        <v>69.072135777777774</v>
      </c>
      <c r="R253" s="440">
        <f t="shared" si="37"/>
        <v>1.0575484481182218</v>
      </c>
      <c r="S253" s="440">
        <f t="shared" si="38"/>
        <v>0.92124949204874906</v>
      </c>
    </row>
    <row r="254" spans="2:19" x14ac:dyDescent="0.2">
      <c r="B254" s="417">
        <f t="shared" si="34"/>
        <v>49126</v>
      </c>
      <c r="C254" s="409">
        <v>7.3171480626780632</v>
      </c>
      <c r="D254" s="418">
        <f t="shared" si="32"/>
        <v>2034</v>
      </c>
      <c r="I254" s="60">
        <f t="shared" si="35"/>
        <v>7</v>
      </c>
      <c r="J254" s="441">
        <f t="shared" si="36"/>
        <v>2034</v>
      </c>
      <c r="K254" s="413">
        <f t="shared" si="33"/>
        <v>49126</v>
      </c>
      <c r="L254" s="414">
        <v>71.871409999999997</v>
      </c>
      <c r="M254" s="414">
        <v>82.538589999999999</v>
      </c>
      <c r="N254" s="414">
        <v>60.220149999999997</v>
      </c>
      <c r="O254" s="415">
        <v>70.075329999999994</v>
      </c>
      <c r="Q254" s="438">
        <v>76.776007419354826</v>
      </c>
      <c r="R254" s="440">
        <f t="shared" si="37"/>
        <v>1.0750570754372473</v>
      </c>
      <c r="S254" s="440">
        <f t="shared" si="38"/>
        <v>0.91272433088692206</v>
      </c>
    </row>
    <row r="255" spans="2:19" x14ac:dyDescent="0.2">
      <c r="B255" s="417">
        <f t="shared" si="34"/>
        <v>49157</v>
      </c>
      <c r="C255" s="409">
        <v>7.3831838787138793</v>
      </c>
      <c r="D255" s="418">
        <f t="shared" si="32"/>
        <v>2034</v>
      </c>
      <c r="I255" s="60">
        <f t="shared" si="35"/>
        <v>8</v>
      </c>
      <c r="J255" s="441">
        <f t="shared" si="36"/>
        <v>2034</v>
      </c>
      <c r="K255" s="413">
        <f t="shared" si="33"/>
        <v>49157</v>
      </c>
      <c r="L255" s="414">
        <v>75.134240000000005</v>
      </c>
      <c r="M255" s="414">
        <v>83.738619999999997</v>
      </c>
      <c r="N255" s="414">
        <v>61.699689999999997</v>
      </c>
      <c r="O255" s="415">
        <v>70.784459999999996</v>
      </c>
      <c r="Q255" s="438">
        <v>78.306230322580646</v>
      </c>
      <c r="R255" s="440">
        <f t="shared" si="37"/>
        <v>1.069373658456559</v>
      </c>
      <c r="S255" s="440">
        <f t="shared" si="38"/>
        <v>0.90394416521399512</v>
      </c>
    </row>
    <row r="256" spans="2:19" x14ac:dyDescent="0.2">
      <c r="B256" s="417">
        <f t="shared" si="34"/>
        <v>49188</v>
      </c>
      <c r="C256" s="409">
        <v>7.431820427350428</v>
      </c>
      <c r="D256" s="418">
        <f t="shared" si="32"/>
        <v>2034</v>
      </c>
      <c r="I256" s="60">
        <f t="shared" si="35"/>
        <v>9</v>
      </c>
      <c r="J256" s="441">
        <f t="shared" si="36"/>
        <v>2034</v>
      </c>
      <c r="K256" s="413">
        <f t="shared" si="33"/>
        <v>49188</v>
      </c>
      <c r="L256" s="414">
        <v>68.755939999999995</v>
      </c>
      <c r="M256" s="414">
        <v>75.277420000000006</v>
      </c>
      <c r="N256" s="414">
        <v>60.574150000000003</v>
      </c>
      <c r="O256" s="415">
        <v>68.066599999999994</v>
      </c>
      <c r="Q256" s="438">
        <v>72.072611111111115</v>
      </c>
      <c r="R256" s="440">
        <f t="shared" si="37"/>
        <v>1.0444663907617857</v>
      </c>
      <c r="S256" s="440">
        <f t="shared" si="38"/>
        <v>0.94441701154776769</v>
      </c>
    </row>
    <row r="257" spans="2:19" x14ac:dyDescent="0.2">
      <c r="B257" s="417">
        <f t="shared" si="34"/>
        <v>49218</v>
      </c>
      <c r="C257" s="409">
        <v>7.575288070818071</v>
      </c>
      <c r="D257" s="418">
        <f t="shared" si="32"/>
        <v>2034</v>
      </c>
      <c r="I257" s="60">
        <f t="shared" si="35"/>
        <v>10</v>
      </c>
      <c r="J257" s="441">
        <f t="shared" si="36"/>
        <v>2034</v>
      </c>
      <c r="K257" s="413">
        <f t="shared" si="33"/>
        <v>49218</v>
      </c>
      <c r="L257" s="414">
        <v>67.66489</v>
      </c>
      <c r="M257" s="414">
        <v>69.817729999999997</v>
      </c>
      <c r="N257" s="414">
        <v>60.303460000000001</v>
      </c>
      <c r="O257" s="415">
        <v>65.751909999999995</v>
      </c>
      <c r="Q257" s="438">
        <v>68.025271720430098</v>
      </c>
      <c r="R257" s="440">
        <f t="shared" si="37"/>
        <v>1.0263498878319302</v>
      </c>
      <c r="S257" s="440">
        <f t="shared" si="38"/>
        <v>0.9665806300668206</v>
      </c>
    </row>
    <row r="258" spans="2:19" x14ac:dyDescent="0.2">
      <c r="B258" s="417">
        <f t="shared" si="34"/>
        <v>49249</v>
      </c>
      <c r="C258" s="409">
        <v>8.27380251933252</v>
      </c>
      <c r="D258" s="418">
        <f t="shared" si="32"/>
        <v>2034</v>
      </c>
      <c r="I258" s="60">
        <f t="shared" si="35"/>
        <v>11</v>
      </c>
      <c r="J258" s="441">
        <f t="shared" si="36"/>
        <v>2034</v>
      </c>
      <c r="K258" s="413">
        <f t="shared" si="33"/>
        <v>49249</v>
      </c>
      <c r="L258" s="414">
        <v>78.286760000000001</v>
      </c>
      <c r="M258" s="414">
        <v>72.898920000000004</v>
      </c>
      <c r="N258" s="414">
        <v>69.940190000000001</v>
      </c>
      <c r="O258" s="415">
        <v>69.818979999999996</v>
      </c>
      <c r="Q258" s="438">
        <v>71.527684576976426</v>
      </c>
      <c r="R258" s="440">
        <f t="shared" si="37"/>
        <v>1.01917069497123</v>
      </c>
      <c r="S258" s="440">
        <f t="shared" si="38"/>
        <v>0.97611128352494669</v>
      </c>
    </row>
    <row r="259" spans="2:19" x14ac:dyDescent="0.2">
      <c r="B259" s="419">
        <f t="shared" si="34"/>
        <v>49279</v>
      </c>
      <c r="C259" s="420">
        <v>8.7169242124542112</v>
      </c>
      <c r="D259" s="421">
        <f t="shared" si="32"/>
        <v>2034</v>
      </c>
      <c r="I259" s="60">
        <f t="shared" si="35"/>
        <v>12</v>
      </c>
      <c r="J259" s="441">
        <f t="shared" si="36"/>
        <v>2034</v>
      </c>
      <c r="K259" s="422">
        <f t="shared" si="33"/>
        <v>49279</v>
      </c>
      <c r="L259" s="423">
        <v>87.478399999999993</v>
      </c>
      <c r="M259" s="423">
        <v>75.203450000000004</v>
      </c>
      <c r="N259" s="423">
        <v>75.293170000000003</v>
      </c>
      <c r="O259" s="424">
        <v>72.641750000000002</v>
      </c>
      <c r="Q259" s="438">
        <v>74.019008064516129</v>
      </c>
      <c r="R259" s="440">
        <f t="shared" si="37"/>
        <v>1.0160018617711211</v>
      </c>
      <c r="S259" s="440">
        <f t="shared" si="38"/>
        <v>0.98139318398706876</v>
      </c>
    </row>
    <row r="260" spans="2:19" x14ac:dyDescent="0.2">
      <c r="B260" s="408">
        <f t="shared" si="34"/>
        <v>49310</v>
      </c>
      <c r="C260" s="409">
        <v>8.6911814367114371</v>
      </c>
      <c r="D260" s="410">
        <f t="shared" si="32"/>
        <v>2035</v>
      </c>
      <c r="I260" s="60">
        <f t="shared" si="35"/>
        <v>1</v>
      </c>
      <c r="J260" s="441">
        <f t="shared" si="36"/>
        <v>2035</v>
      </c>
      <c r="K260" s="413">
        <f t="shared" si="33"/>
        <v>49310</v>
      </c>
      <c r="L260" s="425">
        <v>86.258039999999994</v>
      </c>
      <c r="M260" s="425">
        <v>76.7607</v>
      </c>
      <c r="N260" s="425">
        <v>72.727729999999994</v>
      </c>
      <c r="O260" s="426">
        <v>73.860810000000001</v>
      </c>
      <c r="Q260" s="438">
        <v>75.482253870967739</v>
      </c>
      <c r="R260" s="440">
        <f t="shared" si="37"/>
        <v>1.0169370423307402</v>
      </c>
      <c r="S260" s="440">
        <f t="shared" si="38"/>
        <v>0.97851887314150032</v>
      </c>
    </row>
    <row r="261" spans="2:19" x14ac:dyDescent="0.2">
      <c r="B261" s="417">
        <f t="shared" si="34"/>
        <v>49341</v>
      </c>
      <c r="C261" s="409">
        <v>8.4446409401709399</v>
      </c>
      <c r="D261" s="418">
        <f t="shared" si="32"/>
        <v>2035</v>
      </c>
      <c r="I261" s="60">
        <f t="shared" si="35"/>
        <v>2</v>
      </c>
      <c r="J261" s="441">
        <f t="shared" si="36"/>
        <v>2035</v>
      </c>
      <c r="K261" s="413">
        <f t="shared" si="33"/>
        <v>49341</v>
      </c>
      <c r="L261" s="414">
        <v>78.638909999999996</v>
      </c>
      <c r="M261" s="414">
        <v>76.167500000000004</v>
      </c>
      <c r="N261" s="414">
        <v>68.922709999999995</v>
      </c>
      <c r="O261" s="415">
        <v>73.497669999999999</v>
      </c>
      <c r="Q261" s="438">
        <v>75.023287142857143</v>
      </c>
      <c r="R261" s="440">
        <f t="shared" si="37"/>
        <v>1.0152514359303411</v>
      </c>
      <c r="S261" s="440">
        <f t="shared" si="38"/>
        <v>0.97966475209287873</v>
      </c>
    </row>
    <row r="262" spans="2:19" x14ac:dyDescent="0.2">
      <c r="B262" s="417">
        <f t="shared" si="34"/>
        <v>49369</v>
      </c>
      <c r="C262" s="409">
        <v>7.5225815181115188</v>
      </c>
      <c r="D262" s="418">
        <f t="shared" si="32"/>
        <v>2035</v>
      </c>
      <c r="I262" s="60">
        <f t="shared" si="35"/>
        <v>3</v>
      </c>
      <c r="J262" s="441">
        <f t="shared" si="36"/>
        <v>2035</v>
      </c>
      <c r="K262" s="413">
        <f t="shared" si="33"/>
        <v>49369</v>
      </c>
      <c r="L262" s="414">
        <v>68.944749999999999</v>
      </c>
      <c r="M262" s="414">
        <v>64.113079999999997</v>
      </c>
      <c r="N262" s="414">
        <v>59.588270000000001</v>
      </c>
      <c r="O262" s="415">
        <v>62.766579999999998</v>
      </c>
      <c r="Q262" s="438">
        <v>63.549470982503365</v>
      </c>
      <c r="R262" s="440">
        <f t="shared" si="37"/>
        <v>1.0088688231197362</v>
      </c>
      <c r="S262" s="440">
        <f t="shared" si="38"/>
        <v>0.98768060582724737</v>
      </c>
    </row>
    <row r="263" spans="2:19" x14ac:dyDescent="0.2">
      <c r="B263" s="417">
        <f t="shared" si="34"/>
        <v>49400</v>
      </c>
      <c r="C263" s="409">
        <v>7.3990568945868951</v>
      </c>
      <c r="D263" s="418">
        <f t="shared" si="32"/>
        <v>2035</v>
      </c>
      <c r="I263" s="60">
        <f t="shared" si="35"/>
        <v>4</v>
      </c>
      <c r="J263" s="441">
        <f t="shared" si="36"/>
        <v>2035</v>
      </c>
      <c r="K263" s="413">
        <f t="shared" si="33"/>
        <v>49400</v>
      </c>
      <c r="L263" s="414">
        <v>59.998939999999997</v>
      </c>
      <c r="M263" s="414">
        <v>64.858930000000001</v>
      </c>
      <c r="N263" s="414">
        <v>55.809719999999999</v>
      </c>
      <c r="O263" s="415">
        <v>62.600540000000002</v>
      </c>
      <c r="Q263" s="438">
        <v>63.855201111111114</v>
      </c>
      <c r="R263" s="440">
        <f t="shared" si="37"/>
        <v>1.0157188274631279</v>
      </c>
      <c r="S263" s="440">
        <f t="shared" si="38"/>
        <v>0.98035146567109011</v>
      </c>
    </row>
    <row r="264" spans="2:19" x14ac:dyDescent="0.2">
      <c r="B264" s="417">
        <f t="shared" si="34"/>
        <v>49430</v>
      </c>
      <c r="C264" s="409">
        <v>7.3218285673585672</v>
      </c>
      <c r="D264" s="418">
        <f t="shared" ref="D264:D307" si="39">YEAR(B264)</f>
        <v>2035</v>
      </c>
      <c r="I264" s="60">
        <f t="shared" si="35"/>
        <v>5</v>
      </c>
      <c r="J264" s="441">
        <f t="shared" si="36"/>
        <v>2035</v>
      </c>
      <c r="K264" s="413">
        <f t="shared" ref="K264:K307" si="40">B264</f>
        <v>49430</v>
      </c>
      <c r="L264" s="414">
        <v>54.067599999999999</v>
      </c>
      <c r="M264" s="414">
        <v>65.671909999999997</v>
      </c>
      <c r="N264" s="414">
        <v>51.098509999999997</v>
      </c>
      <c r="O264" s="415">
        <v>61.638750000000002</v>
      </c>
      <c r="Q264" s="438">
        <v>63.89385021505376</v>
      </c>
      <c r="R264" s="440">
        <f t="shared" si="37"/>
        <v>1.0278283399570014</v>
      </c>
      <c r="S264" s="440">
        <f t="shared" si="38"/>
        <v>0.96470552005453503</v>
      </c>
    </row>
    <row r="265" spans="2:19" x14ac:dyDescent="0.2">
      <c r="B265" s="417">
        <f t="shared" ref="B265:B307" si="41">EDATE(B264,1)</f>
        <v>49461</v>
      </c>
      <c r="C265" s="409">
        <v>7.3638513593813597</v>
      </c>
      <c r="D265" s="418">
        <f t="shared" si="39"/>
        <v>2035</v>
      </c>
      <c r="I265" s="60">
        <f t="shared" ref="I265:I307" si="42">MONTH(K265)</f>
        <v>6</v>
      </c>
      <c r="J265" s="441">
        <f t="shared" ref="J265:J307" si="43">YEAR(K265)</f>
        <v>2035</v>
      </c>
      <c r="K265" s="413">
        <f t="shared" si="40"/>
        <v>49461</v>
      </c>
      <c r="L265" s="414">
        <v>58.064880000000002</v>
      </c>
      <c r="M265" s="414">
        <v>72.189059999999998</v>
      </c>
      <c r="N265" s="414">
        <v>52.407679999999999</v>
      </c>
      <c r="O265" s="415">
        <v>63.932989999999997</v>
      </c>
      <c r="Q265" s="438">
        <v>68.70316377777776</v>
      </c>
      <c r="R265" s="440">
        <f t="shared" ref="R265:R307" si="44">M265/Q265</f>
        <v>1.0507385108711655</v>
      </c>
      <c r="S265" s="440">
        <f t="shared" ref="S265:S307" si="45">O265/Q265</f>
        <v>0.93056835354472145</v>
      </c>
    </row>
    <row r="266" spans="2:19" x14ac:dyDescent="0.2">
      <c r="B266" s="417">
        <f t="shared" si="41"/>
        <v>49491</v>
      </c>
      <c r="C266" s="409">
        <v>7.4633629588929589</v>
      </c>
      <c r="D266" s="418">
        <f t="shared" si="39"/>
        <v>2035</v>
      </c>
      <c r="I266" s="60">
        <f t="shared" si="42"/>
        <v>7</v>
      </c>
      <c r="J266" s="441">
        <f t="shared" si="43"/>
        <v>2035</v>
      </c>
      <c r="K266" s="413">
        <f t="shared" si="40"/>
        <v>49491</v>
      </c>
      <c r="L266" s="414">
        <v>72.909589999999994</v>
      </c>
      <c r="M266" s="414">
        <v>84.325090000000003</v>
      </c>
      <c r="N266" s="414">
        <v>61.319319999999998</v>
      </c>
      <c r="O266" s="415">
        <v>71.563569999999999</v>
      </c>
      <c r="Q266" s="438">
        <v>78.42460225806451</v>
      </c>
      <c r="R266" s="440">
        <f t="shared" si="44"/>
        <v>1.0752377133201048</v>
      </c>
      <c r="S266" s="440">
        <f t="shared" si="45"/>
        <v>0.9125142868370878</v>
      </c>
    </row>
    <row r="267" spans="2:19" x14ac:dyDescent="0.2">
      <c r="B267" s="417">
        <f t="shared" si="41"/>
        <v>49522</v>
      </c>
      <c r="C267" s="409">
        <v>7.5308232763532761</v>
      </c>
      <c r="D267" s="418">
        <f t="shared" si="39"/>
        <v>2035</v>
      </c>
      <c r="I267" s="60">
        <f t="shared" si="42"/>
        <v>8</v>
      </c>
      <c r="J267" s="441">
        <f t="shared" si="43"/>
        <v>2035</v>
      </c>
      <c r="K267" s="413">
        <f t="shared" si="40"/>
        <v>49522</v>
      </c>
      <c r="L267" s="414">
        <v>77.357730000000004</v>
      </c>
      <c r="M267" s="414">
        <v>86.499319999999997</v>
      </c>
      <c r="N267" s="414">
        <v>63.237670000000001</v>
      </c>
      <c r="O267" s="415">
        <v>72.40146</v>
      </c>
      <c r="Q267" s="438">
        <v>80.58731419354838</v>
      </c>
      <c r="R267" s="440">
        <f t="shared" si="44"/>
        <v>1.0733614944934462</v>
      </c>
      <c r="S267" s="440">
        <f t="shared" si="45"/>
        <v>0.8984225460859977</v>
      </c>
    </row>
    <row r="268" spans="2:19" x14ac:dyDescent="0.2">
      <c r="B268" s="417">
        <f t="shared" si="41"/>
        <v>49553</v>
      </c>
      <c r="C268" s="409">
        <v>7.5803755759055758</v>
      </c>
      <c r="D268" s="418">
        <f t="shared" si="39"/>
        <v>2035</v>
      </c>
      <c r="I268" s="60">
        <f t="shared" si="42"/>
        <v>9</v>
      </c>
      <c r="J268" s="441">
        <f t="shared" si="43"/>
        <v>2035</v>
      </c>
      <c r="K268" s="413">
        <f t="shared" si="40"/>
        <v>49553</v>
      </c>
      <c r="L268" s="414">
        <v>71.546229999999994</v>
      </c>
      <c r="M268" s="414">
        <v>78.26567</v>
      </c>
      <c r="N268" s="414">
        <v>62.253</v>
      </c>
      <c r="O268" s="415">
        <v>69.869739999999993</v>
      </c>
      <c r="Q268" s="438">
        <v>74.347569333333325</v>
      </c>
      <c r="R268" s="440">
        <f t="shared" si="44"/>
        <v>1.0526997816041581</v>
      </c>
      <c r="S268" s="440">
        <f t="shared" si="45"/>
        <v>0.93977167816667651</v>
      </c>
    </row>
    <row r="269" spans="2:19" x14ac:dyDescent="0.2">
      <c r="B269" s="417">
        <f t="shared" si="41"/>
        <v>49583</v>
      </c>
      <c r="C269" s="409">
        <v>7.7266922222222227</v>
      </c>
      <c r="D269" s="418">
        <f t="shared" si="39"/>
        <v>2035</v>
      </c>
      <c r="I269" s="60">
        <f t="shared" si="42"/>
        <v>10</v>
      </c>
      <c r="J269" s="441">
        <f t="shared" si="43"/>
        <v>2035</v>
      </c>
      <c r="K269" s="413">
        <f t="shared" si="40"/>
        <v>49583</v>
      </c>
      <c r="L269" s="414">
        <v>68.239199999999997</v>
      </c>
      <c r="M269" s="414">
        <v>71.352810000000005</v>
      </c>
      <c r="N269" s="414">
        <v>61.035899999999998</v>
      </c>
      <c r="O269" s="415">
        <v>66.963629999999995</v>
      </c>
      <c r="Q269" s="438">
        <v>69.512186129032258</v>
      </c>
      <c r="R269" s="440">
        <f t="shared" si="44"/>
        <v>1.0264791538501046</v>
      </c>
      <c r="S269" s="440">
        <f t="shared" si="45"/>
        <v>0.96333655620754755</v>
      </c>
    </row>
    <row r="270" spans="2:19" x14ac:dyDescent="0.2">
      <c r="B270" s="417">
        <f t="shared" si="41"/>
        <v>49614</v>
      </c>
      <c r="C270" s="409">
        <v>8.4391464346764344</v>
      </c>
      <c r="D270" s="418">
        <f t="shared" si="39"/>
        <v>2035</v>
      </c>
      <c r="I270" s="60">
        <f t="shared" si="42"/>
        <v>11</v>
      </c>
      <c r="J270" s="441">
        <f t="shared" si="43"/>
        <v>2035</v>
      </c>
      <c r="K270" s="413">
        <f t="shared" si="40"/>
        <v>49614</v>
      </c>
      <c r="L270" s="414">
        <v>77.900930000000002</v>
      </c>
      <c r="M270" s="414">
        <v>74.800640000000001</v>
      </c>
      <c r="N270" s="414">
        <v>69.841419999999999</v>
      </c>
      <c r="O270" s="415">
        <v>71.443240000000003</v>
      </c>
      <c r="Q270" s="438">
        <v>73.305875228848834</v>
      </c>
      <c r="R270" s="440">
        <f t="shared" si="44"/>
        <v>1.0203907908675089</v>
      </c>
      <c r="S270" s="440">
        <f t="shared" si="45"/>
        <v>0.97459091480684201</v>
      </c>
    </row>
    <row r="271" spans="2:19" x14ac:dyDescent="0.2">
      <c r="B271" s="419">
        <f t="shared" si="41"/>
        <v>49644</v>
      </c>
      <c r="C271" s="420">
        <v>8.8911203866503872</v>
      </c>
      <c r="D271" s="421">
        <f t="shared" si="39"/>
        <v>2035</v>
      </c>
      <c r="I271" s="60">
        <f t="shared" si="42"/>
        <v>12</v>
      </c>
      <c r="J271" s="441">
        <f t="shared" si="43"/>
        <v>2035</v>
      </c>
      <c r="K271" s="422">
        <f t="shared" si="40"/>
        <v>49644</v>
      </c>
      <c r="L271" s="423">
        <v>88.977000000000004</v>
      </c>
      <c r="M271" s="423">
        <v>76.899050000000003</v>
      </c>
      <c r="N271" s="423">
        <v>77.453869999999995</v>
      </c>
      <c r="O271" s="424">
        <v>73.929360000000003</v>
      </c>
      <c r="Q271" s="438">
        <v>75.525967526881729</v>
      </c>
      <c r="R271" s="440">
        <f t="shared" si="44"/>
        <v>1.0181802698870366</v>
      </c>
      <c r="S271" s="440">
        <f t="shared" si="45"/>
        <v>0.97886015129414328</v>
      </c>
    </row>
    <row r="272" spans="2:19" x14ac:dyDescent="0.2">
      <c r="B272" s="408">
        <f t="shared" si="41"/>
        <v>49675</v>
      </c>
      <c r="C272" s="409">
        <v>8.8736193691493686</v>
      </c>
      <c r="D272" s="410">
        <f t="shared" si="39"/>
        <v>2036</v>
      </c>
      <c r="I272" s="60">
        <f t="shared" si="42"/>
        <v>1</v>
      </c>
      <c r="J272" s="441">
        <f t="shared" si="43"/>
        <v>2036</v>
      </c>
      <c r="K272" s="413">
        <f t="shared" si="40"/>
        <v>49675</v>
      </c>
      <c r="L272" s="425">
        <v>88.187510000000003</v>
      </c>
      <c r="M272" s="425">
        <v>78.434340000000006</v>
      </c>
      <c r="N272" s="425">
        <v>75.08305</v>
      </c>
      <c r="O272" s="426">
        <v>75.684560000000005</v>
      </c>
      <c r="Q272" s="438">
        <v>77.222071397849462</v>
      </c>
      <c r="R272" s="440">
        <f t="shared" si="44"/>
        <v>1.0156984729910301</v>
      </c>
      <c r="S272" s="440">
        <f t="shared" si="45"/>
        <v>0.98008974157235218</v>
      </c>
    </row>
    <row r="273" spans="2:19" x14ac:dyDescent="0.2">
      <c r="B273" s="417">
        <f t="shared" si="41"/>
        <v>49706</v>
      </c>
      <c r="C273" s="409">
        <v>8.6218896174196171</v>
      </c>
      <c r="D273" s="418">
        <f t="shared" si="39"/>
        <v>2036</v>
      </c>
      <c r="I273" s="60">
        <f t="shared" si="42"/>
        <v>2</v>
      </c>
      <c r="J273" s="441">
        <f t="shared" si="43"/>
        <v>2036</v>
      </c>
      <c r="K273" s="413">
        <f t="shared" si="40"/>
        <v>49706</v>
      </c>
      <c r="L273" s="414">
        <v>80.255480000000006</v>
      </c>
      <c r="M273" s="414">
        <v>77.653670000000005</v>
      </c>
      <c r="N273" s="414">
        <v>70.276290000000003</v>
      </c>
      <c r="O273" s="415">
        <v>74.484359999999995</v>
      </c>
      <c r="Q273" s="438">
        <v>76.305802528735626</v>
      </c>
      <c r="R273" s="440">
        <f t="shared" si="44"/>
        <v>1.0176640232668648</v>
      </c>
      <c r="S273" s="440">
        <f t="shared" si="45"/>
        <v>0.97612969828802076</v>
      </c>
    </row>
    <row r="274" spans="2:19" x14ac:dyDescent="0.2">
      <c r="B274" s="417">
        <f t="shared" si="41"/>
        <v>49735</v>
      </c>
      <c r="C274" s="409">
        <v>7.680395925925926</v>
      </c>
      <c r="D274" s="418">
        <f t="shared" si="39"/>
        <v>2036</v>
      </c>
      <c r="I274" s="60">
        <f t="shared" si="42"/>
        <v>3</v>
      </c>
      <c r="J274" s="441">
        <f t="shared" si="43"/>
        <v>2036</v>
      </c>
      <c r="K274" s="413">
        <f t="shared" si="40"/>
        <v>49735</v>
      </c>
      <c r="L274" s="414">
        <v>69.961470000000006</v>
      </c>
      <c r="M274" s="414">
        <v>66.180480000000003</v>
      </c>
      <c r="N274" s="414">
        <v>60.880209999999998</v>
      </c>
      <c r="O274" s="415">
        <v>64.105760000000004</v>
      </c>
      <c r="Q274" s="438">
        <v>65.267379811574699</v>
      </c>
      <c r="R274" s="440">
        <f t="shared" si="44"/>
        <v>1.0139901462424477</v>
      </c>
      <c r="S274" s="440">
        <f t="shared" si="45"/>
        <v>0.98220213811358348</v>
      </c>
    </row>
    <row r="275" spans="2:19" x14ac:dyDescent="0.2">
      <c r="B275" s="417">
        <f t="shared" si="41"/>
        <v>49766</v>
      </c>
      <c r="C275" s="409">
        <v>7.5543275498575504</v>
      </c>
      <c r="D275" s="418">
        <f t="shared" si="39"/>
        <v>2036</v>
      </c>
      <c r="I275" s="60">
        <f t="shared" si="42"/>
        <v>4</v>
      </c>
      <c r="J275" s="441">
        <f t="shared" si="43"/>
        <v>2036</v>
      </c>
      <c r="K275" s="413">
        <f t="shared" si="40"/>
        <v>49766</v>
      </c>
      <c r="L275" s="414">
        <v>61.06467</v>
      </c>
      <c r="M275" s="414">
        <v>65.876909999999995</v>
      </c>
      <c r="N275" s="414">
        <v>56.742669999999997</v>
      </c>
      <c r="O275" s="415">
        <v>62.980029999999999</v>
      </c>
      <c r="Q275" s="438">
        <v>64.653782888888884</v>
      </c>
      <c r="R275" s="440">
        <f t="shared" si="44"/>
        <v>1.0189181058935581</v>
      </c>
      <c r="S275" s="440">
        <f t="shared" si="45"/>
        <v>0.97411206561934172</v>
      </c>
    </row>
    <row r="276" spans="2:19" x14ac:dyDescent="0.2">
      <c r="B276" s="417">
        <f t="shared" si="41"/>
        <v>49796</v>
      </c>
      <c r="C276" s="409">
        <v>7.4754712210012215</v>
      </c>
      <c r="D276" s="418">
        <f t="shared" si="39"/>
        <v>2036</v>
      </c>
      <c r="I276" s="60">
        <f t="shared" si="42"/>
        <v>5</v>
      </c>
      <c r="J276" s="441">
        <f t="shared" si="43"/>
        <v>2036</v>
      </c>
      <c r="K276" s="413">
        <f t="shared" si="40"/>
        <v>49796</v>
      </c>
      <c r="L276" s="414">
        <v>55.091589999999997</v>
      </c>
      <c r="M276" s="414">
        <v>66.350859999999997</v>
      </c>
      <c r="N276" s="414">
        <v>52.174630000000001</v>
      </c>
      <c r="O276" s="415">
        <v>62.560400000000001</v>
      </c>
      <c r="Q276" s="438">
        <v>64.679796989247308</v>
      </c>
      <c r="R276" s="440">
        <f t="shared" si="44"/>
        <v>1.0258359346896295</v>
      </c>
      <c r="S276" s="440">
        <f t="shared" si="45"/>
        <v>0.96723247307656757</v>
      </c>
    </row>
    <row r="277" spans="2:19" x14ac:dyDescent="0.2">
      <c r="B277" s="417">
        <f t="shared" si="41"/>
        <v>49827</v>
      </c>
      <c r="C277" s="409">
        <v>7.518409763939764</v>
      </c>
      <c r="D277" s="418">
        <f t="shared" si="39"/>
        <v>2036</v>
      </c>
      <c r="I277" s="60">
        <f t="shared" si="42"/>
        <v>6</v>
      </c>
      <c r="J277" s="441">
        <f t="shared" si="43"/>
        <v>2036</v>
      </c>
      <c r="K277" s="413">
        <f t="shared" si="40"/>
        <v>49827</v>
      </c>
      <c r="L277" s="414">
        <v>59.738750000000003</v>
      </c>
      <c r="M277" s="414">
        <v>74.555660000000003</v>
      </c>
      <c r="N277" s="414">
        <v>53.862169999999999</v>
      </c>
      <c r="O277" s="415">
        <v>66.096800000000002</v>
      </c>
      <c r="Q277" s="438">
        <v>70.796166666666664</v>
      </c>
      <c r="R277" s="440">
        <f t="shared" si="44"/>
        <v>1.0531030634897842</v>
      </c>
      <c r="S277" s="440">
        <f t="shared" si="45"/>
        <v>0.93362117063776995</v>
      </c>
    </row>
    <row r="278" spans="2:19" x14ac:dyDescent="0.2">
      <c r="B278" s="417">
        <f t="shared" si="41"/>
        <v>49857</v>
      </c>
      <c r="C278" s="409">
        <v>7.6199563654863658</v>
      </c>
      <c r="D278" s="418">
        <f t="shared" si="39"/>
        <v>2036</v>
      </c>
      <c r="I278" s="60">
        <f t="shared" si="42"/>
        <v>7</v>
      </c>
      <c r="J278" s="441">
        <f t="shared" si="43"/>
        <v>2036</v>
      </c>
      <c r="K278" s="413">
        <f t="shared" si="40"/>
        <v>49857</v>
      </c>
      <c r="L278" s="414">
        <v>74.499560000000002</v>
      </c>
      <c r="M278" s="414">
        <v>86.443359999999998</v>
      </c>
      <c r="N278" s="414">
        <v>62.466549999999998</v>
      </c>
      <c r="O278" s="415">
        <v>72.90822</v>
      </c>
      <c r="Q278" s="438">
        <v>80.476255268817198</v>
      </c>
      <c r="R278" s="440">
        <f t="shared" si="44"/>
        <v>1.0741473955423337</v>
      </c>
      <c r="S278" s="440">
        <f t="shared" si="45"/>
        <v>0.90595940077557702</v>
      </c>
    </row>
    <row r="279" spans="2:19" x14ac:dyDescent="0.2">
      <c r="B279" s="417">
        <f t="shared" si="41"/>
        <v>49888</v>
      </c>
      <c r="C279" s="409">
        <v>7.688841184371185</v>
      </c>
      <c r="D279" s="418">
        <f t="shared" si="39"/>
        <v>2036</v>
      </c>
      <c r="I279" s="60">
        <f t="shared" si="42"/>
        <v>8</v>
      </c>
      <c r="J279" s="441">
        <f t="shared" si="43"/>
        <v>2036</v>
      </c>
      <c r="K279" s="413">
        <f t="shared" si="40"/>
        <v>49888</v>
      </c>
      <c r="L279" s="414">
        <v>78.021500000000003</v>
      </c>
      <c r="M279" s="414">
        <v>87.889300000000006</v>
      </c>
      <c r="N279" s="414">
        <v>64.741140000000001</v>
      </c>
      <c r="O279" s="415">
        <v>74.476159999999993</v>
      </c>
      <c r="Q279" s="438">
        <v>81.975980215053767</v>
      </c>
      <c r="R279" s="440">
        <f t="shared" si="44"/>
        <v>1.0721347859389223</v>
      </c>
      <c r="S279" s="440">
        <f t="shared" si="45"/>
        <v>0.90851197880917156</v>
      </c>
    </row>
    <row r="280" spans="2:19" x14ac:dyDescent="0.2">
      <c r="B280" s="417">
        <f t="shared" si="41"/>
        <v>49919</v>
      </c>
      <c r="C280" s="409">
        <v>7.7394109849409851</v>
      </c>
      <c r="D280" s="418">
        <f t="shared" si="39"/>
        <v>2036</v>
      </c>
      <c r="I280" s="60">
        <f t="shared" si="42"/>
        <v>9</v>
      </c>
      <c r="J280" s="441">
        <f t="shared" si="43"/>
        <v>2036</v>
      </c>
      <c r="K280" s="413">
        <f t="shared" si="40"/>
        <v>49919</v>
      </c>
      <c r="L280" s="414">
        <v>73.152439999999999</v>
      </c>
      <c r="M280" s="414">
        <v>80.790779999999998</v>
      </c>
      <c r="N280" s="414">
        <v>63.077100000000002</v>
      </c>
      <c r="O280" s="415">
        <v>71.262529999999998</v>
      </c>
      <c r="Q280" s="438">
        <v>76.556002222222219</v>
      </c>
      <c r="R280" s="440">
        <f t="shared" si="44"/>
        <v>1.0553160778365269</v>
      </c>
      <c r="S280" s="440">
        <f t="shared" si="45"/>
        <v>0.93085490270434124</v>
      </c>
    </row>
    <row r="281" spans="2:19" x14ac:dyDescent="0.2">
      <c r="B281" s="417">
        <f t="shared" si="41"/>
        <v>49949</v>
      </c>
      <c r="C281" s="409">
        <v>7.8888818844118846</v>
      </c>
      <c r="D281" s="418">
        <f t="shared" si="39"/>
        <v>2036</v>
      </c>
      <c r="I281" s="60">
        <f t="shared" si="42"/>
        <v>10</v>
      </c>
      <c r="J281" s="441">
        <f t="shared" si="43"/>
        <v>2036</v>
      </c>
      <c r="K281" s="413">
        <f t="shared" si="40"/>
        <v>49949</v>
      </c>
      <c r="L281" s="414">
        <v>69.519729999999996</v>
      </c>
      <c r="M281" s="414">
        <v>73.716089999999994</v>
      </c>
      <c r="N281" s="414">
        <v>62.229550000000003</v>
      </c>
      <c r="O281" s="415">
        <v>68.949119999999994</v>
      </c>
      <c r="Q281" s="438">
        <v>71.717038064516117</v>
      </c>
      <c r="R281" s="440">
        <f t="shared" si="44"/>
        <v>1.0278741563990073</v>
      </c>
      <c r="S281" s="440">
        <f t="shared" si="45"/>
        <v>0.96140501421675939</v>
      </c>
    </row>
    <row r="282" spans="2:19" x14ac:dyDescent="0.2">
      <c r="B282" s="417">
        <f t="shared" si="41"/>
        <v>49980</v>
      </c>
      <c r="C282" s="409">
        <v>8.6162933618233613</v>
      </c>
      <c r="D282" s="418">
        <f t="shared" si="39"/>
        <v>2036</v>
      </c>
      <c r="I282" s="60">
        <f t="shared" si="42"/>
        <v>11</v>
      </c>
      <c r="J282" s="441">
        <f t="shared" si="43"/>
        <v>2036</v>
      </c>
      <c r="K282" s="413">
        <f t="shared" si="40"/>
        <v>49980</v>
      </c>
      <c r="L282" s="414">
        <v>79.839560000000006</v>
      </c>
      <c r="M282" s="414">
        <v>76.786249999999995</v>
      </c>
      <c r="N282" s="414">
        <v>72.254850000000005</v>
      </c>
      <c r="O282" s="415">
        <v>73.087620000000001</v>
      </c>
      <c r="Q282" s="438">
        <v>75.057486740637998</v>
      </c>
      <c r="R282" s="440">
        <f t="shared" si="44"/>
        <v>1.0230325225961237</v>
      </c>
      <c r="S282" s="440">
        <f t="shared" si="45"/>
        <v>0.9737552264780075</v>
      </c>
    </row>
    <row r="283" spans="2:19" x14ac:dyDescent="0.2">
      <c r="B283" s="419">
        <f t="shared" si="41"/>
        <v>50010</v>
      </c>
      <c r="C283" s="420">
        <v>9.0777300732600725</v>
      </c>
      <c r="D283" s="421">
        <f t="shared" si="39"/>
        <v>2036</v>
      </c>
      <c r="I283" s="60">
        <f t="shared" si="42"/>
        <v>12</v>
      </c>
      <c r="J283" s="441">
        <f t="shared" si="43"/>
        <v>2036</v>
      </c>
      <c r="K283" s="422">
        <f t="shared" si="40"/>
        <v>50010</v>
      </c>
      <c r="L283" s="423">
        <v>91.120710000000003</v>
      </c>
      <c r="M283" s="423">
        <v>78.837829999999997</v>
      </c>
      <c r="N283" s="423">
        <v>79.828320000000005</v>
      </c>
      <c r="O283" s="424">
        <v>75.621539999999996</v>
      </c>
      <c r="Q283" s="438">
        <v>77.419895698924719</v>
      </c>
      <c r="R283" s="440">
        <f t="shared" si="44"/>
        <v>1.0183148567725979</v>
      </c>
      <c r="S283" s="440">
        <f t="shared" si="45"/>
        <v>0.97677140116646144</v>
      </c>
    </row>
    <row r="284" spans="2:19" x14ac:dyDescent="0.2">
      <c r="B284" s="408">
        <f t="shared" si="41"/>
        <v>50041</v>
      </c>
      <c r="C284" s="409">
        <v>9.0598220553520541</v>
      </c>
      <c r="D284" s="410">
        <f t="shared" si="39"/>
        <v>2037</v>
      </c>
      <c r="I284" s="60">
        <f t="shared" si="42"/>
        <v>1</v>
      </c>
      <c r="J284" s="441">
        <f t="shared" si="43"/>
        <v>2037</v>
      </c>
      <c r="K284" s="413">
        <f t="shared" si="40"/>
        <v>50041</v>
      </c>
      <c r="L284" s="425">
        <v>89.543499999999995</v>
      </c>
      <c r="M284" s="425">
        <v>80.026759999999996</v>
      </c>
      <c r="N284" s="425">
        <v>76.900220000000004</v>
      </c>
      <c r="O284" s="426">
        <v>76.894289999999998</v>
      </c>
      <c r="Q284" s="438">
        <v>78.645778602150543</v>
      </c>
      <c r="R284" s="440">
        <f t="shared" si="44"/>
        <v>1.0175595107886908</v>
      </c>
      <c r="S284" s="440">
        <f t="shared" si="45"/>
        <v>0.97772940095092842</v>
      </c>
    </row>
    <row r="285" spans="2:19" x14ac:dyDescent="0.2">
      <c r="B285" s="417">
        <f t="shared" si="41"/>
        <v>50072</v>
      </c>
      <c r="C285" s="409">
        <v>8.802801298331298</v>
      </c>
      <c r="D285" s="418">
        <f t="shared" si="39"/>
        <v>2037</v>
      </c>
      <c r="I285" s="60">
        <f t="shared" si="42"/>
        <v>2</v>
      </c>
      <c r="J285" s="441">
        <f t="shared" si="43"/>
        <v>2037</v>
      </c>
      <c r="K285" s="413">
        <f t="shared" si="40"/>
        <v>50072</v>
      </c>
      <c r="L285" s="414">
        <v>81.305189999999996</v>
      </c>
      <c r="M285" s="414">
        <v>79.459599999999995</v>
      </c>
      <c r="N285" s="414">
        <v>71.45026</v>
      </c>
      <c r="O285" s="415">
        <v>76.408389999999997</v>
      </c>
      <c r="Q285" s="438">
        <v>78.151938571428573</v>
      </c>
      <c r="R285" s="440">
        <f t="shared" si="44"/>
        <v>1.0167322967603198</v>
      </c>
      <c r="S285" s="440">
        <f t="shared" si="45"/>
        <v>0.97769027098624017</v>
      </c>
    </row>
    <row r="286" spans="2:19" x14ac:dyDescent="0.2">
      <c r="B286" s="417">
        <f t="shared" si="41"/>
        <v>50100</v>
      </c>
      <c r="C286" s="409">
        <v>7.8415680870980875</v>
      </c>
      <c r="D286" s="418">
        <f t="shared" si="39"/>
        <v>2037</v>
      </c>
      <c r="I286" s="60">
        <f t="shared" si="42"/>
        <v>3</v>
      </c>
      <c r="J286" s="441">
        <f t="shared" si="43"/>
        <v>2037</v>
      </c>
      <c r="K286" s="413">
        <f t="shared" si="40"/>
        <v>50100</v>
      </c>
      <c r="L286" s="414">
        <v>71.283439999999999</v>
      </c>
      <c r="M286" s="414">
        <v>67.186109999999999</v>
      </c>
      <c r="N286" s="414">
        <v>62.253390000000003</v>
      </c>
      <c r="O286" s="415">
        <v>64.922150000000002</v>
      </c>
      <c r="Q286" s="438">
        <v>66.189723835800805</v>
      </c>
      <c r="R286" s="440">
        <f t="shared" si="44"/>
        <v>1.0150534872553776</v>
      </c>
      <c r="S286" s="440">
        <f t="shared" si="45"/>
        <v>0.98084938624392337</v>
      </c>
    </row>
    <row r="287" spans="2:19" x14ac:dyDescent="0.2">
      <c r="B287" s="417">
        <f t="shared" si="41"/>
        <v>50131</v>
      </c>
      <c r="C287" s="409">
        <v>7.7128542083842087</v>
      </c>
      <c r="D287" s="418">
        <f t="shared" si="39"/>
        <v>2037</v>
      </c>
      <c r="I287" s="60">
        <f t="shared" si="42"/>
        <v>4</v>
      </c>
      <c r="J287" s="441">
        <f t="shared" si="43"/>
        <v>2037</v>
      </c>
      <c r="K287" s="413">
        <f t="shared" si="40"/>
        <v>50131</v>
      </c>
      <c r="L287" s="414">
        <v>61.93526</v>
      </c>
      <c r="M287" s="414">
        <v>67.088710000000006</v>
      </c>
      <c r="N287" s="414">
        <v>57.779820000000001</v>
      </c>
      <c r="O287" s="415">
        <v>64.062659999999994</v>
      </c>
      <c r="Q287" s="438">
        <v>65.811044444444448</v>
      </c>
      <c r="R287" s="440">
        <f t="shared" si="44"/>
        <v>1.0194141510188934</v>
      </c>
      <c r="S287" s="440">
        <f t="shared" si="45"/>
        <v>0.97343326702677724</v>
      </c>
    </row>
    <row r="288" spans="2:19" x14ac:dyDescent="0.2">
      <c r="B288" s="417">
        <f t="shared" si="41"/>
        <v>50161</v>
      </c>
      <c r="C288" s="409">
        <v>7.6323698778998779</v>
      </c>
      <c r="D288" s="418">
        <f t="shared" si="39"/>
        <v>2037</v>
      </c>
      <c r="I288" s="60">
        <f t="shared" si="42"/>
        <v>5</v>
      </c>
      <c r="J288" s="441">
        <f t="shared" si="43"/>
        <v>2037</v>
      </c>
      <c r="K288" s="413">
        <f t="shared" si="40"/>
        <v>50161</v>
      </c>
      <c r="L288" s="414">
        <v>56.186839999999997</v>
      </c>
      <c r="M288" s="414">
        <v>68.097819999999999</v>
      </c>
      <c r="N288" s="414">
        <v>53.268230000000003</v>
      </c>
      <c r="O288" s="415">
        <v>63.829650000000001</v>
      </c>
      <c r="Q288" s="438">
        <v>66.124365053763441</v>
      </c>
      <c r="R288" s="440">
        <f t="shared" si="44"/>
        <v>1.0298445957799671</v>
      </c>
      <c r="S288" s="440">
        <f t="shared" si="45"/>
        <v>0.96529698165120092</v>
      </c>
    </row>
    <row r="289" spans="2:19" x14ac:dyDescent="0.2">
      <c r="B289" s="417">
        <f t="shared" si="41"/>
        <v>50192</v>
      </c>
      <c r="C289" s="409">
        <v>7.6762241717541722</v>
      </c>
      <c r="D289" s="418">
        <f t="shared" si="39"/>
        <v>2037</v>
      </c>
      <c r="I289" s="60">
        <f t="shared" si="42"/>
        <v>6</v>
      </c>
      <c r="J289" s="441">
        <f t="shared" si="43"/>
        <v>2037</v>
      </c>
      <c r="K289" s="413">
        <f t="shared" si="40"/>
        <v>50192</v>
      </c>
      <c r="L289" s="414">
        <v>61.20946</v>
      </c>
      <c r="M289" s="414">
        <v>76.253060000000005</v>
      </c>
      <c r="N289" s="414">
        <v>55.130769999999998</v>
      </c>
      <c r="O289" s="415">
        <v>67.382679999999993</v>
      </c>
      <c r="Q289" s="438">
        <v>72.507788444444458</v>
      </c>
      <c r="R289" s="440">
        <f t="shared" si="44"/>
        <v>1.0516533690504872</v>
      </c>
      <c r="S289" s="440">
        <f t="shared" si="45"/>
        <v>0.92931644235196431</v>
      </c>
    </row>
    <row r="290" spans="2:19" x14ac:dyDescent="0.2">
      <c r="B290" s="417">
        <f t="shared" si="41"/>
        <v>50222</v>
      </c>
      <c r="C290" s="409">
        <v>7.7799075254375261</v>
      </c>
      <c r="D290" s="418">
        <f t="shared" si="39"/>
        <v>2037</v>
      </c>
      <c r="I290" s="60">
        <f t="shared" si="42"/>
        <v>7</v>
      </c>
      <c r="J290" s="441">
        <f t="shared" si="43"/>
        <v>2037</v>
      </c>
      <c r="K290" s="413">
        <f t="shared" si="40"/>
        <v>50222</v>
      </c>
      <c r="L290" s="414">
        <v>75.882499999999993</v>
      </c>
      <c r="M290" s="414">
        <v>88.231579999999994</v>
      </c>
      <c r="N290" s="414">
        <v>63.690249999999999</v>
      </c>
      <c r="O290" s="415">
        <v>74.589029999999994</v>
      </c>
      <c r="Q290" s="438">
        <v>82.217122473118266</v>
      </c>
      <c r="R290" s="440">
        <f t="shared" si="44"/>
        <v>1.0731533450206581</v>
      </c>
      <c r="S290" s="440">
        <f t="shared" si="45"/>
        <v>0.90722014777867765</v>
      </c>
    </row>
    <row r="291" spans="2:19" x14ac:dyDescent="0.2">
      <c r="B291" s="417">
        <f t="shared" si="41"/>
        <v>50253</v>
      </c>
      <c r="C291" s="409">
        <v>7.8502168457468464</v>
      </c>
      <c r="D291" s="418">
        <f t="shared" si="39"/>
        <v>2037</v>
      </c>
      <c r="I291" s="60">
        <f t="shared" si="42"/>
        <v>8</v>
      </c>
      <c r="J291" s="441">
        <f t="shared" si="43"/>
        <v>2037</v>
      </c>
      <c r="K291" s="413">
        <f t="shared" si="40"/>
        <v>50253</v>
      </c>
      <c r="L291" s="414">
        <v>79.094189999999998</v>
      </c>
      <c r="M291" s="414">
        <v>89.769459999999995</v>
      </c>
      <c r="N291" s="414">
        <v>65.708879999999994</v>
      </c>
      <c r="O291" s="415">
        <v>75.701589999999996</v>
      </c>
      <c r="Q291" s="438">
        <v>83.567495806451603</v>
      </c>
      <c r="R291" s="440">
        <f t="shared" si="44"/>
        <v>1.0742150298234685</v>
      </c>
      <c r="S291" s="440">
        <f t="shared" si="45"/>
        <v>0.90587362071169852</v>
      </c>
    </row>
    <row r="292" spans="2:19" x14ac:dyDescent="0.2">
      <c r="B292" s="417">
        <f t="shared" si="41"/>
        <v>50284</v>
      </c>
      <c r="C292" s="409">
        <v>7.9019058974358973</v>
      </c>
      <c r="D292" s="418">
        <f t="shared" si="39"/>
        <v>2037</v>
      </c>
      <c r="I292" s="60">
        <f t="shared" si="42"/>
        <v>9</v>
      </c>
      <c r="J292" s="441">
        <f t="shared" si="43"/>
        <v>2037</v>
      </c>
      <c r="K292" s="413">
        <f t="shared" si="40"/>
        <v>50284</v>
      </c>
      <c r="L292" s="414">
        <v>73.938400000000001</v>
      </c>
      <c r="M292" s="414">
        <v>81.895269999999996</v>
      </c>
      <c r="N292" s="414">
        <v>64.086209999999994</v>
      </c>
      <c r="O292" s="415">
        <v>72.689869999999999</v>
      </c>
      <c r="Q292" s="438">
        <v>77.803981111111113</v>
      </c>
      <c r="R292" s="440">
        <f t="shared" si="44"/>
        <v>1.0525845699726619</v>
      </c>
      <c r="S292" s="440">
        <f t="shared" si="45"/>
        <v>0.9342692875341726</v>
      </c>
    </row>
    <row r="293" spans="2:19" x14ac:dyDescent="0.2">
      <c r="B293" s="417">
        <f t="shared" si="41"/>
        <v>50314</v>
      </c>
      <c r="C293" s="409">
        <v>8.054429299959299</v>
      </c>
      <c r="D293" s="418">
        <f t="shared" si="39"/>
        <v>2037</v>
      </c>
      <c r="I293" s="60">
        <f t="shared" si="42"/>
        <v>10</v>
      </c>
      <c r="J293" s="441">
        <f t="shared" si="43"/>
        <v>2037</v>
      </c>
      <c r="K293" s="413">
        <f t="shared" si="40"/>
        <v>50314</v>
      </c>
      <c r="L293" s="414">
        <v>70.374440000000007</v>
      </c>
      <c r="M293" s="414">
        <v>74.193600000000004</v>
      </c>
      <c r="N293" s="414">
        <v>63.184890000000003</v>
      </c>
      <c r="O293" s="415">
        <v>69.577070000000006</v>
      </c>
      <c r="Q293" s="438">
        <v>72.257635806451617</v>
      </c>
      <c r="R293" s="440">
        <f t="shared" si="44"/>
        <v>1.0267925205681243</v>
      </c>
      <c r="S293" s="440">
        <f t="shared" si="45"/>
        <v>0.962902663828751</v>
      </c>
    </row>
    <row r="294" spans="2:19" x14ac:dyDescent="0.2">
      <c r="B294" s="417">
        <f t="shared" si="41"/>
        <v>50345</v>
      </c>
      <c r="C294" s="409">
        <v>8.7972050427350439</v>
      </c>
      <c r="D294" s="418">
        <f t="shared" si="39"/>
        <v>2037</v>
      </c>
      <c r="I294" s="60">
        <f t="shared" si="42"/>
        <v>11</v>
      </c>
      <c r="J294" s="441">
        <f t="shared" si="43"/>
        <v>2037</v>
      </c>
      <c r="K294" s="413">
        <f t="shared" si="40"/>
        <v>50345</v>
      </c>
      <c r="L294" s="414">
        <v>81.782070000000004</v>
      </c>
      <c r="M294" s="414">
        <v>77.766350000000003</v>
      </c>
      <c r="N294" s="414">
        <v>74.409670000000006</v>
      </c>
      <c r="O294" s="415">
        <v>74.256799999999998</v>
      </c>
      <c r="Q294" s="438">
        <v>76.125963938973655</v>
      </c>
      <c r="R294" s="440">
        <f t="shared" si="44"/>
        <v>1.021548312509269</v>
      </c>
      <c r="S294" s="440">
        <f t="shared" si="45"/>
        <v>0.97544643322385949</v>
      </c>
    </row>
    <row r="295" spans="2:19" x14ac:dyDescent="0.2">
      <c r="B295" s="419">
        <f t="shared" si="41"/>
        <v>50375</v>
      </c>
      <c r="C295" s="420">
        <v>9.2683080138380127</v>
      </c>
      <c r="D295" s="421">
        <f t="shared" si="39"/>
        <v>2037</v>
      </c>
      <c r="I295" s="60">
        <f t="shared" si="42"/>
        <v>12</v>
      </c>
      <c r="J295" s="441">
        <f t="shared" si="43"/>
        <v>2037</v>
      </c>
      <c r="K295" s="422">
        <f t="shared" si="40"/>
        <v>50375</v>
      </c>
      <c r="L295" s="423">
        <v>92.596500000000006</v>
      </c>
      <c r="M295" s="423">
        <v>80.200029999999998</v>
      </c>
      <c r="N295" s="423">
        <v>81.698390000000003</v>
      </c>
      <c r="O295" s="424">
        <v>76.876159999999999</v>
      </c>
      <c r="Q295" s="438">
        <v>78.734667956989242</v>
      </c>
      <c r="R295" s="440">
        <f t="shared" si="44"/>
        <v>1.0186113954758944</v>
      </c>
      <c r="S295" s="440">
        <f t="shared" si="45"/>
        <v>0.97639530329886581</v>
      </c>
    </row>
    <row r="296" spans="2:19" x14ac:dyDescent="0.2">
      <c r="B296" s="408">
        <f t="shared" si="41"/>
        <v>50406</v>
      </c>
      <c r="C296" s="409">
        <v>9.2499929955229945</v>
      </c>
      <c r="D296" s="410">
        <f t="shared" si="39"/>
        <v>2038</v>
      </c>
      <c r="I296" s="60">
        <f t="shared" si="42"/>
        <v>1</v>
      </c>
      <c r="J296" s="441">
        <f t="shared" si="43"/>
        <v>2038</v>
      </c>
      <c r="K296" s="413">
        <f t="shared" si="40"/>
        <v>50406</v>
      </c>
      <c r="L296" s="425">
        <v>91.034360000000007</v>
      </c>
      <c r="M296" s="425">
        <v>81.552070000000001</v>
      </c>
      <c r="N296" s="425">
        <v>81.057820000000007</v>
      </c>
      <c r="O296" s="426">
        <v>78.899420000000006</v>
      </c>
      <c r="Q296" s="438">
        <v>80.325575913978497</v>
      </c>
      <c r="R296" s="440">
        <f t="shared" si="44"/>
        <v>1.0152690356971106</v>
      </c>
      <c r="S296" s="440">
        <f t="shared" si="45"/>
        <v>0.98224530732894122</v>
      </c>
    </row>
    <row r="297" spans="2:19" x14ac:dyDescent="0.2">
      <c r="B297" s="417">
        <f t="shared" si="41"/>
        <v>50437</v>
      </c>
      <c r="C297" s="409">
        <v>8.9875794831094833</v>
      </c>
      <c r="D297" s="418">
        <f t="shared" si="39"/>
        <v>2038</v>
      </c>
      <c r="I297" s="60">
        <f t="shared" si="42"/>
        <v>2</v>
      </c>
      <c r="J297" s="441">
        <f t="shared" si="43"/>
        <v>2038</v>
      </c>
      <c r="K297" s="413">
        <f t="shared" si="40"/>
        <v>50437</v>
      </c>
      <c r="L297" s="414">
        <v>83.003290000000007</v>
      </c>
      <c r="M297" s="414">
        <v>81.383260000000007</v>
      </c>
      <c r="N297" s="414">
        <v>73.289090000000002</v>
      </c>
      <c r="O297" s="415">
        <v>77.830910000000003</v>
      </c>
      <c r="Q297" s="438">
        <v>79.860824285714301</v>
      </c>
      <c r="R297" s="440">
        <f t="shared" si="44"/>
        <v>1.0190636113251093</v>
      </c>
      <c r="S297" s="440">
        <f t="shared" si="45"/>
        <v>0.97458185156652066</v>
      </c>
    </row>
    <row r="298" spans="2:19" x14ac:dyDescent="0.2">
      <c r="B298" s="417">
        <f t="shared" si="41"/>
        <v>50465</v>
      </c>
      <c r="C298" s="409">
        <v>8.006199751729751</v>
      </c>
      <c r="D298" s="418">
        <f t="shared" si="39"/>
        <v>2038</v>
      </c>
      <c r="I298" s="60">
        <f t="shared" si="42"/>
        <v>3</v>
      </c>
      <c r="J298" s="441">
        <f t="shared" si="43"/>
        <v>2038</v>
      </c>
      <c r="K298" s="413">
        <f t="shared" si="40"/>
        <v>50465</v>
      </c>
      <c r="L298" s="414">
        <v>72.514499999999998</v>
      </c>
      <c r="M298" s="414">
        <v>68.924130000000005</v>
      </c>
      <c r="N298" s="414">
        <v>63.597929999999998</v>
      </c>
      <c r="O298" s="415">
        <v>66.540700000000001</v>
      </c>
      <c r="Q298" s="438">
        <v>67.926489717362045</v>
      </c>
      <c r="R298" s="440">
        <f t="shared" si="44"/>
        <v>1.0146870578295608</v>
      </c>
      <c r="S298" s="440">
        <f t="shared" si="45"/>
        <v>0.97959868494414726</v>
      </c>
    </row>
    <row r="299" spans="2:19" x14ac:dyDescent="0.2">
      <c r="B299" s="417">
        <f t="shared" si="41"/>
        <v>50496</v>
      </c>
      <c r="C299" s="409">
        <v>7.8747386202686203</v>
      </c>
      <c r="D299" s="418">
        <f t="shared" si="39"/>
        <v>2038</v>
      </c>
      <c r="I299" s="60">
        <f t="shared" si="42"/>
        <v>4</v>
      </c>
      <c r="J299" s="441">
        <f t="shared" si="43"/>
        <v>2038</v>
      </c>
      <c r="K299" s="413">
        <f t="shared" si="40"/>
        <v>50496</v>
      </c>
      <c r="L299" s="414">
        <v>63.009950000000003</v>
      </c>
      <c r="M299" s="414">
        <v>68.946690000000004</v>
      </c>
      <c r="N299" s="414">
        <v>58.976390000000002</v>
      </c>
      <c r="O299" s="415">
        <v>66.060469999999995</v>
      </c>
      <c r="Q299" s="438">
        <v>67.728063777777777</v>
      </c>
      <c r="R299" s="440">
        <f t="shared" si="44"/>
        <v>1.0179929286952696</v>
      </c>
      <c r="S299" s="440">
        <f t="shared" si="45"/>
        <v>0.97537809757489424</v>
      </c>
    </row>
    <row r="300" spans="2:19" x14ac:dyDescent="0.2">
      <c r="B300" s="417">
        <f t="shared" si="41"/>
        <v>50526</v>
      </c>
      <c r="C300" s="409">
        <v>7.792524538054538</v>
      </c>
      <c r="D300" s="418">
        <f t="shared" si="39"/>
        <v>2038</v>
      </c>
      <c r="I300" s="60">
        <f t="shared" si="42"/>
        <v>5</v>
      </c>
      <c r="J300" s="441">
        <f t="shared" si="43"/>
        <v>2038</v>
      </c>
      <c r="K300" s="413">
        <f t="shared" si="40"/>
        <v>50526</v>
      </c>
      <c r="L300" s="414">
        <v>57.357080000000003</v>
      </c>
      <c r="M300" s="414">
        <v>69.483990000000006</v>
      </c>
      <c r="N300" s="414">
        <v>54.363109999999999</v>
      </c>
      <c r="O300" s="415">
        <v>65.602940000000004</v>
      </c>
      <c r="Q300" s="438">
        <v>67.689526021505387</v>
      </c>
      <c r="R300" s="440">
        <f t="shared" si="44"/>
        <v>1.026510216335752</v>
      </c>
      <c r="S300" s="440">
        <f t="shared" si="45"/>
        <v>0.9691741670514511</v>
      </c>
    </row>
    <row r="301" spans="2:19" x14ac:dyDescent="0.2">
      <c r="B301" s="417">
        <f t="shared" si="41"/>
        <v>50557</v>
      </c>
      <c r="C301" s="409">
        <v>7.8372945828245832</v>
      </c>
      <c r="D301" s="418">
        <f t="shared" si="39"/>
        <v>2038</v>
      </c>
      <c r="I301" s="60">
        <f t="shared" si="42"/>
        <v>6</v>
      </c>
      <c r="J301" s="441">
        <f t="shared" si="43"/>
        <v>2038</v>
      </c>
      <c r="K301" s="413">
        <f t="shared" si="40"/>
        <v>50557</v>
      </c>
      <c r="L301" s="414">
        <v>62.684449999999998</v>
      </c>
      <c r="M301" s="414">
        <v>78.201269999999994</v>
      </c>
      <c r="N301" s="414">
        <v>56.519010000000002</v>
      </c>
      <c r="O301" s="415">
        <v>68.727230000000006</v>
      </c>
      <c r="Q301" s="438">
        <v>74.201119777777791</v>
      </c>
      <c r="R301" s="440">
        <f t="shared" si="44"/>
        <v>1.0539095667855432</v>
      </c>
      <c r="S301" s="440">
        <f t="shared" si="45"/>
        <v>0.92622901387241408</v>
      </c>
    </row>
    <row r="302" spans="2:19" x14ac:dyDescent="0.2">
      <c r="B302" s="417">
        <f t="shared" si="41"/>
        <v>50587</v>
      </c>
      <c r="C302" s="409">
        <v>7.9432164387464397</v>
      </c>
      <c r="D302" s="418">
        <f t="shared" si="39"/>
        <v>2038</v>
      </c>
      <c r="I302" s="60">
        <f t="shared" si="42"/>
        <v>7</v>
      </c>
      <c r="J302" s="441">
        <f t="shared" si="43"/>
        <v>2038</v>
      </c>
      <c r="K302" s="413">
        <f t="shared" si="40"/>
        <v>50587</v>
      </c>
      <c r="L302" s="414">
        <v>77.568100000000001</v>
      </c>
      <c r="M302" s="414">
        <v>90.083740000000006</v>
      </c>
      <c r="N302" s="414">
        <v>65.418109999999999</v>
      </c>
      <c r="O302" s="415">
        <v>75.998310000000004</v>
      </c>
      <c r="Q302" s="438">
        <v>83.87403430107527</v>
      </c>
      <c r="R302" s="440">
        <f t="shared" si="44"/>
        <v>1.0740360917496146</v>
      </c>
      <c r="S302" s="440">
        <f t="shared" si="45"/>
        <v>0.90610056656146443</v>
      </c>
    </row>
    <row r="303" spans="2:19" x14ac:dyDescent="0.2">
      <c r="B303" s="417">
        <f t="shared" si="41"/>
        <v>50618</v>
      </c>
      <c r="C303" s="409">
        <v>8.0149502604802603</v>
      </c>
      <c r="D303" s="418">
        <f t="shared" si="39"/>
        <v>2038</v>
      </c>
      <c r="I303" s="60">
        <f t="shared" si="42"/>
        <v>8</v>
      </c>
      <c r="J303" s="441">
        <f t="shared" si="43"/>
        <v>2038</v>
      </c>
      <c r="K303" s="413">
        <f t="shared" si="40"/>
        <v>50618</v>
      </c>
      <c r="L303" s="414">
        <v>80.706860000000006</v>
      </c>
      <c r="M303" s="414">
        <v>91.50967</v>
      </c>
      <c r="N303" s="414">
        <v>67.095439999999996</v>
      </c>
      <c r="O303" s="415">
        <v>77.311880000000002</v>
      </c>
      <c r="Q303" s="438">
        <v>85.250429247311814</v>
      </c>
      <c r="R303" s="440">
        <f t="shared" si="44"/>
        <v>1.0734218092266739</v>
      </c>
      <c r="S303" s="440">
        <f t="shared" si="45"/>
        <v>0.90687965659056036</v>
      </c>
    </row>
    <row r="304" spans="2:19" x14ac:dyDescent="0.2">
      <c r="B304" s="417">
        <f t="shared" si="41"/>
        <v>50649</v>
      </c>
      <c r="C304" s="409">
        <v>8.067758563288562</v>
      </c>
      <c r="D304" s="418">
        <f t="shared" si="39"/>
        <v>2038</v>
      </c>
      <c r="I304" s="60">
        <f t="shared" si="42"/>
        <v>9</v>
      </c>
      <c r="J304" s="441">
        <f t="shared" si="43"/>
        <v>2038</v>
      </c>
      <c r="K304" s="413">
        <f t="shared" si="40"/>
        <v>50649</v>
      </c>
      <c r="L304" s="414">
        <v>74.430099999999996</v>
      </c>
      <c r="M304" s="414">
        <v>81.580160000000006</v>
      </c>
      <c r="N304" s="414">
        <v>65.303600000000003</v>
      </c>
      <c r="O304" s="415">
        <v>73.310940000000002</v>
      </c>
      <c r="Q304" s="438">
        <v>77.904951111111117</v>
      </c>
      <c r="R304" s="440">
        <f t="shared" si="44"/>
        <v>1.0471755496469943</v>
      </c>
      <c r="S304" s="440">
        <f t="shared" si="45"/>
        <v>0.94103056294125709</v>
      </c>
    </row>
    <row r="305" spans="2:19" x14ac:dyDescent="0.2">
      <c r="B305" s="417">
        <f t="shared" si="41"/>
        <v>50679</v>
      </c>
      <c r="C305" s="409">
        <v>8.2234362189662189</v>
      </c>
      <c r="D305" s="418">
        <f t="shared" si="39"/>
        <v>2038</v>
      </c>
      <c r="I305" s="60">
        <f t="shared" si="42"/>
        <v>10</v>
      </c>
      <c r="J305" s="441">
        <f t="shared" si="43"/>
        <v>2038</v>
      </c>
      <c r="K305" s="413">
        <f t="shared" si="40"/>
        <v>50679</v>
      </c>
      <c r="L305" s="414">
        <v>71.545559999999995</v>
      </c>
      <c r="M305" s="414">
        <v>75.299130000000005</v>
      </c>
      <c r="N305" s="414">
        <v>64.671959999999999</v>
      </c>
      <c r="O305" s="415">
        <v>71.110609999999994</v>
      </c>
      <c r="Q305" s="438">
        <v>73.452578172043019</v>
      </c>
      <c r="R305" s="440">
        <f t="shared" si="44"/>
        <v>1.0251393739186654</v>
      </c>
      <c r="S305" s="440">
        <f t="shared" si="45"/>
        <v>0.96811591600559488</v>
      </c>
    </row>
    <row r="306" spans="2:19" x14ac:dyDescent="0.2">
      <c r="B306" s="417">
        <f t="shared" si="41"/>
        <v>50710</v>
      </c>
      <c r="C306" s="409">
        <v>8.9817797273097284</v>
      </c>
      <c r="D306" s="418">
        <f t="shared" si="39"/>
        <v>2038</v>
      </c>
      <c r="I306" s="60">
        <f t="shared" si="42"/>
        <v>11</v>
      </c>
      <c r="J306" s="441">
        <f t="shared" si="43"/>
        <v>2038</v>
      </c>
      <c r="K306" s="413">
        <f t="shared" si="40"/>
        <v>50710</v>
      </c>
      <c r="L306" s="414">
        <v>83.719239999999999</v>
      </c>
      <c r="M306" s="414">
        <v>79.535870000000003</v>
      </c>
      <c r="N306" s="414">
        <v>77.198440000000005</v>
      </c>
      <c r="O306" s="415">
        <v>75.848240000000004</v>
      </c>
      <c r="Q306" s="438">
        <v>77.894081886269078</v>
      </c>
      <c r="R306" s="440">
        <f t="shared" si="44"/>
        <v>1.0210771867897237</v>
      </c>
      <c r="S306" s="440">
        <f t="shared" si="45"/>
        <v>0.9737355927853909</v>
      </c>
    </row>
    <row r="307" spans="2:19" x14ac:dyDescent="0.2">
      <c r="B307" s="419">
        <f t="shared" si="41"/>
        <v>50740</v>
      </c>
      <c r="C307" s="420">
        <v>9.4628542083842078</v>
      </c>
      <c r="D307" s="421">
        <f t="shared" si="39"/>
        <v>2038</v>
      </c>
      <c r="I307" s="60">
        <f t="shared" si="42"/>
        <v>12</v>
      </c>
      <c r="J307" s="441">
        <f t="shared" si="43"/>
        <v>2038</v>
      </c>
      <c r="K307" s="422">
        <f t="shared" si="40"/>
        <v>50740</v>
      </c>
      <c r="L307" s="423">
        <v>94.342820000000003</v>
      </c>
      <c r="M307" s="423">
        <v>81.846320000000006</v>
      </c>
      <c r="N307" s="423">
        <v>85.607759999999999</v>
      </c>
      <c r="O307" s="424">
        <v>78.705770000000001</v>
      </c>
      <c r="Q307" s="438">
        <v>80.461776451612906</v>
      </c>
      <c r="R307" s="440">
        <f t="shared" si="44"/>
        <v>1.0172074693033868</v>
      </c>
      <c r="S307" s="440">
        <f t="shared" si="45"/>
        <v>0.97817589259082649</v>
      </c>
    </row>
    <row r="309" spans="2:19" x14ac:dyDescent="0.2">
      <c r="C309" s="431" t="s">
        <v>303</v>
      </c>
      <c r="L309" s="431" t="s">
        <v>300</v>
      </c>
      <c r="M309" s="431" t="s">
        <v>301</v>
      </c>
      <c r="N309" s="431" t="s">
        <v>300</v>
      </c>
      <c r="O309" s="431" t="s">
        <v>301</v>
      </c>
    </row>
    <row r="310" spans="2:19" x14ac:dyDescent="0.2">
      <c r="C310" s="433">
        <v>43</v>
      </c>
      <c r="L310" s="433">
        <v>7</v>
      </c>
      <c r="M310" s="433">
        <v>6</v>
      </c>
      <c r="N310" s="433">
        <f>L310+8</f>
        <v>15</v>
      </c>
      <c r="O310" s="433">
        <f>M310+8</f>
        <v>14</v>
      </c>
    </row>
    <row r="311" spans="2:19" x14ac:dyDescent="0.2">
      <c r="K311" s="434"/>
    </row>
    <row r="312" spans="2:19" x14ac:dyDescent="0.2">
      <c r="B312" s="436" t="s">
        <v>304</v>
      </c>
      <c r="C312" s="378">
        <v>0</v>
      </c>
      <c r="K312" s="432" t="s">
        <v>304</v>
      </c>
      <c r="L312" s="437">
        <v>0</v>
      </c>
      <c r="M312" s="437">
        <v>0</v>
      </c>
      <c r="N312" s="437">
        <v>0</v>
      </c>
      <c r="O312" s="437">
        <v>0</v>
      </c>
    </row>
  </sheetData>
  <printOptions horizontalCentered="1"/>
  <pageMargins left="0.3" right="0.3" top="0.8" bottom="0.4" header="0.5" footer="0.2"/>
  <pageSetup fitToHeight="20" orientation="landscape" r:id="rId1"/>
  <headerFooter alignWithMargins="0">
    <oddFooter>&amp;L&amp;8ljh 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A1:AD127"/>
  <sheetViews>
    <sheetView view="pageBreakPreview" topLeftCell="A44" zoomScale="60" zoomScaleNormal="90" workbookViewId="0">
      <selection activeCell="U77" sqref="U77"/>
    </sheetView>
  </sheetViews>
  <sheetFormatPr defaultRowHeight="12.75" x14ac:dyDescent="0.2"/>
  <cols>
    <col min="1" max="1" width="9.33203125" style="60"/>
    <col min="2" max="10" width="8.5" style="60" customWidth="1"/>
    <col min="11" max="11" width="8.5" style="70" customWidth="1"/>
    <col min="12" max="13" width="8.5" style="60" customWidth="1"/>
    <col min="14" max="15" width="10.83203125" style="60" customWidth="1"/>
    <col min="16" max="16" width="8.5" style="60" customWidth="1"/>
    <col min="17" max="17" width="13.5" style="448" customWidth="1"/>
    <col min="18" max="21" width="15.33203125" style="60" customWidth="1"/>
    <col min="22" max="16384" width="9.33203125" style="60"/>
  </cols>
  <sheetData>
    <row r="1" spans="1:17" s="5" customFormat="1" ht="15.75" x14ac:dyDescent="0.25">
      <c r="A1" s="1" t="s">
        <v>179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  <c r="Q1" s="446"/>
    </row>
    <row r="2" spans="1:17" s="7" customFormat="1" ht="15" x14ac:dyDescent="0.25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  <c r="Q2" s="447"/>
    </row>
    <row r="3" spans="1:17" s="7" customFormat="1" ht="15" x14ac:dyDescent="0.25">
      <c r="A3" s="3" t="str">
        <f>"Avoided Resource ("&amp;A10&amp;" through "&amp;MAX(A10:A27)&amp;")"</f>
        <v>Avoided Resource (2014 through 2026)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  <c r="Q3" s="447"/>
    </row>
    <row r="4" spans="1:17" ht="15" x14ac:dyDescent="0.25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17" ht="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6"/>
      <c r="L5" s="14"/>
      <c r="M5" s="14"/>
    </row>
    <row r="6" spans="1:17" x14ac:dyDescent="0.2">
      <c r="A6" s="89" t="s">
        <v>2</v>
      </c>
      <c r="B6" s="90" t="s">
        <v>60</v>
      </c>
      <c r="C6" s="91"/>
      <c r="D6" s="91"/>
      <c r="E6" s="90"/>
      <c r="F6" s="90"/>
      <c r="G6" s="90" t="s">
        <v>61</v>
      </c>
      <c r="H6" s="90"/>
      <c r="I6" s="90"/>
      <c r="J6" s="90"/>
      <c r="K6" s="90" t="s">
        <v>60</v>
      </c>
      <c r="L6" s="90"/>
      <c r="M6" s="90"/>
    </row>
    <row r="7" spans="1:17" x14ac:dyDescent="0.2">
      <c r="A7" s="92"/>
      <c r="B7" s="93" t="s">
        <v>48</v>
      </c>
      <c r="C7" s="93" t="s">
        <v>49</v>
      </c>
      <c r="D7" s="93" t="s">
        <v>50</v>
      </c>
      <c r="E7" s="93" t="s">
        <v>51</v>
      </c>
      <c r="F7" s="94" t="s">
        <v>52</v>
      </c>
      <c r="G7" s="93" t="s">
        <v>53</v>
      </c>
      <c r="H7" s="93" t="s">
        <v>54</v>
      </c>
      <c r="I7" s="93" t="s">
        <v>55</v>
      </c>
      <c r="J7" s="94" t="s">
        <v>56</v>
      </c>
      <c r="K7" s="93" t="s">
        <v>57</v>
      </c>
      <c r="L7" s="93" t="s">
        <v>58</v>
      </c>
      <c r="M7" s="94" t="s">
        <v>59</v>
      </c>
    </row>
    <row r="8" spans="1:17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7" ht="12.75" customHeight="1" x14ac:dyDescent="0.2">
      <c r="A9" s="13" t="s">
        <v>312</v>
      </c>
      <c r="C9" s="88"/>
      <c r="D9" s="88"/>
      <c r="E9" s="88"/>
      <c r="F9" s="88"/>
      <c r="G9" s="88"/>
      <c r="H9" s="88"/>
      <c r="I9" s="88"/>
      <c r="J9" s="88"/>
      <c r="K9" s="96"/>
      <c r="L9" s="70"/>
      <c r="M9" s="70"/>
    </row>
    <row r="10" spans="1:17" ht="12.75" customHeight="1" x14ac:dyDescent="0.2">
      <c r="A10" s="97">
        <f>'Tables 3 to 6'!$B$13</f>
        <v>2014</v>
      </c>
      <c r="B10" s="98"/>
      <c r="C10" s="99"/>
      <c r="D10" s="99"/>
      <c r="E10" s="99"/>
      <c r="F10" s="100"/>
      <c r="G10" s="99"/>
      <c r="H10" s="99">
        <f>H81*INDEX('OFPC Source'!$AB$8:$AM$20,MATCH($A10,'OFPC Source'!$AA$8:$AA$20,0),MATCH(H$7,'OFPC Source'!$AB$7:$AM$7,0))</f>
        <v>35.19263120267464</v>
      </c>
      <c r="I10" s="99">
        <f>I81*INDEX('OFPC Source'!$AB$8:$AM$20,MATCH($A10,'OFPC Source'!$AA$8:$AA$20,0),MATCH(I$7,'OFPC Source'!$AB$7:$AM$7,0))</f>
        <v>45.466987818036898</v>
      </c>
      <c r="J10" s="100">
        <f>J81*INDEX('OFPC Source'!$AB$8:$AM$20,MATCH($A10,'OFPC Source'!$AA$8:$AA$20,0),MATCH(J$7,'OFPC Source'!$AB$7:$AM$7,0))</f>
        <v>33.594554569778353</v>
      </c>
      <c r="K10" s="99">
        <f>K81*INDEX('OFPC Source'!$AB$8:$AM$20,MATCH($A10,'OFPC Source'!$AA$8:$AA$20,0),MATCH(K$7,'OFPC Source'!$AB$7:$AM$7,0))</f>
        <v>29.317210537981435</v>
      </c>
      <c r="L10" s="99">
        <f>L81*INDEX('OFPC Source'!$AB$8:$AM$20,MATCH($A10,'OFPC Source'!$AA$8:$AA$20,0),MATCH(L$7,'OFPC Source'!$AB$7:$AM$7,0))</f>
        <v>32.989394873117007</v>
      </c>
      <c r="M10" s="100">
        <f>M81*INDEX('OFPC Source'!$AB$8:$AM$20,MATCH($A10,'OFPC Source'!$AA$8:$AA$20,0),MATCH(M$7,'OFPC Source'!$AB$7:$AM$7,0))</f>
        <v>29.451240571916873</v>
      </c>
    </row>
    <row r="11" spans="1:17" ht="12.75" customHeight="1" x14ac:dyDescent="0.2">
      <c r="A11" s="101">
        <f t="shared" ref="A11:A22" si="0">A10+1</f>
        <v>2015</v>
      </c>
      <c r="B11" s="102">
        <f>B82*INDEX('OFPC Source'!$AB$8:$AM$20,MATCH($A11,'OFPC Source'!$AA$8:$AA$20,0),MATCH(B$7,'OFPC Source'!$AB$7:$AM$7,0))</f>
        <v>39.367419329871026</v>
      </c>
      <c r="C11" s="103">
        <f>C82*INDEX('OFPC Source'!$AB$8:$AM$20,MATCH($A11,'OFPC Source'!$AA$8:$AA$20,0),MATCH(C$7,'OFPC Source'!$AB$7:$AM$7,0))</f>
        <v>39.742166985775931</v>
      </c>
      <c r="D11" s="103">
        <f>D82*INDEX('OFPC Source'!$AB$8:$AM$20,MATCH($A11,'OFPC Source'!$AA$8:$AA$20,0),MATCH(D$7,'OFPC Source'!$AB$7:$AM$7,0))</f>
        <v>46.078388742088471</v>
      </c>
      <c r="E11" s="103">
        <f>E82*INDEX('OFPC Source'!$AB$8:$AM$20,MATCH($A11,'OFPC Source'!$AA$8:$AA$20,0),MATCH(E$7,'OFPC Source'!$AB$7:$AM$7,0))</f>
        <v>29.783316275242132</v>
      </c>
      <c r="F11" s="104">
        <f>F82*INDEX('OFPC Source'!$AB$8:$AM$20,MATCH($A11,'OFPC Source'!$AA$8:$AA$20,0),MATCH(F$7,'OFPC Source'!$AB$7:$AM$7,0))</f>
        <v>29.11603443280341</v>
      </c>
      <c r="G11" s="103">
        <f>G82*INDEX('OFPC Source'!$AB$8:$AM$20,MATCH($A11,'OFPC Source'!$AA$8:$AA$20,0),MATCH(G$7,'OFPC Source'!$AB$7:$AM$7,0))</f>
        <v>31.01241956727171</v>
      </c>
      <c r="H11" s="103">
        <f>H82*INDEX('OFPC Source'!$AB$8:$AM$20,MATCH($A11,'OFPC Source'!$AA$8:$AA$20,0),MATCH(H$7,'OFPC Source'!$AB$7:$AM$7,0))</f>
        <v>41.300698130967376</v>
      </c>
      <c r="I11" s="103">
        <f>I82*INDEX('OFPC Source'!$AB$8:$AM$20,MATCH($A11,'OFPC Source'!$AA$8:$AA$20,0),MATCH(I$7,'OFPC Source'!$AB$7:$AM$7,0))</f>
        <v>43.774867560030359</v>
      </c>
      <c r="J11" s="104">
        <f>J82*INDEX('OFPC Source'!$AB$8:$AM$20,MATCH($A11,'OFPC Source'!$AA$8:$AA$20,0),MATCH(J$7,'OFPC Source'!$AB$7:$AM$7,0))</f>
        <v>36.304413628971723</v>
      </c>
      <c r="K11" s="103">
        <f>K82*INDEX('OFPC Source'!$AB$8:$AM$20,MATCH($A11,'OFPC Source'!$AA$8:$AA$20,0),MATCH(K$7,'OFPC Source'!$AB$7:$AM$7,0))</f>
        <v>32.048826849764133</v>
      </c>
      <c r="L11" s="103">
        <f>L82*INDEX('OFPC Source'!$AB$8:$AM$20,MATCH($A11,'OFPC Source'!$AA$8:$AA$20,0),MATCH(L$7,'OFPC Source'!$AB$7:$AM$7,0))</f>
        <v>34.580586257785832</v>
      </c>
      <c r="M11" s="104">
        <f>M82*INDEX('OFPC Source'!$AB$8:$AM$20,MATCH($A11,'OFPC Source'!$AA$8:$AA$20,0),MATCH(M$7,'OFPC Source'!$AB$7:$AM$7,0))</f>
        <v>38.431273067628034</v>
      </c>
    </row>
    <row r="12" spans="1:17" ht="12.75" customHeight="1" x14ac:dyDescent="0.2">
      <c r="A12" s="101">
        <f t="shared" si="0"/>
        <v>2016</v>
      </c>
      <c r="B12" s="102">
        <f>B83*INDEX('OFPC Source'!$AB$8:$AM$20,MATCH($A12,'OFPC Source'!$AA$8:$AA$20,0),MATCH(B$7,'OFPC Source'!$AB$7:$AM$7,0))</f>
        <v>33.301407097148022</v>
      </c>
      <c r="C12" s="103">
        <f>C83*INDEX('OFPC Source'!$AB$8:$AM$20,MATCH($A12,'OFPC Source'!$AA$8:$AA$20,0),MATCH(C$7,'OFPC Source'!$AB$7:$AM$7,0))</f>
        <v>36.068300149987223</v>
      </c>
      <c r="D12" s="103">
        <f>D83*INDEX('OFPC Source'!$AB$8:$AM$20,MATCH($A12,'OFPC Source'!$AA$8:$AA$20,0),MATCH(D$7,'OFPC Source'!$AB$7:$AM$7,0))</f>
        <v>37.622409181161984</v>
      </c>
      <c r="E12" s="103">
        <f>E83*INDEX('OFPC Source'!$AB$8:$AM$20,MATCH($A12,'OFPC Source'!$AA$8:$AA$20,0),MATCH(E$7,'OFPC Source'!$AB$7:$AM$7,0))</f>
        <v>30.999862910045067</v>
      </c>
      <c r="F12" s="104">
        <f>F83*INDEX('OFPC Source'!$AB$8:$AM$20,MATCH($A12,'OFPC Source'!$AA$8:$AA$20,0),MATCH(F$7,'OFPC Source'!$AB$7:$AM$7,0))</f>
        <v>29.298204730321146</v>
      </c>
      <c r="G12" s="103">
        <f>G83*INDEX('OFPC Source'!$AB$8:$AM$20,MATCH($A12,'OFPC Source'!$AA$8:$AA$20,0),MATCH(G$7,'OFPC Source'!$AB$7:$AM$7,0))</f>
        <v>29.049536889897769</v>
      </c>
      <c r="H12" s="103">
        <f>H83*INDEX('OFPC Source'!$AB$8:$AM$20,MATCH($A12,'OFPC Source'!$AA$8:$AA$20,0),MATCH(H$7,'OFPC Source'!$AB$7:$AM$7,0))</f>
        <v>40.176987867462593</v>
      </c>
      <c r="I12" s="103">
        <f>I83*INDEX('OFPC Source'!$AB$8:$AM$20,MATCH($A12,'OFPC Source'!$AA$8:$AA$20,0),MATCH(I$7,'OFPC Source'!$AB$7:$AM$7,0))</f>
        <v>42.968533174402602</v>
      </c>
      <c r="J12" s="104">
        <f>J83*INDEX('OFPC Source'!$AB$8:$AM$20,MATCH($A12,'OFPC Source'!$AA$8:$AA$20,0),MATCH(J$7,'OFPC Source'!$AB$7:$AM$7,0))</f>
        <v>34.197028227434522</v>
      </c>
      <c r="K12" s="103">
        <f>K83*INDEX('OFPC Source'!$AB$8:$AM$20,MATCH($A12,'OFPC Source'!$AA$8:$AA$20,0),MATCH(K$7,'OFPC Source'!$AB$7:$AM$7,0))</f>
        <v>32.058112459970857</v>
      </c>
      <c r="L12" s="103">
        <f>L83*INDEX('OFPC Source'!$AB$8:$AM$20,MATCH($A12,'OFPC Source'!$AA$8:$AA$20,0),MATCH(L$7,'OFPC Source'!$AB$7:$AM$7,0))</f>
        <v>27.876264580628703</v>
      </c>
      <c r="M12" s="104">
        <f>M83*INDEX('OFPC Source'!$AB$8:$AM$20,MATCH($A12,'OFPC Source'!$AA$8:$AA$20,0),MATCH(M$7,'OFPC Source'!$AB$7:$AM$7,0))</f>
        <v>34.767051156533022</v>
      </c>
    </row>
    <row r="13" spans="1:17" ht="12.75" customHeight="1" x14ac:dyDescent="0.2">
      <c r="A13" s="101">
        <f t="shared" si="0"/>
        <v>2017</v>
      </c>
      <c r="B13" s="102">
        <f>B84*INDEX('OFPC Source'!$AB$8:$AM$20,MATCH($A13,'OFPC Source'!$AA$8:$AA$20,0),MATCH(B$7,'OFPC Source'!$AB$7:$AM$7,0))</f>
        <v>32.557763877796745</v>
      </c>
      <c r="C13" s="103">
        <f>C84*INDEX('OFPC Source'!$AB$8:$AM$20,MATCH($A13,'OFPC Source'!$AA$8:$AA$20,0),MATCH(C$7,'OFPC Source'!$AB$7:$AM$7,0))</f>
        <v>35.997181733447896</v>
      </c>
      <c r="D13" s="103">
        <f>D84*INDEX('OFPC Source'!$AB$8:$AM$20,MATCH($A13,'OFPC Source'!$AA$8:$AA$20,0),MATCH(D$7,'OFPC Source'!$AB$7:$AM$7,0))</f>
        <v>37.05893293158762</v>
      </c>
      <c r="E13" s="103">
        <f>E84*INDEX('OFPC Source'!$AB$8:$AM$20,MATCH($A13,'OFPC Source'!$AA$8:$AA$20,0),MATCH(E$7,'OFPC Source'!$AB$7:$AM$7,0))</f>
        <v>30.884471175742551</v>
      </c>
      <c r="F13" s="104">
        <f>F84*INDEX('OFPC Source'!$AB$8:$AM$20,MATCH($A13,'OFPC Source'!$AA$8:$AA$20,0),MATCH(F$7,'OFPC Source'!$AB$7:$AM$7,0))</f>
        <v>31.022136394143935</v>
      </c>
      <c r="G13" s="103">
        <f>G84*INDEX('OFPC Source'!$AB$8:$AM$20,MATCH($A13,'OFPC Source'!$AA$8:$AA$20,0),MATCH(G$7,'OFPC Source'!$AB$7:$AM$7,0))</f>
        <v>30.3597112866826</v>
      </c>
      <c r="H13" s="103">
        <f>H84*INDEX('OFPC Source'!$AB$8:$AM$20,MATCH($A13,'OFPC Source'!$AA$8:$AA$20,0),MATCH(H$7,'OFPC Source'!$AB$7:$AM$7,0))</f>
        <v>42.274676258474855</v>
      </c>
      <c r="I13" s="103">
        <f>I84*INDEX('OFPC Source'!$AB$8:$AM$20,MATCH($A13,'OFPC Source'!$AA$8:$AA$20,0),MATCH(I$7,'OFPC Source'!$AB$7:$AM$7,0))</f>
        <v>45.254898549233921</v>
      </c>
      <c r="J13" s="104">
        <f>J84*INDEX('OFPC Source'!$AB$8:$AM$20,MATCH($A13,'OFPC Source'!$AA$8:$AA$20,0),MATCH(J$7,'OFPC Source'!$AB$7:$AM$7,0))</f>
        <v>37.922529390240648</v>
      </c>
      <c r="K13" s="103">
        <f>K84*INDEX('OFPC Source'!$AB$8:$AM$20,MATCH($A13,'OFPC Source'!$AA$8:$AA$20,0),MATCH(K$7,'OFPC Source'!$AB$7:$AM$7,0))</f>
        <v>32.915232500826264</v>
      </c>
      <c r="L13" s="103">
        <f>L84*INDEX('OFPC Source'!$AB$8:$AM$20,MATCH($A13,'OFPC Source'!$AA$8:$AA$20,0),MATCH(L$7,'OFPC Source'!$AB$7:$AM$7,0))</f>
        <v>33.64968920328247</v>
      </c>
      <c r="M13" s="104">
        <f>M84*INDEX('OFPC Source'!$AB$8:$AM$20,MATCH($A13,'OFPC Source'!$AA$8:$AA$20,0),MATCH(M$7,'OFPC Source'!$AB$7:$AM$7,0))</f>
        <v>33.500144713633077</v>
      </c>
    </row>
    <row r="14" spans="1:17" ht="12.75" customHeight="1" x14ac:dyDescent="0.2">
      <c r="A14" s="101">
        <f t="shared" si="0"/>
        <v>2018</v>
      </c>
      <c r="B14" s="102">
        <f>B85*INDEX('OFPC Source'!$AB$8:$AM$20,MATCH($A14,'OFPC Source'!$AA$8:$AA$20,0),MATCH(B$7,'OFPC Source'!$AB$7:$AM$7,0))</f>
        <v>33.736578544046232</v>
      </c>
      <c r="C14" s="103">
        <f>C85*INDEX('OFPC Source'!$AB$8:$AM$20,MATCH($A14,'OFPC Source'!$AA$8:$AA$20,0),MATCH(C$7,'OFPC Source'!$AB$7:$AM$7,0))</f>
        <v>34.609358323217052</v>
      </c>
      <c r="D14" s="103">
        <f>D85*INDEX('OFPC Source'!$AB$8:$AM$20,MATCH($A14,'OFPC Source'!$AA$8:$AA$20,0),MATCH(D$7,'OFPC Source'!$AB$7:$AM$7,0))</f>
        <v>38.567817072268625</v>
      </c>
      <c r="E14" s="103">
        <f>E85*INDEX('OFPC Source'!$AB$8:$AM$20,MATCH($A14,'OFPC Source'!$AA$8:$AA$20,0),MATCH(E$7,'OFPC Source'!$AB$7:$AM$7,0))</f>
        <v>34.034265685984749</v>
      </c>
      <c r="F14" s="104">
        <f>F85*INDEX('OFPC Source'!$AB$8:$AM$20,MATCH($A14,'OFPC Source'!$AA$8:$AA$20,0),MATCH(F$7,'OFPC Source'!$AB$7:$AM$7,0))</f>
        <v>33.236765904007456</v>
      </c>
      <c r="G14" s="103">
        <f>G85*INDEX('OFPC Source'!$AB$8:$AM$20,MATCH($A14,'OFPC Source'!$AA$8:$AA$20,0),MATCH(G$7,'OFPC Source'!$AB$7:$AM$7,0))</f>
        <v>33.166126140173837</v>
      </c>
      <c r="H14" s="103">
        <f>H85*INDEX('OFPC Source'!$AB$8:$AM$20,MATCH($A14,'OFPC Source'!$AA$8:$AA$20,0),MATCH(H$7,'OFPC Source'!$AB$7:$AM$7,0))</f>
        <v>45.455361596333269</v>
      </c>
      <c r="I14" s="103">
        <f>I85*INDEX('OFPC Source'!$AB$8:$AM$20,MATCH($A14,'OFPC Source'!$AA$8:$AA$20,0),MATCH(I$7,'OFPC Source'!$AB$7:$AM$7,0))</f>
        <v>48.292584571854533</v>
      </c>
      <c r="J14" s="104">
        <f>J85*INDEX('OFPC Source'!$AB$8:$AM$20,MATCH($A14,'OFPC Source'!$AA$8:$AA$20,0),MATCH(J$7,'OFPC Source'!$AB$7:$AM$7,0))</f>
        <v>38.528919866699347</v>
      </c>
      <c r="K14" s="103">
        <f>K85*INDEX('OFPC Source'!$AB$8:$AM$20,MATCH($A14,'OFPC Source'!$AA$8:$AA$20,0),MATCH(K$7,'OFPC Source'!$AB$7:$AM$7,0))</f>
        <v>36.894484919841972</v>
      </c>
      <c r="L14" s="103">
        <f>L85*INDEX('OFPC Source'!$AB$8:$AM$20,MATCH($A14,'OFPC Source'!$AA$8:$AA$20,0),MATCH(L$7,'OFPC Source'!$AB$7:$AM$7,0))</f>
        <v>43.658426163313514</v>
      </c>
      <c r="M14" s="104">
        <f>M85*INDEX('OFPC Source'!$AB$8:$AM$20,MATCH($A14,'OFPC Source'!$AA$8:$AA$20,0),MATCH(M$7,'OFPC Source'!$AB$7:$AM$7,0))</f>
        <v>35.501980805268552</v>
      </c>
    </row>
    <row r="15" spans="1:17" ht="12.75" customHeight="1" x14ac:dyDescent="0.2">
      <c r="A15" s="101">
        <f t="shared" si="0"/>
        <v>2019</v>
      </c>
      <c r="B15" s="102">
        <f>B86*INDEX('OFPC Source'!$AB$8:$AM$20,MATCH($A15,'OFPC Source'!$AA$8:$AA$20,0),MATCH(B$7,'OFPC Source'!$AB$7:$AM$7,0))</f>
        <v>35.819790789398702</v>
      </c>
      <c r="C15" s="103">
        <f>C86*INDEX('OFPC Source'!$AB$8:$AM$20,MATCH($A15,'OFPC Source'!$AA$8:$AA$20,0),MATCH(C$7,'OFPC Source'!$AB$7:$AM$7,0))</f>
        <v>36.779816729552465</v>
      </c>
      <c r="D15" s="103">
        <f>D86*INDEX('OFPC Source'!$AB$8:$AM$20,MATCH($A15,'OFPC Source'!$AA$8:$AA$20,0),MATCH(D$7,'OFPC Source'!$AB$7:$AM$7,0))</f>
        <v>39.431261076707152</v>
      </c>
      <c r="E15" s="103">
        <f>E86*INDEX('OFPC Source'!$AB$8:$AM$20,MATCH($A15,'OFPC Source'!$AA$8:$AA$20,0),MATCH(E$7,'OFPC Source'!$AB$7:$AM$7,0))</f>
        <v>37.650173541867552</v>
      </c>
      <c r="F15" s="104">
        <f>F86*INDEX('OFPC Source'!$AB$8:$AM$20,MATCH($A15,'OFPC Source'!$AA$8:$AA$20,0),MATCH(F$7,'OFPC Source'!$AB$7:$AM$7,0))</f>
        <v>35.070857770086057</v>
      </c>
      <c r="G15" s="103">
        <f>G86*INDEX('OFPC Source'!$AB$8:$AM$20,MATCH($A15,'OFPC Source'!$AA$8:$AA$20,0),MATCH(G$7,'OFPC Source'!$AB$7:$AM$7,0))</f>
        <v>35.074433119025869</v>
      </c>
      <c r="H15" s="103">
        <f>H86*INDEX('OFPC Source'!$AB$8:$AM$20,MATCH($A15,'OFPC Source'!$AA$8:$AA$20,0),MATCH(H$7,'OFPC Source'!$AB$7:$AM$7,0))</f>
        <v>47.083488074540568</v>
      </c>
      <c r="I15" s="103">
        <f>I86*INDEX('OFPC Source'!$AB$8:$AM$20,MATCH($A15,'OFPC Source'!$AA$8:$AA$20,0),MATCH(I$7,'OFPC Source'!$AB$7:$AM$7,0))</f>
        <v>50.4261483498884</v>
      </c>
      <c r="J15" s="104">
        <f>J86*INDEX('OFPC Source'!$AB$8:$AM$20,MATCH($A15,'OFPC Source'!$AA$8:$AA$20,0),MATCH(J$7,'OFPC Source'!$AB$7:$AM$7,0))</f>
        <v>41.076891959186895</v>
      </c>
      <c r="K15" s="103">
        <f>K86*INDEX('OFPC Source'!$AB$8:$AM$20,MATCH($A15,'OFPC Source'!$AA$8:$AA$20,0),MATCH(K$7,'OFPC Source'!$AB$7:$AM$7,0))</f>
        <v>40.088886944664253</v>
      </c>
      <c r="L15" s="103">
        <f>L86*INDEX('OFPC Source'!$AB$8:$AM$20,MATCH($A15,'OFPC Source'!$AA$8:$AA$20,0),MATCH(L$7,'OFPC Source'!$AB$7:$AM$7,0))</f>
        <v>38.654820968899585</v>
      </c>
      <c r="M15" s="104">
        <f>M86*INDEX('OFPC Source'!$AB$8:$AM$20,MATCH($A15,'OFPC Source'!$AA$8:$AA$20,0),MATCH(M$7,'OFPC Source'!$AB$7:$AM$7,0))</f>
        <v>38.182719585161102</v>
      </c>
    </row>
    <row r="16" spans="1:17" ht="12.75" customHeight="1" x14ac:dyDescent="0.2">
      <c r="A16" s="101">
        <f t="shared" si="0"/>
        <v>2020</v>
      </c>
      <c r="B16" s="102">
        <f>B87*INDEX('OFPC Source'!$AB$8:$AM$20,MATCH($A16,'OFPC Source'!$AA$8:$AA$20,0),MATCH(B$7,'OFPC Source'!$AB$7:$AM$7,0))</f>
        <v>41.86618618174036</v>
      </c>
      <c r="C16" s="103">
        <f>C87*INDEX('OFPC Source'!$AB$8:$AM$20,MATCH($A16,'OFPC Source'!$AA$8:$AA$20,0),MATCH(C$7,'OFPC Source'!$AB$7:$AM$7,0))</f>
        <v>39.738656503488244</v>
      </c>
      <c r="D16" s="103">
        <f>D87*INDEX('OFPC Source'!$AB$8:$AM$20,MATCH($A16,'OFPC Source'!$AA$8:$AA$20,0),MATCH(D$7,'OFPC Source'!$AB$7:$AM$7,0))</f>
        <v>41.653285007698379</v>
      </c>
      <c r="E16" s="103">
        <f>E87*INDEX('OFPC Source'!$AB$8:$AM$20,MATCH($A16,'OFPC Source'!$AA$8:$AA$20,0),MATCH(E$7,'OFPC Source'!$AB$7:$AM$7,0))</f>
        <v>41.27235996551174</v>
      </c>
      <c r="F16" s="104">
        <f>F87*INDEX('OFPC Source'!$AB$8:$AM$20,MATCH($A16,'OFPC Source'!$AA$8:$AA$20,0),MATCH(F$7,'OFPC Source'!$AB$7:$AM$7,0))</f>
        <v>37.417653877160141</v>
      </c>
      <c r="G16" s="103">
        <f>G87*INDEX('OFPC Source'!$AB$8:$AM$20,MATCH($A16,'OFPC Source'!$AA$8:$AA$20,0),MATCH(G$7,'OFPC Source'!$AB$7:$AM$7,0))</f>
        <v>39.640817824713018</v>
      </c>
      <c r="H16" s="103">
        <f>H87*INDEX('OFPC Source'!$AB$8:$AM$20,MATCH($A16,'OFPC Source'!$AA$8:$AA$20,0),MATCH(H$7,'OFPC Source'!$AB$7:$AM$7,0))</f>
        <v>51.494977328773203</v>
      </c>
      <c r="I16" s="103">
        <f>I87*INDEX('OFPC Source'!$AB$8:$AM$20,MATCH($A16,'OFPC Source'!$AA$8:$AA$20,0),MATCH(I$7,'OFPC Source'!$AB$7:$AM$7,0))</f>
        <v>51.107921111612342</v>
      </c>
      <c r="J16" s="104">
        <f>J87*INDEX('OFPC Source'!$AB$8:$AM$20,MATCH($A16,'OFPC Source'!$AA$8:$AA$20,0),MATCH(J$7,'OFPC Source'!$AB$7:$AM$7,0))</f>
        <v>43.755455012456594</v>
      </c>
      <c r="K16" s="103">
        <f>K87*INDEX('OFPC Source'!$AB$8:$AM$20,MATCH($A16,'OFPC Source'!$AA$8:$AA$20,0),MATCH(K$7,'OFPC Source'!$AB$7:$AM$7,0))</f>
        <v>39.799888230123592</v>
      </c>
      <c r="L16" s="103">
        <f>L87*INDEX('OFPC Source'!$AB$8:$AM$20,MATCH($A16,'OFPC Source'!$AA$8:$AA$20,0),MATCH(L$7,'OFPC Source'!$AB$7:$AM$7,0))</f>
        <v>40.354399057045597</v>
      </c>
      <c r="M16" s="104">
        <f>M87*INDEX('OFPC Source'!$AB$8:$AM$20,MATCH($A16,'OFPC Source'!$AA$8:$AA$20,0),MATCH(M$7,'OFPC Source'!$AB$7:$AM$7,0))</f>
        <v>38.366954981904641</v>
      </c>
    </row>
    <row r="17" spans="1:30" ht="12.75" customHeight="1" x14ac:dyDescent="0.2">
      <c r="A17" s="101">
        <f t="shared" si="0"/>
        <v>2021</v>
      </c>
      <c r="B17" s="102">
        <f>B88*INDEX('OFPC Source'!$AB$8:$AM$20,MATCH($A17,'OFPC Source'!$AA$8:$AA$20,0),MATCH(B$7,'OFPC Source'!$AB$7:$AM$7,0))</f>
        <v>41.945516362423646</v>
      </c>
      <c r="C17" s="103">
        <f>C88*INDEX('OFPC Source'!$AB$8:$AM$20,MATCH($A17,'OFPC Source'!$AA$8:$AA$20,0),MATCH(C$7,'OFPC Source'!$AB$7:$AM$7,0))</f>
        <v>43.611237102782503</v>
      </c>
      <c r="D17" s="103">
        <f>D88*INDEX('OFPC Source'!$AB$8:$AM$20,MATCH($A17,'OFPC Source'!$AA$8:$AA$20,0),MATCH(D$7,'OFPC Source'!$AB$7:$AM$7,0))</f>
        <v>42.66237089671997</v>
      </c>
      <c r="E17" s="103">
        <f>E88*INDEX('OFPC Source'!$AB$8:$AM$20,MATCH($A17,'OFPC Source'!$AA$8:$AA$20,0),MATCH(E$7,'OFPC Source'!$AB$7:$AM$7,0))</f>
        <v>41.77503668191563</v>
      </c>
      <c r="F17" s="104">
        <f>F88*INDEX('OFPC Source'!$AB$8:$AM$20,MATCH($A17,'OFPC Source'!$AA$8:$AA$20,0),MATCH(F$7,'OFPC Source'!$AB$7:$AM$7,0))</f>
        <v>38.966402490792284</v>
      </c>
      <c r="G17" s="103">
        <f>G88*INDEX('OFPC Source'!$AB$8:$AM$20,MATCH($A17,'OFPC Source'!$AA$8:$AA$20,0),MATCH(G$7,'OFPC Source'!$AB$7:$AM$7,0))</f>
        <v>41.135378248663699</v>
      </c>
      <c r="H17" s="103">
        <f>H88*INDEX('OFPC Source'!$AB$8:$AM$20,MATCH($A17,'OFPC Source'!$AA$8:$AA$20,0),MATCH(H$7,'OFPC Source'!$AB$7:$AM$7,0))</f>
        <v>49.392465363616893</v>
      </c>
      <c r="I17" s="103">
        <f>I88*INDEX('OFPC Source'!$AB$8:$AM$20,MATCH($A17,'OFPC Source'!$AA$8:$AA$20,0),MATCH(I$7,'OFPC Source'!$AB$7:$AM$7,0))</f>
        <v>49.538660732090257</v>
      </c>
      <c r="J17" s="104">
        <f>J88*INDEX('OFPC Source'!$AB$8:$AM$20,MATCH($A17,'OFPC Source'!$AA$8:$AA$20,0),MATCH(J$7,'OFPC Source'!$AB$7:$AM$7,0))</f>
        <v>44.419392180765023</v>
      </c>
      <c r="K17" s="103">
        <f>K88*INDEX('OFPC Source'!$AB$8:$AM$20,MATCH($A17,'OFPC Source'!$AA$8:$AA$20,0),MATCH(K$7,'OFPC Source'!$AB$7:$AM$7,0))</f>
        <v>42.586635331249532</v>
      </c>
      <c r="L17" s="103">
        <f>L88*INDEX('OFPC Source'!$AB$8:$AM$20,MATCH($A17,'OFPC Source'!$AA$8:$AA$20,0),MATCH(L$7,'OFPC Source'!$AB$7:$AM$7,0))</f>
        <v>45.794269572726051</v>
      </c>
      <c r="M17" s="104">
        <f>M88*INDEX('OFPC Source'!$AB$8:$AM$20,MATCH($A17,'OFPC Source'!$AA$8:$AA$20,0),MATCH(M$7,'OFPC Source'!$AB$7:$AM$7,0))</f>
        <v>45.437722164409301</v>
      </c>
    </row>
    <row r="18" spans="1:30" ht="12.75" customHeight="1" x14ac:dyDescent="0.2">
      <c r="A18" s="101">
        <f t="shared" si="0"/>
        <v>2022</v>
      </c>
      <c r="B18" s="102">
        <f>B89*INDEX('OFPC Source'!$AB$8:$AM$20,MATCH($A18,'OFPC Source'!$AA$8:$AA$20,0),MATCH(B$7,'OFPC Source'!$AB$7:$AM$7,0))</f>
        <v>43.53326895971702</v>
      </c>
      <c r="C18" s="103">
        <f>C89*INDEX('OFPC Source'!$AB$8:$AM$20,MATCH($A18,'OFPC Source'!$AA$8:$AA$20,0),MATCH(C$7,'OFPC Source'!$AB$7:$AM$7,0))</f>
        <v>42.408985152375863</v>
      </c>
      <c r="D18" s="103">
        <f>D89*INDEX('OFPC Source'!$AB$8:$AM$20,MATCH($A18,'OFPC Source'!$AA$8:$AA$20,0),MATCH(D$7,'OFPC Source'!$AB$7:$AM$7,0))</f>
        <v>43.308495548638746</v>
      </c>
      <c r="E18" s="103">
        <f>E89*INDEX('OFPC Source'!$AB$8:$AM$20,MATCH($A18,'OFPC Source'!$AA$8:$AA$20,0),MATCH(E$7,'OFPC Source'!$AB$7:$AM$7,0))</f>
        <v>40.0007941338866</v>
      </c>
      <c r="F18" s="104">
        <f>F89*INDEX('OFPC Source'!$AB$8:$AM$20,MATCH($A18,'OFPC Source'!$AA$8:$AA$20,0),MATCH(F$7,'OFPC Source'!$AB$7:$AM$7,0))</f>
        <v>39.543981748504635</v>
      </c>
      <c r="G18" s="103">
        <f>G89*INDEX('OFPC Source'!$AB$8:$AM$20,MATCH($A18,'OFPC Source'!$AA$8:$AA$20,0),MATCH(G$7,'OFPC Source'!$AB$7:$AM$7,0))</f>
        <v>43.719334833395671</v>
      </c>
      <c r="H18" s="103">
        <f>H89*INDEX('OFPC Source'!$AB$8:$AM$20,MATCH($A18,'OFPC Source'!$AA$8:$AA$20,0),MATCH(H$7,'OFPC Source'!$AB$7:$AM$7,0))</f>
        <v>51.401073748172472</v>
      </c>
      <c r="I18" s="103">
        <f>I89*INDEX('OFPC Source'!$AB$8:$AM$20,MATCH($A18,'OFPC Source'!$AA$8:$AA$20,0),MATCH(I$7,'OFPC Source'!$AB$7:$AM$7,0))</f>
        <v>50.557801196306542</v>
      </c>
      <c r="J18" s="104">
        <f>J89*INDEX('OFPC Source'!$AB$8:$AM$20,MATCH($A18,'OFPC Source'!$AA$8:$AA$20,0),MATCH(J$7,'OFPC Source'!$AB$7:$AM$7,0))</f>
        <v>44.925760535019528</v>
      </c>
      <c r="K18" s="103">
        <f>K89*INDEX('OFPC Source'!$AB$8:$AM$20,MATCH($A18,'OFPC Source'!$AA$8:$AA$20,0),MATCH(K$7,'OFPC Source'!$AB$7:$AM$7,0))</f>
        <v>43.350255791844774</v>
      </c>
      <c r="L18" s="103">
        <f>L89*INDEX('OFPC Source'!$AB$8:$AM$20,MATCH($A18,'OFPC Source'!$AA$8:$AA$20,0),MATCH(L$7,'OFPC Source'!$AB$7:$AM$7,0))</f>
        <v>43.684321584848021</v>
      </c>
      <c r="M18" s="104">
        <f>M89*INDEX('OFPC Source'!$AB$8:$AM$20,MATCH($A18,'OFPC Source'!$AA$8:$AA$20,0),MATCH(M$7,'OFPC Source'!$AB$7:$AM$7,0))</f>
        <v>45.758051410782883</v>
      </c>
    </row>
    <row r="19" spans="1:30" ht="12.75" customHeight="1" x14ac:dyDescent="0.2">
      <c r="A19" s="101">
        <f t="shared" si="0"/>
        <v>2023</v>
      </c>
      <c r="B19" s="102">
        <f>B90*INDEX('OFPC Source'!$AB$8:$AM$20,MATCH($A19,'OFPC Source'!$AA$8:$AA$20,0),MATCH(B$7,'OFPC Source'!$AB$7:$AM$7,0))</f>
        <v>44.584283302783504</v>
      </c>
      <c r="C19" s="103">
        <f>C90*INDEX('OFPC Source'!$AB$8:$AM$20,MATCH($A19,'OFPC Source'!$AA$8:$AA$20,0),MATCH(C$7,'OFPC Source'!$AB$7:$AM$7,0))</f>
        <v>43.907772740963551</v>
      </c>
      <c r="D19" s="103">
        <f>D90*INDEX('OFPC Source'!$AB$8:$AM$20,MATCH($A19,'OFPC Source'!$AA$8:$AA$20,0),MATCH(D$7,'OFPC Source'!$AB$7:$AM$7,0))</f>
        <v>43.663483539493292</v>
      </c>
      <c r="E19" s="103">
        <f>E90*INDEX('OFPC Source'!$AB$8:$AM$20,MATCH($A19,'OFPC Source'!$AA$8:$AA$20,0),MATCH(E$7,'OFPC Source'!$AB$7:$AM$7,0))</f>
        <v>41.796631367490185</v>
      </c>
      <c r="F19" s="104">
        <f>F90*INDEX('OFPC Source'!$AB$8:$AM$20,MATCH($A19,'OFPC Source'!$AA$8:$AA$20,0),MATCH(F$7,'OFPC Source'!$AB$7:$AM$7,0))</f>
        <v>41.356379189011008</v>
      </c>
      <c r="G19" s="103">
        <f>G90*INDEX('OFPC Source'!$AB$8:$AM$20,MATCH($A19,'OFPC Source'!$AA$8:$AA$20,0),MATCH(G$7,'OFPC Source'!$AB$7:$AM$7,0))</f>
        <v>44.672558627550039</v>
      </c>
      <c r="H19" s="103">
        <f>H90*INDEX('OFPC Source'!$AB$8:$AM$20,MATCH($A19,'OFPC Source'!$AA$8:$AA$20,0),MATCH(H$7,'OFPC Source'!$AB$7:$AM$7,0))</f>
        <v>53.068545333700392</v>
      </c>
      <c r="I19" s="103">
        <f>I90*INDEX('OFPC Source'!$AB$8:$AM$20,MATCH($A19,'OFPC Source'!$AA$8:$AA$20,0),MATCH(I$7,'OFPC Source'!$AB$7:$AM$7,0))</f>
        <v>52.11370778969313</v>
      </c>
      <c r="J19" s="104">
        <f>J90*INDEX('OFPC Source'!$AB$8:$AM$20,MATCH($A19,'OFPC Source'!$AA$8:$AA$20,0),MATCH(J$7,'OFPC Source'!$AB$7:$AM$7,0))</f>
        <v>44.362872169720298</v>
      </c>
      <c r="K19" s="103">
        <f>K90*INDEX('OFPC Source'!$AB$8:$AM$20,MATCH($A19,'OFPC Source'!$AA$8:$AA$20,0),MATCH(K$7,'OFPC Source'!$AB$7:$AM$7,0))</f>
        <v>45.025714796900509</v>
      </c>
      <c r="L19" s="103">
        <f>L90*INDEX('OFPC Source'!$AB$8:$AM$20,MATCH($A19,'OFPC Source'!$AA$8:$AA$20,0),MATCH(L$7,'OFPC Source'!$AB$7:$AM$7,0))</f>
        <v>46.450152115988587</v>
      </c>
      <c r="M19" s="104">
        <f>M90*INDEX('OFPC Source'!$AB$8:$AM$20,MATCH($A19,'OFPC Source'!$AA$8:$AA$20,0),MATCH(M$7,'OFPC Source'!$AB$7:$AM$7,0))</f>
        <v>48.747593000178696</v>
      </c>
    </row>
    <row r="20" spans="1:30" ht="12.75" customHeight="1" x14ac:dyDescent="0.2">
      <c r="A20" s="101">
        <f t="shared" si="0"/>
        <v>2024</v>
      </c>
      <c r="B20" s="102">
        <f>B91*INDEX('OFPC Source'!$AB$8:$AM$20,MATCH($A20,'OFPC Source'!$AA$8:$AA$20,0),MATCH(B$7,'OFPC Source'!$AB$7:$AM$7,0))</f>
        <v>47.047203910579299</v>
      </c>
      <c r="C20" s="103">
        <f>C91*INDEX('OFPC Source'!$AB$8:$AM$20,MATCH($A20,'OFPC Source'!$AA$8:$AA$20,0),MATCH(C$7,'OFPC Source'!$AB$7:$AM$7,0))</f>
        <v>46.271862486497213</v>
      </c>
      <c r="D20" s="103">
        <f>D91*INDEX('OFPC Source'!$AB$8:$AM$20,MATCH($A20,'OFPC Source'!$AA$8:$AA$20,0),MATCH(D$7,'OFPC Source'!$AB$7:$AM$7,0))</f>
        <v>45.713275263384531</v>
      </c>
      <c r="E20" s="103">
        <f>E91*INDEX('OFPC Source'!$AB$8:$AM$20,MATCH($A20,'OFPC Source'!$AA$8:$AA$20,0),MATCH(E$7,'OFPC Source'!$AB$7:$AM$7,0))</f>
        <v>43.845786154624683</v>
      </c>
      <c r="F20" s="104">
        <f>F91*INDEX('OFPC Source'!$AB$8:$AM$20,MATCH($A20,'OFPC Source'!$AA$8:$AA$20,0),MATCH(F$7,'OFPC Source'!$AB$7:$AM$7,0))</f>
        <v>42.117084608981827</v>
      </c>
      <c r="G20" s="103">
        <f>G91*INDEX('OFPC Source'!$AB$8:$AM$20,MATCH($A20,'OFPC Source'!$AA$8:$AA$20,0),MATCH(G$7,'OFPC Source'!$AB$7:$AM$7,0))</f>
        <v>45.939805974760084</v>
      </c>
      <c r="H20" s="103">
        <f>H91*INDEX('OFPC Source'!$AB$8:$AM$20,MATCH($A20,'OFPC Source'!$AA$8:$AA$20,0),MATCH(H$7,'OFPC Source'!$AB$7:$AM$7,0))</f>
        <v>55.495455422337216</v>
      </c>
      <c r="I20" s="103">
        <f>I91*INDEX('OFPC Source'!$AB$8:$AM$20,MATCH($A20,'OFPC Source'!$AA$8:$AA$20,0),MATCH(I$7,'OFPC Source'!$AB$7:$AM$7,0))</f>
        <v>56.445594049726452</v>
      </c>
      <c r="J20" s="104">
        <f>J91*INDEX('OFPC Source'!$AB$8:$AM$20,MATCH($A20,'OFPC Source'!$AA$8:$AA$20,0),MATCH(J$7,'OFPC Source'!$AB$7:$AM$7,0))</f>
        <v>47.770565191819507</v>
      </c>
      <c r="K20" s="103">
        <f>K91*INDEX('OFPC Source'!$AB$8:$AM$20,MATCH($A20,'OFPC Source'!$AA$8:$AA$20,0),MATCH(K$7,'OFPC Source'!$AB$7:$AM$7,0))</f>
        <v>47.370083438072058</v>
      </c>
      <c r="L20" s="103">
        <f>L91*INDEX('OFPC Source'!$AB$8:$AM$20,MATCH($A20,'OFPC Source'!$AA$8:$AA$20,0),MATCH(L$7,'OFPC Source'!$AB$7:$AM$7,0))</f>
        <v>48.122455598087562</v>
      </c>
      <c r="M20" s="104">
        <f>M91*INDEX('OFPC Source'!$AB$8:$AM$20,MATCH($A20,'OFPC Source'!$AA$8:$AA$20,0),MATCH(M$7,'OFPC Source'!$AB$7:$AM$7,0))</f>
        <v>49.157738824005946</v>
      </c>
    </row>
    <row r="21" spans="1:30" ht="12.75" customHeight="1" x14ac:dyDescent="0.2">
      <c r="A21" s="101">
        <f t="shared" si="0"/>
        <v>2025</v>
      </c>
      <c r="B21" s="102">
        <f>B92*INDEX('OFPC Source'!$AB$8:$AM$20,MATCH($A21,'OFPC Source'!$AA$8:$AA$20,0),MATCH(B$7,'OFPC Source'!$AB$7:$AM$7,0))</f>
        <v>50.539576799660786</v>
      </c>
      <c r="C21" s="103">
        <f>C92*INDEX('OFPC Source'!$AB$8:$AM$20,MATCH($A21,'OFPC Source'!$AA$8:$AA$20,0),MATCH(C$7,'OFPC Source'!$AB$7:$AM$7,0))</f>
        <v>49.175807264172974</v>
      </c>
      <c r="D21" s="103">
        <f>D92*INDEX('OFPC Source'!$AB$8:$AM$20,MATCH($A21,'OFPC Source'!$AA$8:$AA$20,0),MATCH(D$7,'OFPC Source'!$AB$7:$AM$7,0))</f>
        <v>47.652630929896524</v>
      </c>
      <c r="E21" s="103">
        <f>E92*INDEX('OFPC Source'!$AB$8:$AM$20,MATCH($A21,'OFPC Source'!$AA$8:$AA$20,0),MATCH(E$7,'OFPC Source'!$AB$7:$AM$7,0))</f>
        <v>44.854315334052259</v>
      </c>
      <c r="F21" s="104">
        <f>F92*INDEX('OFPC Source'!$AB$8:$AM$20,MATCH($A21,'OFPC Source'!$AA$8:$AA$20,0),MATCH(F$7,'OFPC Source'!$AB$7:$AM$7,0))</f>
        <v>44.399072718629228</v>
      </c>
      <c r="G21" s="103">
        <f>G92*INDEX('OFPC Source'!$AB$8:$AM$20,MATCH($A21,'OFPC Source'!$AA$8:$AA$20,0),MATCH(G$7,'OFPC Source'!$AB$7:$AM$7,0))</f>
        <v>49.007686618056042</v>
      </c>
      <c r="H21" s="103">
        <f>H92*INDEX('OFPC Source'!$AB$8:$AM$20,MATCH($A21,'OFPC Source'!$AA$8:$AA$20,0),MATCH(H$7,'OFPC Source'!$AB$7:$AM$7,0))</f>
        <v>58.745462090112611</v>
      </c>
      <c r="I21" s="103">
        <f>I92*INDEX('OFPC Source'!$AB$8:$AM$20,MATCH($A21,'OFPC Source'!$AA$8:$AA$20,0),MATCH(I$7,'OFPC Source'!$AB$7:$AM$7,0))</f>
        <v>60.064853195157198</v>
      </c>
      <c r="J21" s="104">
        <f>J92*INDEX('OFPC Source'!$AB$8:$AM$20,MATCH($A21,'OFPC Source'!$AA$8:$AA$20,0),MATCH(J$7,'OFPC Source'!$AB$7:$AM$7,0))</f>
        <v>51.642979818371494</v>
      </c>
      <c r="K21" s="103">
        <f>K92*INDEX('OFPC Source'!$AB$8:$AM$20,MATCH($A21,'OFPC Source'!$AA$8:$AA$20,0),MATCH(K$7,'OFPC Source'!$AB$7:$AM$7,0))</f>
        <v>48.872665423768467</v>
      </c>
      <c r="L21" s="103">
        <f>L92*INDEX('OFPC Source'!$AB$8:$AM$20,MATCH($A21,'OFPC Source'!$AA$8:$AA$20,0),MATCH(L$7,'OFPC Source'!$AB$7:$AM$7,0))</f>
        <v>50.335127792660053</v>
      </c>
      <c r="M21" s="104">
        <f>M92*INDEX('OFPC Source'!$AB$8:$AM$20,MATCH($A21,'OFPC Source'!$AA$8:$AA$20,0),MATCH(M$7,'OFPC Source'!$AB$7:$AM$7,0))</f>
        <v>51.518740853346607</v>
      </c>
    </row>
    <row r="22" spans="1:30" ht="12.75" customHeight="1" x14ac:dyDescent="0.2">
      <c r="A22" s="101">
        <f t="shared" si="0"/>
        <v>2026</v>
      </c>
      <c r="B22" s="102">
        <f>B93*INDEX('OFPC Source'!$AB$8:$AM$20,MATCH($A22,'OFPC Source'!$AA$8:$AA$20,0),MATCH(B$7,'OFPC Source'!$AB$7:$AM$7,0))</f>
        <v>52.055785714322312</v>
      </c>
      <c r="C22" s="103">
        <f>C93*INDEX('OFPC Source'!$AB$8:$AM$20,MATCH($A22,'OFPC Source'!$AA$8:$AA$20,0),MATCH(C$7,'OFPC Source'!$AB$7:$AM$7,0))</f>
        <v>50.700556492736347</v>
      </c>
      <c r="D22" s="103">
        <f>D93*INDEX('OFPC Source'!$AB$8:$AM$20,MATCH($A22,'OFPC Source'!$AA$8:$AA$20,0),MATCH(D$7,'OFPC Source'!$AB$7:$AM$7,0))</f>
        <v>49.020170336648683</v>
      </c>
      <c r="E22" s="103">
        <f>E93*INDEX('OFPC Source'!$AB$8:$AM$20,MATCH($A22,'OFPC Source'!$AA$8:$AA$20,0),MATCH(E$7,'OFPC Source'!$AB$7:$AM$7,0))</f>
        <v>47.168191407195444</v>
      </c>
      <c r="F22" s="104">
        <f>F93*INDEX('OFPC Source'!$AB$8:$AM$20,MATCH($A22,'OFPC Source'!$AA$8:$AA$20,0),MATCH(F$7,'OFPC Source'!$AB$7:$AM$7,0))</f>
        <v>46.138479038178431</v>
      </c>
      <c r="G22" s="103">
        <f>G93*INDEX('OFPC Source'!$AB$8:$AM$20,MATCH($A22,'OFPC Source'!$AA$8:$AA$20,0),MATCH(G$7,'OFPC Source'!$AB$7:$AM$7,0))</f>
        <v>51.692133965699789</v>
      </c>
      <c r="H22" s="103">
        <f>H93*INDEX('OFPC Source'!$AB$8:$AM$20,MATCH($A22,'OFPC Source'!$AA$8:$AA$20,0),MATCH(H$7,'OFPC Source'!$AB$7:$AM$7,0))</f>
        <v>61.597957891497472</v>
      </c>
      <c r="I22" s="103">
        <f>I93*INDEX('OFPC Source'!$AB$8:$AM$20,MATCH($A22,'OFPC Source'!$AA$8:$AA$20,0),MATCH(I$7,'OFPC Source'!$AB$7:$AM$7,0))</f>
        <v>63.115763496064005</v>
      </c>
      <c r="J22" s="104">
        <f>J93*INDEX('OFPC Source'!$AB$8:$AM$20,MATCH($A22,'OFPC Source'!$AA$8:$AA$20,0),MATCH(J$7,'OFPC Source'!$AB$7:$AM$7,0))</f>
        <v>54.061117628338835</v>
      </c>
      <c r="K22" s="103">
        <f>K93*INDEX('OFPC Source'!$AB$8:$AM$20,MATCH($A22,'OFPC Source'!$AA$8:$AA$20,0),MATCH(K$7,'OFPC Source'!$AB$7:$AM$7,0))</f>
        <v>50.790748679515666</v>
      </c>
      <c r="L22" s="103">
        <f>L93*INDEX('OFPC Source'!$AB$8:$AM$20,MATCH($A22,'OFPC Source'!$AA$8:$AA$20,0),MATCH(L$7,'OFPC Source'!$AB$7:$AM$7,0))</f>
        <v>52.299482261418049</v>
      </c>
      <c r="M22" s="104">
        <f>M93*INDEX('OFPC Source'!$AB$8:$AM$20,MATCH($A22,'OFPC Source'!$AA$8:$AA$20,0),MATCH(M$7,'OFPC Source'!$AB$7:$AM$7,0))</f>
        <v>54.287709675625415</v>
      </c>
    </row>
    <row r="23" spans="1:30" ht="12.75" hidden="1" customHeight="1" x14ac:dyDescent="0.2">
      <c r="A23" s="101"/>
      <c r="B23" s="102"/>
      <c r="C23" s="103"/>
      <c r="D23" s="103"/>
      <c r="E23" s="103"/>
      <c r="F23" s="104"/>
      <c r="G23" s="103"/>
      <c r="H23" s="103"/>
      <c r="I23" s="103"/>
      <c r="J23" s="104"/>
      <c r="K23" s="103"/>
      <c r="L23" s="103"/>
      <c r="M23" s="104"/>
    </row>
    <row r="24" spans="1:30" ht="12.75" hidden="1" customHeight="1" x14ac:dyDescent="0.2">
      <c r="A24" s="101"/>
      <c r="B24" s="102"/>
      <c r="C24" s="103"/>
      <c r="D24" s="103"/>
      <c r="E24" s="103"/>
      <c r="F24" s="104"/>
      <c r="G24" s="103"/>
      <c r="H24" s="103"/>
      <c r="I24" s="103"/>
      <c r="J24" s="104"/>
      <c r="K24" s="103"/>
      <c r="L24" s="103"/>
      <c r="M24" s="104"/>
    </row>
    <row r="25" spans="1:30" ht="12.75" hidden="1" customHeight="1" x14ac:dyDescent="0.2">
      <c r="A25" s="105"/>
      <c r="B25" s="106"/>
      <c r="C25" s="107"/>
      <c r="D25" s="107"/>
      <c r="E25" s="107"/>
      <c r="F25" s="108"/>
      <c r="G25" s="107"/>
      <c r="H25" s="107"/>
      <c r="I25" s="107"/>
      <c r="J25" s="108"/>
      <c r="K25" s="107"/>
      <c r="L25" s="107"/>
      <c r="M25" s="108"/>
    </row>
    <row r="26" spans="1:30" ht="12.75" customHeight="1" x14ac:dyDescent="0.2">
      <c r="A26" s="218"/>
      <c r="B26" s="216"/>
      <c r="C26" s="216"/>
      <c r="D26" s="216"/>
      <c r="E26" s="216"/>
      <c r="F26" s="215"/>
      <c r="G26" s="215"/>
      <c r="H26" s="215"/>
      <c r="I26" s="215"/>
      <c r="J26" s="217"/>
      <c r="K26" s="215"/>
      <c r="L26" s="215"/>
      <c r="M26" s="215"/>
    </row>
    <row r="27" spans="1:30" ht="12.75" customHeight="1" x14ac:dyDescent="0.2">
      <c r="A27" s="13" t="s">
        <v>315</v>
      </c>
      <c r="C27" s="88"/>
      <c r="D27" s="88"/>
      <c r="E27" s="88"/>
      <c r="G27" s="88"/>
      <c r="H27" s="88"/>
      <c r="I27" s="88"/>
      <c r="J27" s="96"/>
      <c r="L27" s="88"/>
      <c r="M27" s="70"/>
    </row>
    <row r="28" spans="1:30" ht="12.75" customHeight="1" x14ac:dyDescent="0.2">
      <c r="A28" s="97">
        <f>'Tables 3 to 6'!$B$13</f>
        <v>2014</v>
      </c>
      <c r="B28" s="98"/>
      <c r="C28" s="99"/>
      <c r="D28" s="99"/>
      <c r="E28" s="99"/>
      <c r="F28" s="100"/>
      <c r="G28" s="99"/>
      <c r="H28" s="99">
        <f>H81*INDEX('OFPC Source'!$AB$26:$AM$38,MATCH($A28,'OFPC Source'!$AA$26:$AA$38,0),MATCH(H$7,'OFPC Source'!$AB$25:$AM$25,0))</f>
        <v>24.098581269815075</v>
      </c>
      <c r="I28" s="99">
        <f>I81*INDEX('OFPC Source'!$AB$26:$AM$38,MATCH($A28,'OFPC Source'!$AA$26:$AA$38,0),MATCH(I$7,'OFPC Source'!$AB$25:$AM$25,0))</f>
        <v>29.654403808474793</v>
      </c>
      <c r="J28" s="100">
        <f>J81*INDEX('OFPC Source'!$AB$26:$AM$38,MATCH($A28,'OFPC Source'!$AA$26:$AA$38,0),MATCH(J$7,'OFPC Source'!$AB$25:$AM$25,0))</f>
        <v>23.50572803655016</v>
      </c>
      <c r="K28" s="98">
        <f>K81*INDEX('OFPC Source'!$AB$26:$AM$38,MATCH($A28,'OFPC Source'!$AA$26:$AA$38,0),MATCH(K$7,'OFPC Source'!$AB$25:$AM$25,0))</f>
        <v>23.64102406655589</v>
      </c>
      <c r="L28" s="99">
        <f>L81*INDEX('OFPC Source'!$AB$26:$AM$38,MATCH($A28,'OFPC Source'!$AA$26:$AA$38,0),MATCH(L$7,'OFPC Source'!$AB$25:$AM$25,0))</f>
        <v>27.136984834838884</v>
      </c>
      <c r="M28" s="100">
        <f>M81*INDEX('OFPC Source'!$AB$26:$AM$38,MATCH($A28,'OFPC Source'!$AA$26:$AA$38,0),MATCH(M$7,'OFPC Source'!$AB$25:$AM$25,0))</f>
        <v>23.984243819046071</v>
      </c>
      <c r="P28" s="443"/>
    </row>
    <row r="29" spans="1:30" ht="12.75" customHeight="1" x14ac:dyDescent="0.2">
      <c r="A29" s="101">
        <f t="shared" ref="A29:A40" si="1">A28+1</f>
        <v>2015</v>
      </c>
      <c r="B29" s="102">
        <f>B82*INDEX('OFPC Source'!$AB$26:$AM$38,MATCH($A29,'OFPC Source'!$AA$26:$AA$38,0),MATCH(B$7,'OFPC Source'!$AB$25:$AM$25,0))</f>
        <v>31.588228683848612</v>
      </c>
      <c r="C29" s="103">
        <f>C82*INDEX('OFPC Source'!$AB$26:$AM$38,MATCH($A29,'OFPC Source'!$AA$26:$AA$38,0),MATCH(C$7,'OFPC Source'!$AB$25:$AM$25,0))</f>
        <v>31.888924407748352</v>
      </c>
      <c r="D29" s="103">
        <f>D82*INDEX('OFPC Source'!$AB$26:$AM$38,MATCH($A29,'OFPC Source'!$AA$26:$AA$38,0),MATCH(D$7,'OFPC Source'!$AB$25:$AM$25,0))</f>
        <v>36.973078391855417</v>
      </c>
      <c r="E29" s="103">
        <f>E82*INDEX('OFPC Source'!$AB$26:$AM$38,MATCH($A29,'OFPC Source'!$AA$26:$AA$38,0),MATCH(E$7,'OFPC Source'!$AB$25:$AM$25,0))</f>
        <v>23.334869133645185</v>
      </c>
      <c r="F29" s="103">
        <f>F82*INDEX('OFPC Source'!$AB$26:$AM$38,MATCH($A29,'OFPC Source'!$AA$26:$AA$38,0),MATCH(F$7,'OFPC Source'!$AB$25:$AM$25,0))</f>
        <v>19.176969073360723</v>
      </c>
      <c r="G29" s="102">
        <f>G82*INDEX('OFPC Source'!$AB$26:$AM$38,MATCH($A29,'OFPC Source'!$AA$26:$AA$38,0),MATCH(G$7,'OFPC Source'!$AB$25:$AM$25,0))</f>
        <v>20.039695758171266</v>
      </c>
      <c r="H29" s="103">
        <f>H82*INDEX('OFPC Source'!$AB$26:$AM$38,MATCH($A29,'OFPC Source'!$AA$26:$AA$38,0),MATCH(H$7,'OFPC Source'!$AB$25:$AM$25,0))</f>
        <v>25.556325684611586</v>
      </c>
      <c r="I29" s="103">
        <f>I82*INDEX('OFPC Source'!$AB$26:$AM$38,MATCH($A29,'OFPC Source'!$AA$26:$AA$38,0),MATCH(I$7,'OFPC Source'!$AB$25:$AM$25,0))</f>
        <v>27.608218787860338</v>
      </c>
      <c r="J29" s="104">
        <f>J82*INDEX('OFPC Source'!$AB$26:$AM$38,MATCH($A29,'OFPC Source'!$AA$26:$AA$38,0),MATCH(J$7,'OFPC Source'!$AB$25:$AM$25,0))</f>
        <v>26.45841375588142</v>
      </c>
      <c r="K29" s="102">
        <f>K82*INDEX('OFPC Source'!$AB$26:$AM$38,MATCH($A29,'OFPC Source'!$AA$26:$AA$38,0),MATCH(K$7,'OFPC Source'!$AB$25:$AM$25,0))</f>
        <v>25.178881595049745</v>
      </c>
      <c r="L29" s="103">
        <f>L82*INDEX('OFPC Source'!$AB$26:$AM$38,MATCH($A29,'OFPC Source'!$AA$26:$AA$38,0),MATCH(L$7,'OFPC Source'!$AB$25:$AM$25,0))</f>
        <v>27.151796948368318</v>
      </c>
      <c r="M29" s="104">
        <f>M82*INDEX('OFPC Source'!$AB$26:$AM$38,MATCH($A29,'OFPC Source'!$AA$26:$AA$38,0),MATCH(M$7,'OFPC Source'!$AB$25:$AM$25,0))</f>
        <v>33.042677625168672</v>
      </c>
    </row>
    <row r="30" spans="1:30" ht="12.75" customHeight="1" x14ac:dyDescent="0.2">
      <c r="A30" s="101">
        <f t="shared" si="1"/>
        <v>2016</v>
      </c>
      <c r="B30" s="102">
        <f>B83*INDEX('OFPC Source'!$AB$26:$AM$38,MATCH($A30,'OFPC Source'!$AA$26:$AA$38,0),MATCH(B$7,'OFPC Source'!$AB$25:$AM$25,0))</f>
        <v>27.297040771707863</v>
      </c>
      <c r="C30" s="103">
        <f>C83*INDEX('OFPC Source'!$AB$26:$AM$38,MATCH($A30,'OFPC Source'!$AA$26:$AA$38,0),MATCH(C$7,'OFPC Source'!$AB$25:$AM$25,0))</f>
        <v>29.571525588809401</v>
      </c>
      <c r="D30" s="103">
        <f>D83*INDEX('OFPC Source'!$AB$26:$AM$38,MATCH($A30,'OFPC Source'!$AA$26:$AA$38,0),MATCH(D$7,'OFPC Source'!$AB$25:$AM$25,0))</f>
        <v>30.852595139713952</v>
      </c>
      <c r="E30" s="103">
        <f>E83*INDEX('OFPC Source'!$AB$26:$AM$38,MATCH($A30,'OFPC Source'!$AA$26:$AA$38,0),MATCH(E$7,'OFPC Source'!$AB$25:$AM$25,0))</f>
        <v>24.479730952279873</v>
      </c>
      <c r="F30" s="103">
        <f>F83*INDEX('OFPC Source'!$AB$26:$AM$38,MATCH($A30,'OFPC Source'!$AA$26:$AA$38,0),MATCH(F$7,'OFPC Source'!$AB$25:$AM$25,0))</f>
        <v>19.496261134149755</v>
      </c>
      <c r="G30" s="102">
        <f>G83*INDEX('OFPC Source'!$AB$26:$AM$38,MATCH($A30,'OFPC Source'!$AA$26:$AA$38,0),MATCH(G$7,'OFPC Source'!$AB$25:$AM$25,0))</f>
        <v>18.990887721899153</v>
      </c>
      <c r="H30" s="103">
        <f>H83*INDEX('OFPC Source'!$AB$26:$AM$38,MATCH($A30,'OFPC Source'!$AA$26:$AA$38,0),MATCH(H$7,'OFPC Source'!$AB$25:$AM$25,0))</f>
        <v>25.064767233200946</v>
      </c>
      <c r="I30" s="103">
        <f>I83*INDEX('OFPC Source'!$AB$26:$AM$38,MATCH($A30,'OFPC Source'!$AA$26:$AA$38,0),MATCH(I$7,'OFPC Source'!$AB$25:$AM$25,0))</f>
        <v>27.321803042036397</v>
      </c>
      <c r="J30" s="104">
        <f>J83*INDEX('OFPC Source'!$AB$26:$AM$38,MATCH($A30,'OFPC Source'!$AA$26:$AA$38,0),MATCH(J$7,'OFPC Source'!$AB$25:$AM$25,0))</f>
        <v>25.126848697577337</v>
      </c>
      <c r="K30" s="102">
        <f>K83*INDEX('OFPC Source'!$AB$26:$AM$38,MATCH($A30,'OFPC Source'!$AA$26:$AA$38,0),MATCH(K$7,'OFPC Source'!$AB$25:$AM$25,0))</f>
        <v>24.868490366904737</v>
      </c>
      <c r="L30" s="103">
        <f>L83*INDEX('OFPC Source'!$AB$26:$AM$38,MATCH($A30,'OFPC Source'!$AA$26:$AA$38,0),MATCH(L$7,'OFPC Source'!$AB$25:$AM$25,0))</f>
        <v>21.606255996328343</v>
      </c>
      <c r="M30" s="104">
        <f>M83*INDEX('OFPC Source'!$AB$26:$AM$38,MATCH($A30,'OFPC Source'!$AA$26:$AA$38,0),MATCH(M$7,'OFPC Source'!$AB$25:$AM$25,0))</f>
        <v>29.488062723760361</v>
      </c>
      <c r="N30" s="246"/>
      <c r="O30" s="246"/>
      <c r="P30" s="246"/>
      <c r="Q30" s="449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30" ht="12.75" customHeight="1" x14ac:dyDescent="0.2">
      <c r="A31" s="101">
        <f t="shared" si="1"/>
        <v>2017</v>
      </c>
      <c r="B31" s="102">
        <f>B84*INDEX('OFPC Source'!$AB$26:$AM$38,MATCH($A31,'OFPC Source'!$AA$26:$AA$38,0),MATCH(B$7,'OFPC Source'!$AB$25:$AM$25,0))</f>
        <v>26.771878962969449</v>
      </c>
      <c r="C31" s="103">
        <f>C84*INDEX('OFPC Source'!$AB$26:$AM$38,MATCH($A31,'OFPC Source'!$AA$26:$AA$38,0),MATCH(C$7,'OFPC Source'!$AB$25:$AM$25,0))</f>
        <v>29.607149473072532</v>
      </c>
      <c r="D31" s="103">
        <f>D84*INDEX('OFPC Source'!$AB$26:$AM$38,MATCH($A31,'OFPC Source'!$AA$26:$AA$38,0),MATCH(D$7,'OFPC Source'!$AB$25:$AM$25,0))</f>
        <v>30.487854582934027</v>
      </c>
      <c r="E31" s="103">
        <f>E84*INDEX('OFPC Source'!$AB$26:$AM$38,MATCH($A31,'OFPC Source'!$AA$26:$AA$38,0),MATCH(E$7,'OFPC Source'!$AB$25:$AM$25,0))</f>
        <v>24.512842797058127</v>
      </c>
      <c r="F31" s="103">
        <f>F84*INDEX('OFPC Source'!$AB$26:$AM$38,MATCH($A31,'OFPC Source'!$AA$26:$AA$38,0),MATCH(F$7,'OFPC Source'!$AB$25:$AM$25,0))</f>
        <v>20.978969915059139</v>
      </c>
      <c r="G31" s="102">
        <f>G84*INDEX('OFPC Source'!$AB$26:$AM$38,MATCH($A31,'OFPC Source'!$AA$26:$AA$38,0),MATCH(G$7,'OFPC Source'!$AB$25:$AM$25,0))</f>
        <v>20.2304305644473</v>
      </c>
      <c r="H31" s="103">
        <f>H84*INDEX('OFPC Source'!$AB$26:$AM$38,MATCH($A31,'OFPC Source'!$AA$26:$AA$38,0),MATCH(H$7,'OFPC Source'!$AB$25:$AM$25,0))</f>
        <v>26.787424028084082</v>
      </c>
      <c r="I31" s="103">
        <f>I84*INDEX('OFPC Source'!$AB$26:$AM$38,MATCH($A31,'OFPC Source'!$AA$26:$AA$38,0),MATCH(I$7,'OFPC Source'!$AB$25:$AM$25,0))</f>
        <v>29.205405139994095</v>
      </c>
      <c r="J31" s="104">
        <f>J84*INDEX('OFPC Source'!$AB$26:$AM$38,MATCH($A31,'OFPC Source'!$AA$26:$AA$38,0),MATCH(J$7,'OFPC Source'!$AB$25:$AM$25,0))</f>
        <v>28.10677776927756</v>
      </c>
      <c r="K31" s="102">
        <f>K84*INDEX('OFPC Source'!$AB$26:$AM$38,MATCH($A31,'OFPC Source'!$AA$26:$AA$38,0),MATCH(K$7,'OFPC Source'!$AB$25:$AM$25,0))</f>
        <v>25.690323157465262</v>
      </c>
      <c r="L31" s="103">
        <f>L84*INDEX('OFPC Source'!$AB$26:$AM$38,MATCH($A31,'OFPC Source'!$AA$26:$AA$38,0),MATCH(L$7,'OFPC Source'!$AB$25:$AM$25,0))</f>
        <v>26.245605191943774</v>
      </c>
      <c r="M31" s="104">
        <f>M84*INDEX('OFPC Source'!$AB$26:$AM$38,MATCH($A31,'OFPC Source'!$AA$26:$AA$38,0),MATCH(M$7,'OFPC Source'!$AB$25:$AM$25,0))</f>
        <v>28.459653468239082</v>
      </c>
      <c r="N31" s="246"/>
      <c r="O31" s="246"/>
      <c r="P31" s="246"/>
      <c r="Q31" s="449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</row>
    <row r="32" spans="1:30" ht="12.75" customHeight="1" x14ac:dyDescent="0.2">
      <c r="A32" s="101">
        <f t="shared" si="1"/>
        <v>2018</v>
      </c>
      <c r="B32" s="102">
        <f>B85*INDEX('OFPC Source'!$AB$26:$AM$38,MATCH($A32,'OFPC Source'!$AA$26:$AA$38,0),MATCH(B$7,'OFPC Source'!$AB$25:$AM$25,0))</f>
        <v>27.699585217378754</v>
      </c>
      <c r="C32" s="103">
        <f>C85*INDEX('OFPC Source'!$AB$26:$AM$38,MATCH($A32,'OFPC Source'!$AA$26:$AA$38,0),MATCH(C$7,'OFPC Source'!$AB$25:$AM$25,0))</f>
        <v>28.422210466552549</v>
      </c>
      <c r="D32" s="103">
        <f>D85*INDEX('OFPC Source'!$AB$26:$AM$38,MATCH($A32,'OFPC Source'!$AA$26:$AA$38,0),MATCH(D$7,'OFPC Source'!$AB$25:$AM$25,0))</f>
        <v>31.67985244880532</v>
      </c>
      <c r="E32" s="103">
        <f>E85*INDEX('OFPC Source'!$AB$26:$AM$38,MATCH($A32,'OFPC Source'!$AA$26:$AA$38,0),MATCH(E$7,'OFPC Source'!$AB$25:$AM$25,0))</f>
        <v>27.024759992950269</v>
      </c>
      <c r="F32" s="103">
        <f>F85*INDEX('OFPC Source'!$AB$26:$AM$38,MATCH($A32,'OFPC Source'!$AA$26:$AA$38,0),MATCH(F$7,'OFPC Source'!$AB$25:$AM$25,0))</f>
        <v>22.725890480546184</v>
      </c>
      <c r="G32" s="102">
        <f>G85*INDEX('OFPC Source'!$AB$26:$AM$38,MATCH($A32,'OFPC Source'!$AA$26:$AA$38,0),MATCH(G$7,'OFPC Source'!$AB$25:$AM$25,0))</f>
        <v>22.395410126189237</v>
      </c>
      <c r="H32" s="103">
        <f>H85*INDEX('OFPC Source'!$AB$26:$AM$38,MATCH($A32,'OFPC Source'!$AA$26:$AA$38,0),MATCH(H$7,'OFPC Source'!$AB$25:$AM$25,0))</f>
        <v>29.154303310531656</v>
      </c>
      <c r="I32" s="103">
        <f>I85*INDEX('OFPC Source'!$AB$26:$AM$38,MATCH($A32,'OFPC Source'!$AA$26:$AA$38,0),MATCH(I$7,'OFPC Source'!$AB$25:$AM$25,0))</f>
        <v>31.518996740994726</v>
      </c>
      <c r="J32" s="104">
        <f>J85*INDEX('OFPC Source'!$AB$26:$AM$38,MATCH($A32,'OFPC Source'!$AA$26:$AA$38,0),MATCH(J$7,'OFPC Source'!$AB$25:$AM$25,0))</f>
        <v>28.678484043174272</v>
      </c>
      <c r="K32" s="102">
        <f>K85*INDEX('OFPC Source'!$AB$26:$AM$38,MATCH($A32,'OFPC Source'!$AA$26:$AA$38,0),MATCH(K$7,'OFPC Source'!$AB$25:$AM$25,0))</f>
        <v>28.83687652321133</v>
      </c>
      <c r="L32" s="103">
        <f>L85*INDEX('OFPC Source'!$AB$26:$AM$38,MATCH($A32,'OFPC Source'!$AA$26:$AA$38,0),MATCH(L$7,'OFPC Source'!$AB$25:$AM$25,0))</f>
        <v>34.102484337111072</v>
      </c>
      <c r="M32" s="104">
        <f>M85*INDEX('OFPC Source'!$AB$26:$AM$38,MATCH($A32,'OFPC Source'!$AA$26:$AA$38,0),MATCH(M$7,'OFPC Source'!$AB$25:$AM$25,0))</f>
        <v>30.054292574180458</v>
      </c>
      <c r="N32" s="246"/>
      <c r="O32" s="246"/>
      <c r="P32" s="246"/>
      <c r="Q32" s="449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2.75" customHeight="1" x14ac:dyDescent="0.2">
      <c r="A33" s="101">
        <f t="shared" si="1"/>
        <v>2019</v>
      </c>
      <c r="B33" s="102">
        <f>B86*INDEX('OFPC Source'!$AB$26:$AM$38,MATCH($A33,'OFPC Source'!$AA$26:$AA$38,0),MATCH(B$7,'OFPC Source'!$AB$25:$AM$25,0))</f>
        <v>29.681804696107456</v>
      </c>
      <c r="C33" s="103">
        <f>C86*INDEX('OFPC Source'!$AB$26:$AM$38,MATCH($A33,'OFPC Source'!$AA$26:$AA$38,0),MATCH(C$7,'OFPC Source'!$AB$25:$AM$25,0))</f>
        <v>30.485944348024777</v>
      </c>
      <c r="D33" s="103">
        <f>D86*INDEX('OFPC Source'!$AB$26:$AM$38,MATCH($A33,'OFPC Source'!$AA$26:$AA$38,0),MATCH(D$7,'OFPC Source'!$AB$25:$AM$25,0))</f>
        <v>32.69307493145643</v>
      </c>
      <c r="E33" s="103">
        <f>E86*INDEX('OFPC Source'!$AB$26:$AM$38,MATCH($A33,'OFPC Source'!$AA$26:$AA$38,0),MATCH(E$7,'OFPC Source'!$AB$25:$AM$25,0))</f>
        <v>30.226449925540873</v>
      </c>
      <c r="F33" s="103">
        <f>F86*INDEX('OFPC Source'!$AB$26:$AM$38,MATCH($A33,'OFPC Source'!$AA$26:$AA$38,0),MATCH(F$7,'OFPC Source'!$AB$25:$AM$25,0))</f>
        <v>24.492838357120213</v>
      </c>
      <c r="G33" s="102">
        <f>G86*INDEX('OFPC Source'!$AB$26:$AM$38,MATCH($A33,'OFPC Source'!$AA$26:$AA$38,0),MATCH(G$7,'OFPC Source'!$AB$25:$AM$25,0))</f>
        <v>24.259631599508165</v>
      </c>
      <c r="H33" s="103">
        <f>H86*INDEX('OFPC Source'!$AB$26:$AM$38,MATCH($A33,'OFPC Source'!$AA$26:$AA$38,0),MATCH(H$7,'OFPC Source'!$AB$25:$AM$25,0))</f>
        <v>30.803859378396318</v>
      </c>
      <c r="I33" s="103">
        <f>I86*INDEX('OFPC Source'!$AB$26:$AM$38,MATCH($A33,'OFPC Source'!$AA$26:$AA$38,0),MATCH(I$7,'OFPC Source'!$AB$25:$AM$25,0))</f>
        <v>33.550025788751853</v>
      </c>
      <c r="J33" s="104">
        <f>J86*INDEX('OFPC Source'!$AB$26:$AM$38,MATCH($A33,'OFPC Source'!$AA$26:$AA$38,0),MATCH(J$7,'OFPC Source'!$AB$25:$AM$25,0))</f>
        <v>31.00944274064781</v>
      </c>
      <c r="K33" s="102">
        <f>K86*INDEX('OFPC Source'!$AB$26:$AM$38,MATCH($A33,'OFPC Source'!$AA$26:$AA$38,0),MATCH(K$7,'OFPC Source'!$AB$25:$AM$25,0))</f>
        <v>31.713142034682388</v>
      </c>
      <c r="L33" s="103">
        <f>L86*INDEX('OFPC Source'!$AB$26:$AM$38,MATCH($A33,'OFPC Source'!$AA$26:$AA$38,0),MATCH(L$7,'OFPC Source'!$AB$25:$AM$25,0))</f>
        <v>30.566951310466319</v>
      </c>
      <c r="M33" s="104">
        <f>M86*INDEX('OFPC Source'!$AB$26:$AM$38,MATCH($A33,'OFPC Source'!$AA$26:$AA$38,0),MATCH(M$7,'OFPC Source'!$AB$25:$AM$25,0))</f>
        <v>32.593183932917533</v>
      </c>
      <c r="N33" s="246"/>
      <c r="O33" s="246"/>
      <c r="P33" s="246"/>
      <c r="Q33" s="449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2.75" customHeight="1" x14ac:dyDescent="0.2">
      <c r="A34" s="101">
        <f t="shared" si="1"/>
        <v>2020</v>
      </c>
      <c r="B34" s="102">
        <f>B87*INDEX('OFPC Source'!$AB$26:$AM$38,MATCH($A34,'OFPC Source'!$AA$26:$AA$38,0),MATCH(B$7,'OFPC Source'!$AB$25:$AM$25,0))</f>
        <v>34.286585125366081</v>
      </c>
      <c r="C34" s="103">
        <f>C87*INDEX('OFPC Source'!$AB$26:$AM$38,MATCH($A34,'OFPC Source'!$AA$26:$AA$38,0),MATCH(C$7,'OFPC Source'!$AB$25:$AM$25,0))</f>
        <v>32.549753819440113</v>
      </c>
      <c r="D34" s="103">
        <f>D87*INDEX('OFPC Source'!$AB$26:$AM$38,MATCH($A34,'OFPC Source'!$AA$26:$AA$38,0),MATCH(D$7,'OFPC Source'!$AB$25:$AM$25,0))</f>
        <v>34.123904395401205</v>
      </c>
      <c r="E34" s="103">
        <f>E87*INDEX('OFPC Source'!$AB$26:$AM$38,MATCH($A34,'OFPC Source'!$AA$26:$AA$38,0),MATCH(E$7,'OFPC Source'!$AB$25:$AM$25,0))</f>
        <v>32.796749138342804</v>
      </c>
      <c r="F34" s="103">
        <f>F87*INDEX('OFPC Source'!$AB$26:$AM$38,MATCH($A34,'OFPC Source'!$AA$26:$AA$38,0),MATCH(F$7,'OFPC Source'!$AB$25:$AM$25,0))</f>
        <v>30.639546820323609</v>
      </c>
      <c r="G34" s="102">
        <f>G87*INDEX('OFPC Source'!$AB$26:$AM$38,MATCH($A34,'OFPC Source'!$AA$26:$AA$38,0),MATCH(G$7,'OFPC Source'!$AB$25:$AM$25,0))</f>
        <v>32.26902832233317</v>
      </c>
      <c r="H34" s="103">
        <f>H87*INDEX('OFPC Source'!$AB$26:$AM$38,MATCH($A34,'OFPC Source'!$AA$26:$AA$38,0),MATCH(H$7,'OFPC Source'!$AB$25:$AM$25,0))</f>
        <v>39.298962694037385</v>
      </c>
      <c r="I34" s="103">
        <f>I87*INDEX('OFPC Source'!$AB$26:$AM$38,MATCH($A34,'OFPC Source'!$AA$26:$AA$38,0),MATCH(I$7,'OFPC Source'!$AB$25:$AM$25,0))</f>
        <v>39.592094425975205</v>
      </c>
      <c r="J34" s="104">
        <f>J87*INDEX('OFPC Source'!$AB$26:$AM$38,MATCH($A34,'OFPC Source'!$AA$26:$AA$38,0),MATCH(J$7,'OFPC Source'!$AB$25:$AM$25,0))</f>
        <v>37.024259210702617</v>
      </c>
      <c r="K34" s="102">
        <f>K87*INDEX('OFPC Source'!$AB$26:$AM$38,MATCH($A34,'OFPC Source'!$AA$26:$AA$38,0),MATCH(K$7,'OFPC Source'!$AB$25:$AM$25,0))</f>
        <v>34.607002977040921</v>
      </c>
      <c r="L34" s="103">
        <f>L87*INDEX('OFPC Source'!$AB$26:$AM$38,MATCH($A34,'OFPC Source'!$AA$26:$AA$38,0),MATCH(L$7,'OFPC Source'!$AB$25:$AM$25,0))</f>
        <v>35.164021089896025</v>
      </c>
      <c r="M34" s="104">
        <f>M87*INDEX('OFPC Source'!$AB$26:$AM$38,MATCH($A34,'OFPC Source'!$AA$26:$AA$38,0),MATCH(M$7,'OFPC Source'!$AB$25:$AM$25,0))</f>
        <v>35.141789476269054</v>
      </c>
      <c r="N34" s="246"/>
      <c r="O34" s="246"/>
      <c r="P34" s="246"/>
      <c r="Q34" s="449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12.75" customHeight="1" x14ac:dyDescent="0.2">
      <c r="A35" s="101">
        <f t="shared" si="1"/>
        <v>2021</v>
      </c>
      <c r="B35" s="102">
        <f>B88*INDEX('OFPC Source'!$AB$26:$AM$38,MATCH($A35,'OFPC Source'!$AA$26:$AA$38,0),MATCH(B$7,'OFPC Source'!$AB$25:$AM$25,0))</f>
        <v>37.321769392877421</v>
      </c>
      <c r="C35" s="103">
        <f>C88*INDEX('OFPC Source'!$AB$26:$AM$38,MATCH($A35,'OFPC Source'!$AA$26:$AA$38,0),MATCH(C$7,'OFPC Source'!$AB$25:$AM$25,0))</f>
        <v>39.118709545079824</v>
      </c>
      <c r="D35" s="103">
        <f>D88*INDEX('OFPC Source'!$AB$26:$AM$38,MATCH($A35,'OFPC Source'!$AA$26:$AA$38,0),MATCH(D$7,'OFPC Source'!$AB$25:$AM$25,0))</f>
        <v>37.78699265611494</v>
      </c>
      <c r="E35" s="103">
        <f>E88*INDEX('OFPC Source'!$AB$26:$AM$38,MATCH($A35,'OFPC Source'!$AA$26:$AA$38,0),MATCH(E$7,'OFPC Source'!$AB$25:$AM$25,0))</f>
        <v>36.2805777338097</v>
      </c>
      <c r="F35" s="103">
        <f>F88*INDEX('OFPC Source'!$AB$26:$AM$38,MATCH($A35,'OFPC Source'!$AA$26:$AA$38,0),MATCH(F$7,'OFPC Source'!$AB$25:$AM$25,0))</f>
        <v>36.490114686978764</v>
      </c>
      <c r="G35" s="102">
        <f>G88*INDEX('OFPC Source'!$AB$26:$AM$38,MATCH($A35,'OFPC Source'!$AA$26:$AA$38,0),MATCH(G$7,'OFPC Source'!$AB$25:$AM$25,0))</f>
        <v>37.596426862051686</v>
      </c>
      <c r="H35" s="103">
        <f>H88*INDEX('OFPC Source'!$AB$26:$AM$38,MATCH($A35,'OFPC Source'!$AA$26:$AA$38,0),MATCH(H$7,'OFPC Source'!$AB$25:$AM$25,0))</f>
        <v>43.180284598639773</v>
      </c>
      <c r="I35" s="103">
        <f>I88*INDEX('OFPC Source'!$AB$26:$AM$38,MATCH($A35,'OFPC Source'!$AA$26:$AA$38,0),MATCH(I$7,'OFPC Source'!$AB$25:$AM$25,0))</f>
        <v>43.700683022590958</v>
      </c>
      <c r="J35" s="104">
        <f>J88*INDEX('OFPC Source'!$AB$26:$AM$38,MATCH($A35,'OFPC Source'!$AA$26:$AA$38,0),MATCH(J$7,'OFPC Source'!$AB$25:$AM$25,0))</f>
        <v>41.460195667108088</v>
      </c>
      <c r="K35" s="102">
        <f>K88*INDEX('OFPC Source'!$AB$26:$AM$38,MATCH($A35,'OFPC Source'!$AA$26:$AA$38,0),MATCH(K$7,'OFPC Source'!$AB$25:$AM$25,0))</f>
        <v>40.279872268049139</v>
      </c>
      <c r="L35" s="103">
        <f>L88*INDEX('OFPC Source'!$AB$26:$AM$38,MATCH($A35,'OFPC Source'!$AA$26:$AA$38,0),MATCH(L$7,'OFPC Source'!$AB$25:$AM$25,0))</f>
        <v>43.39237099887103</v>
      </c>
      <c r="M35" s="104">
        <f>M88*INDEX('OFPC Source'!$AB$26:$AM$38,MATCH($A35,'OFPC Source'!$AA$26:$AA$38,0),MATCH(M$7,'OFPC Source'!$AB$25:$AM$25,0))</f>
        <v>44.118227228028474</v>
      </c>
      <c r="N35" s="246"/>
      <c r="O35" s="246"/>
      <c r="P35" s="246"/>
      <c r="Q35" s="449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2.75" customHeight="1" x14ac:dyDescent="0.2">
      <c r="A36" s="101">
        <f t="shared" si="1"/>
        <v>2022</v>
      </c>
      <c r="B36" s="102">
        <f>B89*INDEX('OFPC Source'!$AB$26:$AM$38,MATCH($A36,'OFPC Source'!$AA$26:$AA$38,0),MATCH(B$7,'OFPC Source'!$AB$25:$AM$25,0))</f>
        <v>41.840636437662283</v>
      </c>
      <c r="C36" s="103">
        <f>C89*INDEX('OFPC Source'!$AB$26:$AM$38,MATCH($A36,'OFPC Source'!$AA$26:$AA$38,0),MATCH(C$7,'OFPC Source'!$AB$25:$AM$25,0))</f>
        <v>41.39438983184268</v>
      </c>
      <c r="D36" s="103">
        <f>D89*INDEX('OFPC Source'!$AB$26:$AM$38,MATCH($A36,'OFPC Source'!$AA$26:$AA$38,0),MATCH(D$7,'OFPC Source'!$AB$25:$AM$25,0))</f>
        <v>41.439171770368262</v>
      </c>
      <c r="E36" s="103">
        <f>E89*INDEX('OFPC Source'!$AB$26:$AM$38,MATCH($A36,'OFPC Source'!$AA$26:$AA$38,0),MATCH(E$7,'OFPC Source'!$AB$25:$AM$25,0))</f>
        <v>37.963731637167442</v>
      </c>
      <c r="F36" s="103">
        <f>F89*INDEX('OFPC Source'!$AB$26:$AM$38,MATCH($A36,'OFPC Source'!$AA$26:$AA$38,0),MATCH(F$7,'OFPC Source'!$AB$25:$AM$25,0))</f>
        <v>37.601437483704039</v>
      </c>
      <c r="G36" s="102">
        <f>G89*INDEX('OFPC Source'!$AB$26:$AM$38,MATCH($A36,'OFPC Source'!$AA$26:$AA$38,0),MATCH(G$7,'OFPC Source'!$AB$25:$AM$25,0))</f>
        <v>39.174649976742785</v>
      </c>
      <c r="H36" s="103">
        <f>H89*INDEX('OFPC Source'!$AB$26:$AM$38,MATCH($A36,'OFPC Source'!$AA$26:$AA$38,0),MATCH(H$7,'OFPC Source'!$AB$25:$AM$25,0))</f>
        <v>44.646493805510431</v>
      </c>
      <c r="I36" s="103">
        <f>I89*INDEX('OFPC Source'!$AB$26:$AM$38,MATCH($A36,'OFPC Source'!$AA$26:$AA$38,0),MATCH(I$7,'OFPC Source'!$AB$25:$AM$25,0))</f>
        <v>43.731593390941413</v>
      </c>
      <c r="J36" s="104">
        <f>J89*INDEX('OFPC Source'!$AB$26:$AM$38,MATCH($A36,'OFPC Source'!$AA$26:$AA$38,0),MATCH(J$7,'OFPC Source'!$AB$25:$AM$25,0))</f>
        <v>41.497797778561846</v>
      </c>
      <c r="K36" s="102">
        <f>K89*INDEX('OFPC Source'!$AB$26:$AM$38,MATCH($A36,'OFPC Source'!$AA$26:$AA$38,0),MATCH(K$7,'OFPC Source'!$AB$25:$AM$25,0))</f>
        <v>40.762553587826119</v>
      </c>
      <c r="L36" s="103">
        <f>L89*INDEX('OFPC Source'!$AB$26:$AM$38,MATCH($A36,'OFPC Source'!$AA$26:$AA$38,0),MATCH(L$7,'OFPC Source'!$AB$25:$AM$25,0))</f>
        <v>41.575442171446674</v>
      </c>
      <c r="M36" s="104">
        <f>M89*INDEX('OFPC Source'!$AB$26:$AM$38,MATCH($A36,'OFPC Source'!$AA$26:$AA$38,0),MATCH(M$7,'OFPC Source'!$AB$25:$AM$25,0))</f>
        <v>43.973211253807179</v>
      </c>
      <c r="N36" s="246"/>
      <c r="O36" s="246"/>
      <c r="P36" s="246"/>
      <c r="Q36" s="449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2.75" customHeight="1" x14ac:dyDescent="0.2">
      <c r="A37" s="101">
        <f t="shared" si="1"/>
        <v>2023</v>
      </c>
      <c r="B37" s="102">
        <f>B90*INDEX('OFPC Source'!$AB$26:$AM$38,MATCH($A37,'OFPC Source'!$AA$26:$AA$38,0),MATCH(B$7,'OFPC Source'!$AB$25:$AM$25,0))</f>
        <v>43.076611033749636</v>
      </c>
      <c r="C37" s="103">
        <f>C90*INDEX('OFPC Source'!$AB$26:$AM$38,MATCH($A37,'OFPC Source'!$AA$26:$AA$38,0),MATCH(C$7,'OFPC Source'!$AB$25:$AM$25,0))</f>
        <v>42.746101302206903</v>
      </c>
      <c r="D37" s="103">
        <f>D90*INDEX('OFPC Source'!$AB$26:$AM$38,MATCH($A37,'OFPC Source'!$AA$26:$AA$38,0),MATCH(D$7,'OFPC Source'!$AB$25:$AM$25,0))</f>
        <v>42.4956249255427</v>
      </c>
      <c r="E37" s="103">
        <f>E90*INDEX('OFPC Source'!$AB$26:$AM$38,MATCH($A37,'OFPC Source'!$AA$26:$AA$38,0),MATCH(E$7,'OFPC Source'!$AB$25:$AM$25,0))</f>
        <v>40.70305295903173</v>
      </c>
      <c r="F37" s="103">
        <f>F90*INDEX('OFPC Source'!$AB$26:$AM$38,MATCH($A37,'OFPC Source'!$AA$26:$AA$38,0),MATCH(F$7,'OFPC Source'!$AB$25:$AM$25,0))</f>
        <v>38.858984022371629</v>
      </c>
      <c r="G37" s="102">
        <f>G90*INDEX('OFPC Source'!$AB$26:$AM$38,MATCH($A37,'OFPC Source'!$AA$26:$AA$38,0),MATCH(G$7,'OFPC Source'!$AB$25:$AM$25,0))</f>
        <v>39.766071014007956</v>
      </c>
      <c r="H37" s="103">
        <f>H90*INDEX('OFPC Source'!$AB$26:$AM$38,MATCH($A37,'OFPC Source'!$AA$26:$AA$38,0),MATCH(H$7,'OFPC Source'!$AB$25:$AM$25,0))</f>
        <v>45.758597142143046</v>
      </c>
      <c r="I37" s="103">
        <f>I90*INDEX('OFPC Source'!$AB$26:$AM$38,MATCH($A37,'OFPC Source'!$AA$26:$AA$38,0),MATCH(I$7,'OFPC Source'!$AB$25:$AM$25,0))</f>
        <v>45.051005485256567</v>
      </c>
      <c r="J37" s="104">
        <f>J90*INDEX('OFPC Source'!$AB$26:$AM$38,MATCH($A37,'OFPC Source'!$AA$26:$AA$38,0),MATCH(J$7,'OFPC Source'!$AB$25:$AM$25,0))</f>
        <v>41.902971397235156</v>
      </c>
      <c r="K37" s="102">
        <f>K90*INDEX('OFPC Source'!$AB$26:$AM$38,MATCH($A37,'OFPC Source'!$AA$26:$AA$38,0),MATCH(K$7,'OFPC Source'!$AB$25:$AM$25,0))</f>
        <v>42.189303169175922</v>
      </c>
      <c r="L37" s="103">
        <f>L90*INDEX('OFPC Source'!$AB$26:$AM$38,MATCH($A37,'OFPC Source'!$AA$26:$AA$38,0),MATCH(L$7,'OFPC Source'!$AB$25:$AM$25,0))</f>
        <v>44.359032819577806</v>
      </c>
      <c r="M37" s="104">
        <f>M90*INDEX('OFPC Source'!$AB$26:$AM$38,MATCH($A37,'OFPC Source'!$AA$26:$AA$38,0),MATCH(M$7,'OFPC Source'!$AB$25:$AM$25,0))</f>
        <v>46.862934302116827</v>
      </c>
      <c r="N37" s="246"/>
      <c r="O37" s="246"/>
      <c r="P37" s="246"/>
      <c r="Q37" s="449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12.75" customHeight="1" x14ac:dyDescent="0.2">
      <c r="A38" s="101">
        <f t="shared" si="1"/>
        <v>2024</v>
      </c>
      <c r="B38" s="102">
        <f>B91*INDEX('OFPC Source'!$AB$26:$AM$38,MATCH($A38,'OFPC Source'!$AA$26:$AA$38,0),MATCH(B$7,'OFPC Source'!$AB$25:$AM$25,0))</f>
        <v>45.465527479269738</v>
      </c>
      <c r="C38" s="103">
        <f>C91*INDEX('OFPC Source'!$AB$26:$AM$38,MATCH($A38,'OFPC Source'!$AA$26:$AA$38,0),MATCH(C$7,'OFPC Source'!$AB$25:$AM$25,0))</f>
        <v>45.330227095945006</v>
      </c>
      <c r="D38" s="103">
        <f>D91*INDEX('OFPC Source'!$AB$26:$AM$38,MATCH($A38,'OFPC Source'!$AA$26:$AA$38,0),MATCH(D$7,'OFPC Source'!$AB$25:$AM$25,0))</f>
        <v>44.779759588936706</v>
      </c>
      <c r="E38" s="103">
        <f>E91*INDEX('OFPC Source'!$AB$26:$AM$38,MATCH($A38,'OFPC Source'!$AA$26:$AA$38,0),MATCH(E$7,'OFPC Source'!$AB$25:$AM$25,0))</f>
        <v>41.525256781834074</v>
      </c>
      <c r="F38" s="103">
        <f>F91*INDEX('OFPC Source'!$AB$26:$AM$38,MATCH($A38,'OFPC Source'!$AA$26:$AA$38,0),MATCH(F$7,'OFPC Source'!$AB$25:$AM$25,0))</f>
        <v>40.012965569096721</v>
      </c>
      <c r="G38" s="102">
        <f>G91*INDEX('OFPC Source'!$AB$26:$AM$38,MATCH($A38,'OFPC Source'!$AA$26:$AA$38,0),MATCH(G$7,'OFPC Source'!$AB$25:$AM$25,0))</f>
        <v>41.697101000313424</v>
      </c>
      <c r="H38" s="103">
        <f>H91*INDEX('OFPC Source'!$AB$26:$AM$38,MATCH($A38,'OFPC Source'!$AA$26:$AA$38,0),MATCH(H$7,'OFPC Source'!$AB$25:$AM$25,0))</f>
        <v>47.746735958265852</v>
      </c>
      <c r="I38" s="103">
        <f>I91*INDEX('OFPC Source'!$AB$26:$AM$38,MATCH($A38,'OFPC Source'!$AA$26:$AA$38,0),MATCH(I$7,'OFPC Source'!$AB$25:$AM$25,0))</f>
        <v>48.304668700382003</v>
      </c>
      <c r="J38" s="103">
        <f>J91*INDEX('OFPC Source'!$AB$26:$AM$38,MATCH($A38,'OFPC Source'!$AA$26:$AA$38,0),MATCH(J$7,'OFPC Source'!$AB$25:$AM$25,0))</f>
        <v>43.474563164716116</v>
      </c>
      <c r="K38" s="102">
        <f>K91*INDEX('OFPC Source'!$AB$26:$AM$38,MATCH($A38,'OFPC Source'!$AA$26:$AA$38,0),MATCH(K$7,'OFPC Source'!$AB$25:$AM$25,0))</f>
        <v>44.890862922296556</v>
      </c>
      <c r="L38" s="103">
        <f>L91*INDEX('OFPC Source'!$AB$26:$AM$38,MATCH($A38,'OFPC Source'!$AA$26:$AA$38,0),MATCH(L$7,'OFPC Source'!$AB$25:$AM$25,0))</f>
        <v>45.667895571558056</v>
      </c>
      <c r="M38" s="104">
        <f>M91*INDEX('OFPC Source'!$AB$26:$AM$38,MATCH($A38,'OFPC Source'!$AA$26:$AA$38,0),MATCH(M$7,'OFPC Source'!$AB$25:$AM$25,0))</f>
        <v>47.369763169762777</v>
      </c>
      <c r="N38" s="246"/>
      <c r="O38" s="247"/>
      <c r="P38" s="247"/>
      <c r="Q38" s="450"/>
      <c r="R38" s="247"/>
      <c r="S38" s="247"/>
      <c r="T38" s="247"/>
      <c r="U38" s="247"/>
      <c r="V38" s="247"/>
      <c r="W38" s="247"/>
      <c r="X38" s="247"/>
      <c r="Y38" s="247"/>
      <c r="Z38" s="247"/>
    </row>
    <row r="39" spans="1:26" ht="12.75" customHeight="1" x14ac:dyDescent="0.2">
      <c r="A39" s="101">
        <f t="shared" si="1"/>
        <v>2025</v>
      </c>
      <c r="B39" s="102">
        <f>B92*INDEX('OFPC Source'!$AB$26:$AM$38,MATCH($A39,'OFPC Source'!$AA$26:$AA$38,0),MATCH(B$7,'OFPC Source'!$AB$25:$AM$25,0))</f>
        <v>48.581462028474874</v>
      </c>
      <c r="C39" s="103">
        <f>C92*INDEX('OFPC Source'!$AB$26:$AM$38,MATCH($A39,'OFPC Source'!$AA$26:$AA$38,0),MATCH(C$7,'OFPC Source'!$AB$25:$AM$25,0))</f>
        <v>47.814577189443177</v>
      </c>
      <c r="D39" s="103">
        <f>D92*INDEX('OFPC Source'!$AB$26:$AM$38,MATCH($A39,'OFPC Source'!$AA$26:$AA$38,0),MATCH(D$7,'OFPC Source'!$AB$25:$AM$25,0))</f>
        <v>46.130877912568259</v>
      </c>
      <c r="E39" s="103">
        <f>E92*INDEX('OFPC Source'!$AB$26:$AM$38,MATCH($A39,'OFPC Source'!$AA$26:$AA$38,0),MATCH(E$7,'OFPC Source'!$AB$25:$AM$25,0))</f>
        <v>43.001780628409634</v>
      </c>
      <c r="F39" s="103">
        <f>F92*INDEX('OFPC Source'!$AB$26:$AM$38,MATCH($A39,'OFPC Source'!$AA$26:$AA$38,0),MATCH(F$7,'OFPC Source'!$AB$25:$AM$25,0))</f>
        <v>42.311050125154715</v>
      </c>
      <c r="G39" s="102">
        <f>G92*INDEX('OFPC Source'!$AB$26:$AM$38,MATCH($A39,'OFPC Source'!$AA$26:$AA$38,0),MATCH(G$7,'OFPC Source'!$AB$25:$AM$25,0))</f>
        <v>43.941402852437598</v>
      </c>
      <c r="H39" s="103">
        <f>H92*INDEX('OFPC Source'!$AB$26:$AM$38,MATCH($A39,'OFPC Source'!$AA$26:$AA$38,0),MATCH(H$7,'OFPC Source'!$AB$25:$AM$25,0))</f>
        <v>50.186205635693668</v>
      </c>
      <c r="I39" s="103">
        <f>I92*INDEX('OFPC Source'!$AB$26:$AM$38,MATCH($A39,'OFPC Source'!$AA$26:$AA$38,0),MATCH(I$7,'OFPC Source'!$AB$25:$AM$25,0))</f>
        <v>51.513094465890298</v>
      </c>
      <c r="J39" s="103">
        <f>J92*INDEX('OFPC Source'!$AB$26:$AM$38,MATCH($A39,'OFPC Source'!$AA$26:$AA$38,0),MATCH(J$7,'OFPC Source'!$AB$25:$AM$25,0))</f>
        <v>46.60524915515748</v>
      </c>
      <c r="K39" s="102">
        <f>K92*INDEX('OFPC Source'!$AB$26:$AM$38,MATCH($A39,'OFPC Source'!$AA$26:$AA$38,0),MATCH(K$7,'OFPC Source'!$AB$25:$AM$25,0))</f>
        <v>46.427358406849493</v>
      </c>
      <c r="L39" s="103">
        <f>L92*INDEX('OFPC Source'!$AB$26:$AM$38,MATCH($A39,'OFPC Source'!$AA$26:$AA$38,0),MATCH(L$7,'OFPC Source'!$AB$25:$AM$25,0))</f>
        <v>47.859155742657414</v>
      </c>
      <c r="M39" s="104">
        <f>M92*INDEX('OFPC Source'!$AB$26:$AM$38,MATCH($A39,'OFPC Source'!$AA$26:$AA$38,0),MATCH(M$7,'OFPC Source'!$AB$25:$AM$25,0))</f>
        <v>49.469260161613178</v>
      </c>
      <c r="N39" s="246"/>
    </row>
    <row r="40" spans="1:26" ht="12.75" customHeight="1" x14ac:dyDescent="0.2">
      <c r="A40" s="101">
        <f t="shared" si="1"/>
        <v>2026</v>
      </c>
      <c r="B40" s="102">
        <f>B93*INDEX('OFPC Source'!$AB$26:$AM$38,MATCH($A40,'OFPC Source'!$AA$26:$AA$38,0),MATCH(B$7,'OFPC Source'!$AB$25:$AM$25,0))</f>
        <v>50.500767737332225</v>
      </c>
      <c r="C40" s="103">
        <f>C93*INDEX('OFPC Source'!$AB$26:$AM$38,MATCH($A40,'OFPC Source'!$AA$26:$AA$38,0),MATCH(C$7,'OFPC Source'!$AB$25:$AM$25,0))</f>
        <v>49.917617898578314</v>
      </c>
      <c r="D40" s="103">
        <f>D93*INDEX('OFPC Source'!$AB$26:$AM$38,MATCH($A40,'OFPC Source'!$AA$26:$AA$38,0),MATCH(D$7,'OFPC Source'!$AB$25:$AM$25,0))</f>
        <v>47.784597628881144</v>
      </c>
      <c r="E40" s="103">
        <f>E93*INDEX('OFPC Source'!$AB$26:$AM$38,MATCH($A40,'OFPC Source'!$AA$26:$AA$38,0),MATCH(E$7,'OFPC Source'!$AB$25:$AM$25,0))</f>
        <v>46.302874650006103</v>
      </c>
      <c r="F40" s="103">
        <f>F93*INDEX('OFPC Source'!$AB$26:$AM$38,MATCH($A40,'OFPC Source'!$AA$26:$AA$38,0),MATCH(F$7,'OFPC Source'!$AB$25:$AM$25,0))</f>
        <v>44.009012147464269</v>
      </c>
      <c r="G40" s="102">
        <f>G93*INDEX('OFPC Source'!$AB$26:$AM$38,MATCH($A40,'OFPC Source'!$AA$26:$AA$38,0),MATCH(G$7,'OFPC Source'!$AB$25:$AM$25,0))</f>
        <v>46.188979889042976</v>
      </c>
      <c r="H40" s="103">
        <f>H93*INDEX('OFPC Source'!$AB$26:$AM$38,MATCH($A40,'OFPC Source'!$AA$26:$AA$38,0),MATCH(H$7,'OFPC Source'!$AB$25:$AM$25,0))</f>
        <v>52.372610604082304</v>
      </c>
      <c r="I40" s="103">
        <f>I93*INDEX('OFPC Source'!$AB$26:$AM$38,MATCH($A40,'OFPC Source'!$AA$26:$AA$38,0),MATCH(I$7,'OFPC Source'!$AB$25:$AM$25,0))</f>
        <v>54.02669083119774</v>
      </c>
      <c r="J40" s="103">
        <f>J93*INDEX('OFPC Source'!$AB$26:$AM$38,MATCH($A40,'OFPC Source'!$AA$26:$AA$38,0),MATCH(J$7,'OFPC Source'!$AB$25:$AM$25,0))</f>
        <v>49.604431152079385</v>
      </c>
      <c r="K40" s="102">
        <f>K93*INDEX('OFPC Source'!$AB$26:$AM$38,MATCH($A40,'OFPC Source'!$AA$26:$AA$38,0),MATCH(K$7,'OFPC Source'!$AB$25:$AM$25,0))</f>
        <v>47.995286837972124</v>
      </c>
      <c r="L40" s="103">
        <f>L93*INDEX('OFPC Source'!$AB$26:$AM$38,MATCH($A40,'OFPC Source'!$AA$26:$AA$38,0),MATCH(L$7,'OFPC Source'!$AB$25:$AM$25,0))</f>
        <v>49.77472588021427</v>
      </c>
      <c r="M40" s="104">
        <f>M93*INDEX('OFPC Source'!$AB$26:$AM$38,MATCH($A40,'OFPC Source'!$AA$26:$AA$38,0),MATCH(M$7,'OFPC Source'!$AB$25:$AM$25,0))</f>
        <v>52.155628265063363</v>
      </c>
      <c r="N40" s="246"/>
    </row>
    <row r="41" spans="1:26" ht="12.75" hidden="1" customHeight="1" x14ac:dyDescent="0.2">
      <c r="A41" s="101"/>
      <c r="B41" s="102"/>
      <c r="C41" s="103"/>
      <c r="D41" s="103"/>
      <c r="E41" s="103"/>
      <c r="F41" s="103"/>
      <c r="G41" s="102"/>
      <c r="H41" s="103"/>
      <c r="I41" s="103"/>
      <c r="J41" s="103"/>
      <c r="K41" s="102"/>
      <c r="L41" s="103"/>
      <c r="M41" s="104"/>
    </row>
    <row r="42" spans="1:26" ht="12.75" hidden="1" customHeight="1" x14ac:dyDescent="0.2">
      <c r="A42" s="101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26" ht="12.75" hidden="1" customHeight="1" x14ac:dyDescent="0.2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26" ht="12.75" customHeight="1" x14ac:dyDescent="0.2">
      <c r="A44" s="218"/>
      <c r="B44" s="216"/>
      <c r="C44" s="216"/>
      <c r="D44" s="216"/>
      <c r="E44" s="216"/>
      <c r="F44" s="215"/>
      <c r="G44" s="215"/>
      <c r="H44" s="215"/>
      <c r="I44" s="215"/>
      <c r="J44" s="217"/>
      <c r="K44" s="215"/>
      <c r="L44" s="215"/>
      <c r="M44" s="215"/>
    </row>
    <row r="45" spans="1:26" ht="12.75" customHeight="1" x14ac:dyDescent="0.2">
      <c r="A45" s="13" t="s">
        <v>316</v>
      </c>
      <c r="C45" s="88"/>
      <c r="D45" s="88"/>
      <c r="E45" s="88"/>
      <c r="G45" s="88"/>
      <c r="H45" s="88"/>
      <c r="I45" s="88"/>
      <c r="J45" s="96"/>
      <c r="L45" s="88"/>
      <c r="M45" s="70"/>
    </row>
    <row r="46" spans="1:26" ht="12.75" customHeight="1" x14ac:dyDescent="0.2">
      <c r="A46" s="97">
        <f>'Tables 3 to 6'!$B$13</f>
        <v>2014</v>
      </c>
      <c r="B46" s="98"/>
      <c r="C46" s="99"/>
      <c r="D46" s="99"/>
      <c r="E46" s="99"/>
      <c r="F46" s="99"/>
      <c r="G46" s="98"/>
      <c r="H46" s="99">
        <f>H10*0.56+H28*0.44</f>
        <v>30.311249232216433</v>
      </c>
      <c r="I46" s="99">
        <f t="shared" ref="I46:M46" si="2">I10*0.56+I28*0.44</f>
        <v>38.509450853829577</v>
      </c>
      <c r="J46" s="99">
        <f t="shared" si="2"/>
        <v>29.155470895157951</v>
      </c>
      <c r="K46" s="98">
        <f t="shared" si="2"/>
        <v>26.819688490554196</v>
      </c>
      <c r="L46" s="99">
        <f t="shared" si="2"/>
        <v>30.414334456274634</v>
      </c>
      <c r="M46" s="100">
        <f t="shared" si="2"/>
        <v>27.045762000653724</v>
      </c>
    </row>
    <row r="47" spans="1:26" ht="12.75" customHeight="1" x14ac:dyDescent="0.2">
      <c r="A47" s="101">
        <f t="shared" ref="A47:A58" si="3">A46+1</f>
        <v>2015</v>
      </c>
      <c r="B47" s="102">
        <f>B11*0.56+B29*0.44</f>
        <v>35.944575445621169</v>
      </c>
      <c r="C47" s="103">
        <f t="shared" ref="C47:M47" si="4">C11*0.56+C29*0.44</f>
        <v>36.286740251443803</v>
      </c>
      <c r="D47" s="103">
        <f t="shared" si="4"/>
        <v>42.072052187985932</v>
      </c>
      <c r="E47" s="103">
        <f t="shared" si="4"/>
        <v>26.945999532939478</v>
      </c>
      <c r="F47" s="103">
        <f t="shared" si="4"/>
        <v>24.742845674648628</v>
      </c>
      <c r="G47" s="102">
        <f t="shared" si="4"/>
        <v>26.184421091267517</v>
      </c>
      <c r="H47" s="103">
        <f t="shared" si="4"/>
        <v>34.373174254570827</v>
      </c>
      <c r="I47" s="103">
        <f t="shared" si="4"/>
        <v>36.661542100275554</v>
      </c>
      <c r="J47" s="103">
        <f t="shared" si="4"/>
        <v>31.972173684811992</v>
      </c>
      <c r="K47" s="102">
        <f t="shared" si="4"/>
        <v>29.026050937689803</v>
      </c>
      <c r="L47" s="103">
        <f t="shared" si="4"/>
        <v>31.311918961642128</v>
      </c>
      <c r="M47" s="104">
        <f t="shared" si="4"/>
        <v>36.060291072945915</v>
      </c>
    </row>
    <row r="48" spans="1:26" ht="12.75" customHeight="1" x14ac:dyDescent="0.2">
      <c r="A48" s="101">
        <f t="shared" si="3"/>
        <v>2016</v>
      </c>
      <c r="B48" s="102">
        <f t="shared" ref="B48:M48" si="5">B12*0.56+B30*0.44</f>
        <v>30.659485913954352</v>
      </c>
      <c r="C48" s="103">
        <f t="shared" si="5"/>
        <v>33.209719343068983</v>
      </c>
      <c r="D48" s="103">
        <f t="shared" si="5"/>
        <v>34.643691002924854</v>
      </c>
      <c r="E48" s="103">
        <f t="shared" si="5"/>
        <v>28.131004848628383</v>
      </c>
      <c r="F48" s="103">
        <f t="shared" si="5"/>
        <v>24.985349548005736</v>
      </c>
      <c r="G48" s="102">
        <f t="shared" si="5"/>
        <v>24.623731255978377</v>
      </c>
      <c r="H48" s="103">
        <f t="shared" si="5"/>
        <v>33.52761078838747</v>
      </c>
      <c r="I48" s="103">
        <f t="shared" si="5"/>
        <v>36.083971916161474</v>
      </c>
      <c r="J48" s="103">
        <f t="shared" si="5"/>
        <v>30.206149234297364</v>
      </c>
      <c r="K48" s="102">
        <f t="shared" si="5"/>
        <v>28.894678739021767</v>
      </c>
      <c r="L48" s="103">
        <f t="shared" si="5"/>
        <v>25.117460803536545</v>
      </c>
      <c r="M48" s="104">
        <f t="shared" si="5"/>
        <v>32.444296246113055</v>
      </c>
    </row>
    <row r="49" spans="1:13" ht="12.75" customHeight="1" x14ac:dyDescent="0.2">
      <c r="A49" s="101">
        <f t="shared" si="3"/>
        <v>2017</v>
      </c>
      <c r="B49" s="102">
        <f t="shared" ref="B49:M49" si="6">B13*0.56+B31*0.44</f>
        <v>30.011974515272737</v>
      </c>
      <c r="C49" s="103">
        <f t="shared" si="6"/>
        <v>33.185567538882736</v>
      </c>
      <c r="D49" s="103">
        <f t="shared" si="6"/>
        <v>34.167658458180043</v>
      </c>
      <c r="E49" s="103">
        <f t="shared" si="6"/>
        <v>28.080954689121405</v>
      </c>
      <c r="F49" s="103">
        <f t="shared" si="6"/>
        <v>26.603143143346628</v>
      </c>
      <c r="G49" s="102">
        <f t="shared" si="6"/>
        <v>25.902827768899066</v>
      </c>
      <c r="H49" s="103">
        <f t="shared" si="6"/>
        <v>35.460285277102919</v>
      </c>
      <c r="I49" s="103">
        <f t="shared" si="6"/>
        <v>38.193121449168402</v>
      </c>
      <c r="J49" s="103">
        <f t="shared" si="6"/>
        <v>33.60359867701689</v>
      </c>
      <c r="K49" s="102">
        <f t="shared" si="6"/>
        <v>29.736272389747423</v>
      </c>
      <c r="L49" s="103">
        <f t="shared" si="6"/>
        <v>30.391892238293444</v>
      </c>
      <c r="M49" s="104">
        <f t="shared" si="6"/>
        <v>31.282328565659721</v>
      </c>
    </row>
    <row r="50" spans="1:13" ht="12.75" customHeight="1" x14ac:dyDescent="0.2">
      <c r="A50" s="101">
        <f t="shared" si="3"/>
        <v>2018</v>
      </c>
      <c r="B50" s="102">
        <f t="shared" ref="B50:M50" si="7">B14*0.56+B32*0.44</f>
        <v>31.080301480312542</v>
      </c>
      <c r="C50" s="103">
        <f t="shared" si="7"/>
        <v>31.887013266284676</v>
      </c>
      <c r="D50" s="103">
        <f t="shared" si="7"/>
        <v>35.537112637944773</v>
      </c>
      <c r="E50" s="103">
        <f t="shared" si="7"/>
        <v>30.950083181049582</v>
      </c>
      <c r="F50" s="103">
        <f t="shared" si="7"/>
        <v>28.611980717684496</v>
      </c>
      <c r="G50" s="102">
        <f t="shared" si="7"/>
        <v>28.427011094020614</v>
      </c>
      <c r="H50" s="103">
        <f t="shared" si="7"/>
        <v>38.28289595058056</v>
      </c>
      <c r="I50" s="103">
        <f t="shared" si="7"/>
        <v>40.912205926276222</v>
      </c>
      <c r="J50" s="103">
        <f t="shared" si="7"/>
        <v>34.194728104348314</v>
      </c>
      <c r="K50" s="102">
        <f t="shared" si="7"/>
        <v>33.34913722532449</v>
      </c>
      <c r="L50" s="103">
        <f t="shared" si="7"/>
        <v>39.453811759784443</v>
      </c>
      <c r="M50" s="104">
        <f t="shared" si="7"/>
        <v>33.104997983589797</v>
      </c>
    </row>
    <row r="51" spans="1:13" ht="12.75" customHeight="1" x14ac:dyDescent="0.2">
      <c r="A51" s="101">
        <f t="shared" si="3"/>
        <v>2019</v>
      </c>
      <c r="B51" s="102">
        <f t="shared" ref="B51:M51" si="8">B15*0.56+B33*0.44</f>
        <v>33.119076908350557</v>
      </c>
      <c r="C51" s="103">
        <f t="shared" si="8"/>
        <v>34.010512881680285</v>
      </c>
      <c r="D51" s="103">
        <f t="shared" si="8"/>
        <v>36.466459172796831</v>
      </c>
      <c r="E51" s="103">
        <f t="shared" si="8"/>
        <v>34.383735150683819</v>
      </c>
      <c r="F51" s="103">
        <f t="shared" si="8"/>
        <v>30.416529228381087</v>
      </c>
      <c r="G51" s="102">
        <f t="shared" si="8"/>
        <v>30.315920450438082</v>
      </c>
      <c r="H51" s="103">
        <f t="shared" si="8"/>
        <v>39.920451448237102</v>
      </c>
      <c r="I51" s="103">
        <f t="shared" si="8"/>
        <v>43.000654422988319</v>
      </c>
      <c r="J51" s="103">
        <f t="shared" si="8"/>
        <v>36.647214303029699</v>
      </c>
      <c r="K51" s="102">
        <f t="shared" si="8"/>
        <v>36.403559184272233</v>
      </c>
      <c r="L51" s="103">
        <f t="shared" si="8"/>
        <v>35.096158319188952</v>
      </c>
      <c r="M51" s="104">
        <f t="shared" si="8"/>
        <v>35.723323898173931</v>
      </c>
    </row>
    <row r="52" spans="1:13" ht="12.75" customHeight="1" x14ac:dyDescent="0.2">
      <c r="A52" s="101">
        <f t="shared" si="3"/>
        <v>2020</v>
      </c>
      <c r="B52" s="102">
        <f t="shared" ref="B52:M52" si="9">B16*0.56+B34*0.44</f>
        <v>38.531161716935678</v>
      </c>
      <c r="C52" s="103">
        <f t="shared" si="9"/>
        <v>36.575539322507069</v>
      </c>
      <c r="D52" s="103">
        <f t="shared" si="9"/>
        <v>38.340357538287627</v>
      </c>
      <c r="E52" s="103">
        <f t="shared" si="9"/>
        <v>37.543091201557409</v>
      </c>
      <c r="F52" s="103">
        <f t="shared" si="9"/>
        <v>34.435286772152068</v>
      </c>
      <c r="G52" s="102">
        <f t="shared" si="9"/>
        <v>36.39723044366589</v>
      </c>
      <c r="H52" s="103">
        <f t="shared" si="9"/>
        <v>46.128730889489447</v>
      </c>
      <c r="I52" s="103">
        <f t="shared" si="9"/>
        <v>46.040957369932002</v>
      </c>
      <c r="J52" s="103">
        <f t="shared" si="9"/>
        <v>40.793728859684848</v>
      </c>
      <c r="K52" s="102">
        <f t="shared" si="9"/>
        <v>37.515018718767223</v>
      </c>
      <c r="L52" s="103">
        <f t="shared" si="9"/>
        <v>38.070632751499787</v>
      </c>
      <c r="M52" s="104">
        <f t="shared" si="9"/>
        <v>36.947882159424985</v>
      </c>
    </row>
    <row r="53" spans="1:13" ht="12.75" customHeight="1" x14ac:dyDescent="0.2">
      <c r="A53" s="101">
        <f t="shared" si="3"/>
        <v>2021</v>
      </c>
      <c r="B53" s="102">
        <f t="shared" ref="B53:M53" si="10">B17*0.56+B35*0.44</f>
        <v>39.911067695823306</v>
      </c>
      <c r="C53" s="103">
        <f t="shared" si="10"/>
        <v>41.634524977393326</v>
      </c>
      <c r="D53" s="103">
        <f t="shared" si="10"/>
        <v>40.517204470853756</v>
      </c>
      <c r="E53" s="103">
        <f t="shared" si="10"/>
        <v>39.357474744749027</v>
      </c>
      <c r="F53" s="103">
        <f t="shared" si="10"/>
        <v>37.876835857114337</v>
      </c>
      <c r="G53" s="102">
        <f t="shared" si="10"/>
        <v>39.578239638554415</v>
      </c>
      <c r="H53" s="103">
        <f t="shared" si="10"/>
        <v>46.659105827026963</v>
      </c>
      <c r="I53" s="103">
        <f t="shared" si="10"/>
        <v>46.96995053991057</v>
      </c>
      <c r="J53" s="103">
        <f t="shared" si="10"/>
        <v>43.11734571475597</v>
      </c>
      <c r="K53" s="102">
        <f t="shared" si="10"/>
        <v>41.57165958344136</v>
      </c>
      <c r="L53" s="103">
        <f t="shared" si="10"/>
        <v>44.737434200229842</v>
      </c>
      <c r="M53" s="104">
        <f t="shared" si="10"/>
        <v>44.857144392401736</v>
      </c>
    </row>
    <row r="54" spans="1:13" ht="12.75" customHeight="1" x14ac:dyDescent="0.2">
      <c r="A54" s="101">
        <f t="shared" si="3"/>
        <v>2022</v>
      </c>
      <c r="B54" s="102">
        <f t="shared" ref="B54:M54" si="11">B18*0.56+B36*0.44</f>
        <v>42.788510650012938</v>
      </c>
      <c r="C54" s="103">
        <f t="shared" si="11"/>
        <v>41.962563211341262</v>
      </c>
      <c r="D54" s="103">
        <f t="shared" si="11"/>
        <v>42.485993086199734</v>
      </c>
      <c r="E54" s="103">
        <f t="shared" si="11"/>
        <v>39.104486635330176</v>
      </c>
      <c r="F54" s="103">
        <f t="shared" si="11"/>
        <v>38.689262271992376</v>
      </c>
      <c r="G54" s="102">
        <f t="shared" si="11"/>
        <v>41.719673496468403</v>
      </c>
      <c r="H54" s="103">
        <f t="shared" si="11"/>
        <v>48.429058573401178</v>
      </c>
      <c r="I54" s="103">
        <f t="shared" si="11"/>
        <v>47.554269761945889</v>
      </c>
      <c r="J54" s="103">
        <f t="shared" si="11"/>
        <v>43.417456922178147</v>
      </c>
      <c r="K54" s="102">
        <f t="shared" si="11"/>
        <v>42.211666822076566</v>
      </c>
      <c r="L54" s="103">
        <f t="shared" si="11"/>
        <v>42.756414642951427</v>
      </c>
      <c r="M54" s="104">
        <f t="shared" si="11"/>
        <v>44.972721741713571</v>
      </c>
    </row>
    <row r="55" spans="1:13" ht="12.75" customHeight="1" x14ac:dyDescent="0.2">
      <c r="A55" s="101">
        <f t="shared" si="3"/>
        <v>2023</v>
      </c>
      <c r="B55" s="102">
        <f t="shared" ref="B55:M55" si="12">B19*0.56+B37*0.44</f>
        <v>43.920907504408603</v>
      </c>
      <c r="C55" s="103">
        <f t="shared" si="12"/>
        <v>43.396637307910623</v>
      </c>
      <c r="D55" s="103">
        <f t="shared" si="12"/>
        <v>43.149625749355039</v>
      </c>
      <c r="E55" s="103">
        <f t="shared" si="12"/>
        <v>41.315456867768468</v>
      </c>
      <c r="F55" s="103">
        <f t="shared" si="12"/>
        <v>40.257525315689691</v>
      </c>
      <c r="G55" s="102">
        <f t="shared" si="12"/>
        <v>42.513704077591527</v>
      </c>
      <c r="H55" s="103">
        <f t="shared" si="12"/>
        <v>49.852168129415162</v>
      </c>
      <c r="I55" s="103">
        <f t="shared" si="12"/>
        <v>49.006118775741044</v>
      </c>
      <c r="J55" s="103">
        <f t="shared" si="12"/>
        <v>43.28051582982684</v>
      </c>
      <c r="K55" s="102">
        <f t="shared" si="12"/>
        <v>43.777693680701688</v>
      </c>
      <c r="L55" s="103">
        <f t="shared" si="12"/>
        <v>45.530059625567844</v>
      </c>
      <c r="M55" s="104">
        <f t="shared" si="12"/>
        <v>47.918343173031474</v>
      </c>
    </row>
    <row r="56" spans="1:13" ht="12.75" customHeight="1" x14ac:dyDescent="0.2">
      <c r="A56" s="101">
        <f t="shared" si="3"/>
        <v>2024</v>
      </c>
      <c r="B56" s="102">
        <f t="shared" ref="B56:M56" si="13">B20*0.56+B38*0.44</f>
        <v>46.351266280803095</v>
      </c>
      <c r="C56" s="103">
        <f t="shared" si="13"/>
        <v>45.857542914654246</v>
      </c>
      <c r="D56" s="103">
        <f t="shared" si="13"/>
        <v>45.302528366627492</v>
      </c>
      <c r="E56" s="103">
        <f t="shared" si="13"/>
        <v>42.824753230596819</v>
      </c>
      <c r="F56" s="103">
        <f t="shared" si="13"/>
        <v>41.191272231432379</v>
      </c>
      <c r="G56" s="102">
        <f t="shared" si="13"/>
        <v>44.073015786003559</v>
      </c>
      <c r="H56" s="103">
        <f t="shared" si="13"/>
        <v>52.08601885814582</v>
      </c>
      <c r="I56" s="103">
        <f t="shared" si="13"/>
        <v>52.863586896014894</v>
      </c>
      <c r="J56" s="103">
        <f t="shared" si="13"/>
        <v>45.880324299894014</v>
      </c>
      <c r="K56" s="102">
        <f t="shared" si="13"/>
        <v>46.279226411130843</v>
      </c>
      <c r="L56" s="103">
        <f t="shared" si="13"/>
        <v>47.042449186414586</v>
      </c>
      <c r="M56" s="104">
        <f t="shared" si="13"/>
        <v>48.371029536138956</v>
      </c>
    </row>
    <row r="57" spans="1:13" ht="12.75" customHeight="1" x14ac:dyDescent="0.2">
      <c r="A57" s="101">
        <f t="shared" si="3"/>
        <v>2025</v>
      </c>
      <c r="B57" s="102">
        <f t="shared" ref="B57:M57" si="14">B21*0.56+B39*0.44</f>
        <v>49.678006300338993</v>
      </c>
      <c r="C57" s="103">
        <f t="shared" si="14"/>
        <v>48.576866031291864</v>
      </c>
      <c r="D57" s="103">
        <f t="shared" si="14"/>
        <v>46.983059602272093</v>
      </c>
      <c r="E57" s="103">
        <f t="shared" si="14"/>
        <v>44.03920006356951</v>
      </c>
      <c r="F57" s="103">
        <f t="shared" si="14"/>
        <v>43.480342777500447</v>
      </c>
      <c r="G57" s="102">
        <f t="shared" si="14"/>
        <v>46.778521761183924</v>
      </c>
      <c r="H57" s="103">
        <f t="shared" si="14"/>
        <v>54.979389250168282</v>
      </c>
      <c r="I57" s="103">
        <f t="shared" si="14"/>
        <v>56.302079354279769</v>
      </c>
      <c r="J57" s="103">
        <f t="shared" si="14"/>
        <v>49.426378326557327</v>
      </c>
      <c r="K57" s="102">
        <f t="shared" si="14"/>
        <v>47.796730336324117</v>
      </c>
      <c r="L57" s="103">
        <f t="shared" si="14"/>
        <v>49.2457000906589</v>
      </c>
      <c r="M57" s="104">
        <f t="shared" si="14"/>
        <v>50.616969348983901</v>
      </c>
    </row>
    <row r="58" spans="1:13" ht="12.75" customHeight="1" x14ac:dyDescent="0.2">
      <c r="A58" s="101">
        <f t="shared" si="3"/>
        <v>2026</v>
      </c>
      <c r="B58" s="102">
        <f t="shared" ref="B58:M58" si="15">B22*0.56+B40*0.44</f>
        <v>51.371577804446673</v>
      </c>
      <c r="C58" s="103">
        <f t="shared" si="15"/>
        <v>50.356063511306814</v>
      </c>
      <c r="D58" s="103">
        <f t="shared" si="15"/>
        <v>48.476518345230971</v>
      </c>
      <c r="E58" s="103">
        <f t="shared" si="15"/>
        <v>46.787452034032142</v>
      </c>
      <c r="F58" s="103">
        <f t="shared" si="15"/>
        <v>45.2015136062642</v>
      </c>
      <c r="G58" s="102">
        <f t="shared" si="15"/>
        <v>49.270746171970792</v>
      </c>
      <c r="H58" s="103">
        <f t="shared" si="15"/>
        <v>57.538805085034802</v>
      </c>
      <c r="I58" s="103">
        <f t="shared" si="15"/>
        <v>59.11657152352285</v>
      </c>
      <c r="J58" s="103">
        <f t="shared" si="15"/>
        <v>52.100175578784679</v>
      </c>
      <c r="K58" s="102">
        <f t="shared" si="15"/>
        <v>49.560745469236508</v>
      </c>
      <c r="L58" s="103">
        <f t="shared" si="15"/>
        <v>51.188589453688394</v>
      </c>
      <c r="M58" s="104">
        <f t="shared" si="15"/>
        <v>53.349593854978117</v>
      </c>
    </row>
    <row r="59" spans="1:13" ht="12.75" hidden="1" customHeight="1" x14ac:dyDescent="0.2">
      <c r="A59" s="101"/>
      <c r="B59" s="102"/>
      <c r="C59" s="103"/>
      <c r="D59" s="103"/>
      <c r="E59" s="103"/>
      <c r="F59" s="103"/>
      <c r="G59" s="102"/>
      <c r="H59" s="103"/>
      <c r="I59" s="103"/>
      <c r="J59" s="103"/>
      <c r="K59" s="102"/>
      <c r="L59" s="103"/>
      <c r="M59" s="104"/>
    </row>
    <row r="60" spans="1:13" ht="12.75" hidden="1" customHeight="1" x14ac:dyDescent="0.2">
      <c r="A60" s="101"/>
      <c r="B60" s="102"/>
      <c r="C60" s="103"/>
      <c r="D60" s="103"/>
      <c r="E60" s="103"/>
      <c r="F60" s="103"/>
      <c r="G60" s="102"/>
      <c r="H60" s="103"/>
      <c r="I60" s="103"/>
      <c r="J60" s="103"/>
      <c r="K60" s="102"/>
      <c r="L60" s="103"/>
      <c r="M60" s="104"/>
    </row>
    <row r="61" spans="1:13" ht="12.75" hidden="1" customHeight="1" x14ac:dyDescent="0.2">
      <c r="A61" s="105"/>
      <c r="B61" s="106"/>
      <c r="C61" s="107"/>
      <c r="D61" s="107"/>
      <c r="E61" s="107"/>
      <c r="F61" s="107"/>
      <c r="G61" s="106"/>
      <c r="H61" s="107"/>
      <c r="I61" s="107"/>
      <c r="J61" s="107"/>
      <c r="K61" s="106"/>
      <c r="L61" s="107"/>
      <c r="M61" s="108"/>
    </row>
    <row r="62" spans="1:13" ht="12.75" customHeight="1" x14ac:dyDescent="0.2">
      <c r="A62" s="215"/>
      <c r="B62" s="216"/>
      <c r="C62" s="216"/>
      <c r="D62" s="216"/>
      <c r="E62" s="215"/>
      <c r="F62" s="215"/>
      <c r="G62" s="215"/>
      <c r="H62" s="215"/>
      <c r="I62" s="215"/>
      <c r="J62" s="215"/>
      <c r="K62" s="217"/>
      <c r="L62" s="215"/>
      <c r="M62" s="215"/>
    </row>
    <row r="63" spans="1:13" ht="12.75" customHeight="1" x14ac:dyDescent="0.2">
      <c r="A63" s="13" t="s">
        <v>69</v>
      </c>
      <c r="C63" s="110"/>
      <c r="D63" s="110"/>
      <c r="K63" s="109"/>
    </row>
    <row r="64" spans="1:13" ht="12.75" customHeight="1" x14ac:dyDescent="0.2">
      <c r="A64" s="111" t="s">
        <v>2</v>
      </c>
      <c r="C64" s="112" t="s">
        <v>60</v>
      </c>
      <c r="D64" s="58"/>
      <c r="E64" s="59"/>
      <c r="F64" s="70"/>
      <c r="G64" s="112" t="s">
        <v>61</v>
      </c>
      <c r="H64" s="58"/>
      <c r="I64" s="59"/>
      <c r="J64" s="70"/>
      <c r="K64" s="112" t="s">
        <v>70</v>
      </c>
      <c r="L64" s="58"/>
      <c r="M64" s="59"/>
    </row>
    <row r="65" spans="1:17" s="70" customFormat="1" ht="12.75" customHeight="1" x14ac:dyDescent="0.2">
      <c r="A65" s="95"/>
      <c r="C65" s="21" t="s">
        <v>82</v>
      </c>
      <c r="D65" s="22" t="s">
        <v>1</v>
      </c>
      <c r="E65" s="22" t="s">
        <v>10</v>
      </c>
      <c r="F65" s="95"/>
      <c r="G65" s="21" t="s">
        <v>82</v>
      </c>
      <c r="H65" s="22" t="s">
        <v>1</v>
      </c>
      <c r="I65" s="22" t="s">
        <v>10</v>
      </c>
      <c r="J65" s="95"/>
      <c r="K65" s="21" t="s">
        <v>82</v>
      </c>
      <c r="L65" s="22" t="s">
        <v>1</v>
      </c>
      <c r="M65" s="22" t="s">
        <v>10</v>
      </c>
      <c r="N65" s="88"/>
      <c r="Q65" s="445"/>
    </row>
    <row r="66" spans="1:17" s="70" customFormat="1" ht="12.75" customHeight="1" x14ac:dyDescent="0.2">
      <c r="A66" s="113">
        <f t="shared" ref="A66:A76" si="16">A10</f>
        <v>2014</v>
      </c>
      <c r="C66" s="77">
        <f>ROUND(AVERAGE(B10:F10,K10:M10),2)</f>
        <v>30.59</v>
      </c>
      <c r="D66" s="77">
        <f t="shared" ref="D66:D78" si="17">ROUND(AVERAGE(B28:F28,K28:M28),2)</f>
        <v>24.92</v>
      </c>
      <c r="E66" s="77">
        <f>ROUND(AVERAGE(B46:F46,K46:M46),2)</f>
        <v>28.09</v>
      </c>
      <c r="G66" s="103">
        <f t="shared" ref="G66:G78" si="18">ROUND(AVERAGE(G10:J10),2)</f>
        <v>38.08</v>
      </c>
      <c r="H66" s="103">
        <f t="shared" ref="H66:H78" si="19">ROUND(AVERAGE(G28:J28),2)</f>
        <v>25.75</v>
      </c>
      <c r="I66" s="103">
        <f>ROUND(AVERAGE(G46:J46),2)</f>
        <v>32.659999999999997</v>
      </c>
      <c r="K66" s="77">
        <f t="shared" ref="K66:K78" si="20">ROUND(AVERAGE(B10:M10),2)</f>
        <v>34.340000000000003</v>
      </c>
      <c r="L66" s="77">
        <f>ROUND(AVERAGE(B28:M28),2)</f>
        <v>25.34</v>
      </c>
      <c r="M66" s="77">
        <f>ROUND(AVERAGE(B46:M46),2)</f>
        <v>30.38</v>
      </c>
      <c r="O66" s="444"/>
      <c r="P66" s="444"/>
      <c r="Q66" s="444"/>
    </row>
    <row r="67" spans="1:17" s="70" customFormat="1" ht="12.75" customHeight="1" x14ac:dyDescent="0.2">
      <c r="A67" s="113">
        <f t="shared" si="16"/>
        <v>2015</v>
      </c>
      <c r="C67" s="77">
        <f t="shared" ref="C67:C78" si="21">ROUND(AVERAGE(B11:F11,K11:M11),2)</f>
        <v>36.14</v>
      </c>
      <c r="D67" s="77">
        <f t="shared" si="17"/>
        <v>28.54</v>
      </c>
      <c r="E67" s="77">
        <f>ROUND(AVERAGE(B47:F47,K47:M47),2)</f>
        <v>32.799999999999997</v>
      </c>
      <c r="G67" s="103">
        <f t="shared" si="18"/>
        <v>38.1</v>
      </c>
      <c r="H67" s="103">
        <f t="shared" si="19"/>
        <v>24.92</v>
      </c>
      <c r="I67" s="103">
        <f>ROUND(AVERAGE(G47:J47),2)</f>
        <v>32.299999999999997</v>
      </c>
      <c r="K67" s="77">
        <f t="shared" si="20"/>
        <v>36.799999999999997</v>
      </c>
      <c r="L67" s="77">
        <f t="shared" ref="L67:L78" si="22">ROUND(AVERAGE(B29:M29),2)</f>
        <v>27.33</v>
      </c>
      <c r="M67" s="77">
        <f>ROUND(AVERAGE(B47:M47),2)</f>
        <v>32.630000000000003</v>
      </c>
      <c r="O67" s="444"/>
      <c r="P67" s="444"/>
      <c r="Q67" s="444"/>
    </row>
    <row r="68" spans="1:17" s="70" customFormat="1" ht="12.75" customHeight="1" x14ac:dyDescent="0.2">
      <c r="A68" s="113">
        <f t="shared" si="16"/>
        <v>2016</v>
      </c>
      <c r="C68" s="77">
        <f t="shared" si="21"/>
        <v>32.75</v>
      </c>
      <c r="D68" s="77">
        <f t="shared" si="17"/>
        <v>25.96</v>
      </c>
      <c r="E68" s="77">
        <f t="shared" ref="E68:E73" si="23">ROUND(AVERAGE(B48:F48,K48:M48),2)</f>
        <v>29.76</v>
      </c>
      <c r="G68" s="103">
        <f t="shared" si="18"/>
        <v>36.6</v>
      </c>
      <c r="H68" s="103">
        <f t="shared" si="19"/>
        <v>24.13</v>
      </c>
      <c r="I68" s="103">
        <f t="shared" ref="I68:I73" si="24">ROUND(AVERAGE(G48:J48),2)</f>
        <v>31.11</v>
      </c>
      <c r="K68" s="77">
        <f t="shared" si="20"/>
        <v>34.03</v>
      </c>
      <c r="L68" s="77">
        <f t="shared" si="22"/>
        <v>25.35</v>
      </c>
      <c r="M68" s="77">
        <f t="shared" ref="M68:M73" si="25">ROUND(AVERAGE(B48:M48),2)</f>
        <v>30.21</v>
      </c>
      <c r="O68" s="444"/>
      <c r="P68" s="444"/>
      <c r="Q68" s="444"/>
    </row>
    <row r="69" spans="1:17" s="70" customFormat="1" ht="12.75" customHeight="1" x14ac:dyDescent="0.2">
      <c r="A69" s="113">
        <f t="shared" si="16"/>
        <v>2017</v>
      </c>
      <c r="C69" s="77">
        <f t="shared" si="21"/>
        <v>33.450000000000003</v>
      </c>
      <c r="D69" s="77">
        <f t="shared" si="17"/>
        <v>26.59</v>
      </c>
      <c r="E69" s="77">
        <f t="shared" si="23"/>
        <v>30.43</v>
      </c>
      <c r="G69" s="103">
        <f t="shared" si="18"/>
        <v>38.950000000000003</v>
      </c>
      <c r="H69" s="103">
        <f t="shared" si="19"/>
        <v>26.08</v>
      </c>
      <c r="I69" s="103">
        <f t="shared" si="24"/>
        <v>33.29</v>
      </c>
      <c r="K69" s="77">
        <f t="shared" si="20"/>
        <v>35.28</v>
      </c>
      <c r="L69" s="77">
        <f t="shared" si="22"/>
        <v>26.42</v>
      </c>
      <c r="M69" s="77">
        <f t="shared" si="25"/>
        <v>31.38</v>
      </c>
      <c r="O69" s="444"/>
      <c r="P69" s="444"/>
      <c r="Q69" s="444"/>
    </row>
    <row r="70" spans="1:17" s="70" customFormat="1" ht="12.75" customHeight="1" x14ac:dyDescent="0.2">
      <c r="A70" s="113">
        <f t="shared" si="16"/>
        <v>2018</v>
      </c>
      <c r="C70" s="77">
        <f t="shared" si="21"/>
        <v>36.28</v>
      </c>
      <c r="D70" s="77">
        <f t="shared" si="17"/>
        <v>28.82</v>
      </c>
      <c r="E70" s="77">
        <f t="shared" si="23"/>
        <v>33</v>
      </c>
      <c r="G70" s="103">
        <f t="shared" si="18"/>
        <v>41.36</v>
      </c>
      <c r="H70" s="103">
        <f t="shared" si="19"/>
        <v>27.94</v>
      </c>
      <c r="I70" s="103">
        <f t="shared" si="24"/>
        <v>35.450000000000003</v>
      </c>
      <c r="K70" s="77">
        <f t="shared" si="20"/>
        <v>37.97</v>
      </c>
      <c r="L70" s="77">
        <f t="shared" si="22"/>
        <v>28.52</v>
      </c>
      <c r="M70" s="77">
        <f t="shared" si="25"/>
        <v>33.82</v>
      </c>
      <c r="O70" s="444"/>
      <c r="P70" s="444"/>
      <c r="Q70" s="444"/>
    </row>
    <row r="71" spans="1:17" s="70" customFormat="1" ht="12.75" customHeight="1" x14ac:dyDescent="0.2">
      <c r="A71" s="113">
        <f t="shared" si="16"/>
        <v>2019</v>
      </c>
      <c r="C71" s="77">
        <f t="shared" si="21"/>
        <v>37.71</v>
      </c>
      <c r="D71" s="77">
        <f t="shared" si="17"/>
        <v>30.31</v>
      </c>
      <c r="E71" s="77">
        <f t="shared" si="23"/>
        <v>34.450000000000003</v>
      </c>
      <c r="G71" s="103">
        <f t="shared" si="18"/>
        <v>43.42</v>
      </c>
      <c r="H71" s="103">
        <f t="shared" si="19"/>
        <v>29.91</v>
      </c>
      <c r="I71" s="103">
        <f t="shared" si="24"/>
        <v>37.47</v>
      </c>
      <c r="K71" s="77">
        <f t="shared" si="20"/>
        <v>39.61</v>
      </c>
      <c r="L71" s="77">
        <f t="shared" si="22"/>
        <v>30.17</v>
      </c>
      <c r="M71" s="77">
        <f t="shared" si="25"/>
        <v>35.46</v>
      </c>
      <c r="O71" s="444"/>
      <c r="P71" s="444"/>
      <c r="Q71" s="444"/>
    </row>
    <row r="72" spans="1:17" s="70" customFormat="1" ht="12.75" customHeight="1" x14ac:dyDescent="0.2">
      <c r="A72" s="113">
        <f t="shared" si="16"/>
        <v>2020</v>
      </c>
      <c r="C72" s="77">
        <f t="shared" si="21"/>
        <v>40.06</v>
      </c>
      <c r="D72" s="77">
        <f t="shared" si="17"/>
        <v>33.659999999999997</v>
      </c>
      <c r="E72" s="77">
        <f t="shared" si="23"/>
        <v>37.24</v>
      </c>
      <c r="G72" s="103">
        <f t="shared" si="18"/>
        <v>46.5</v>
      </c>
      <c r="H72" s="103">
        <f t="shared" si="19"/>
        <v>37.049999999999997</v>
      </c>
      <c r="I72" s="103">
        <f t="shared" si="24"/>
        <v>42.34</v>
      </c>
      <c r="K72" s="77">
        <f t="shared" si="20"/>
        <v>42.21</v>
      </c>
      <c r="L72" s="77">
        <f t="shared" si="22"/>
        <v>34.79</v>
      </c>
      <c r="M72" s="77">
        <f t="shared" si="25"/>
        <v>38.94</v>
      </c>
      <c r="O72" s="444"/>
      <c r="P72" s="444"/>
      <c r="Q72" s="444"/>
    </row>
    <row r="73" spans="1:17" s="70" customFormat="1" ht="12.75" customHeight="1" x14ac:dyDescent="0.2">
      <c r="A73" s="113">
        <f t="shared" si="16"/>
        <v>2021</v>
      </c>
      <c r="C73" s="77">
        <f t="shared" si="21"/>
        <v>42.85</v>
      </c>
      <c r="D73" s="77">
        <f t="shared" si="17"/>
        <v>39.35</v>
      </c>
      <c r="E73" s="77">
        <f t="shared" si="23"/>
        <v>41.31</v>
      </c>
      <c r="G73" s="103">
        <f t="shared" si="18"/>
        <v>46.12</v>
      </c>
      <c r="H73" s="103">
        <f t="shared" si="19"/>
        <v>41.48</v>
      </c>
      <c r="I73" s="103">
        <f t="shared" si="24"/>
        <v>44.08</v>
      </c>
      <c r="K73" s="77">
        <f t="shared" si="20"/>
        <v>43.94</v>
      </c>
      <c r="L73" s="77">
        <f t="shared" si="22"/>
        <v>40.06</v>
      </c>
      <c r="M73" s="77">
        <f t="shared" si="25"/>
        <v>42.23</v>
      </c>
      <c r="O73" s="444"/>
      <c r="P73" s="444"/>
      <c r="Q73" s="444"/>
    </row>
    <row r="74" spans="1:17" s="70" customFormat="1" ht="12.75" customHeight="1" x14ac:dyDescent="0.2">
      <c r="A74" s="113">
        <f t="shared" si="16"/>
        <v>2022</v>
      </c>
      <c r="C74" s="77">
        <f t="shared" si="21"/>
        <v>42.7</v>
      </c>
      <c r="D74" s="77">
        <f t="shared" si="17"/>
        <v>40.82</v>
      </c>
      <c r="E74" s="77">
        <f t="shared" ref="E74:E76" si="26">ROUND(AVERAGE(B54:F54,K54:M54),2)</f>
        <v>41.87</v>
      </c>
      <c r="G74" s="103">
        <f t="shared" si="18"/>
        <v>47.65</v>
      </c>
      <c r="H74" s="103">
        <f t="shared" si="19"/>
        <v>42.26</v>
      </c>
      <c r="I74" s="103">
        <f t="shared" ref="I74:I76" si="27">ROUND(AVERAGE(G54:J54),2)</f>
        <v>45.28</v>
      </c>
      <c r="K74" s="77">
        <f t="shared" si="20"/>
        <v>44.35</v>
      </c>
      <c r="L74" s="77">
        <f t="shared" si="22"/>
        <v>41.3</v>
      </c>
      <c r="M74" s="77">
        <f t="shared" ref="M74:M76" si="28">ROUND(AVERAGE(B54:M54),2)</f>
        <v>43.01</v>
      </c>
      <c r="O74" s="444"/>
      <c r="P74" s="444"/>
      <c r="Q74" s="444"/>
    </row>
    <row r="75" spans="1:17" s="70" customFormat="1" ht="12.75" customHeight="1" x14ac:dyDescent="0.2">
      <c r="A75" s="113">
        <f t="shared" si="16"/>
        <v>2023</v>
      </c>
      <c r="C75" s="77">
        <f t="shared" si="21"/>
        <v>44.44</v>
      </c>
      <c r="D75" s="77">
        <f t="shared" si="17"/>
        <v>42.66</v>
      </c>
      <c r="E75" s="77">
        <f t="shared" si="26"/>
        <v>43.66</v>
      </c>
      <c r="G75" s="103">
        <f t="shared" si="18"/>
        <v>48.55</v>
      </c>
      <c r="H75" s="103">
        <f t="shared" si="19"/>
        <v>43.12</v>
      </c>
      <c r="I75" s="103">
        <f t="shared" si="27"/>
        <v>46.16</v>
      </c>
      <c r="K75" s="77">
        <f t="shared" si="20"/>
        <v>45.81</v>
      </c>
      <c r="L75" s="77">
        <f t="shared" si="22"/>
        <v>42.81</v>
      </c>
      <c r="M75" s="77">
        <f t="shared" si="28"/>
        <v>44.49</v>
      </c>
      <c r="O75" s="444"/>
      <c r="P75" s="444"/>
      <c r="Q75" s="444"/>
    </row>
    <row r="76" spans="1:17" s="70" customFormat="1" ht="12.75" customHeight="1" x14ac:dyDescent="0.2">
      <c r="A76" s="113">
        <f t="shared" si="16"/>
        <v>2024</v>
      </c>
      <c r="C76" s="77">
        <f t="shared" si="21"/>
        <v>46.21</v>
      </c>
      <c r="D76" s="77">
        <f t="shared" si="17"/>
        <v>44.38</v>
      </c>
      <c r="E76" s="77">
        <f t="shared" si="26"/>
        <v>45.4</v>
      </c>
      <c r="G76" s="103">
        <f t="shared" si="18"/>
        <v>51.41</v>
      </c>
      <c r="H76" s="103">
        <f t="shared" si="19"/>
        <v>45.31</v>
      </c>
      <c r="I76" s="103">
        <f t="shared" si="27"/>
        <v>48.73</v>
      </c>
      <c r="K76" s="77">
        <f t="shared" si="20"/>
        <v>47.94</v>
      </c>
      <c r="L76" s="77">
        <f t="shared" si="22"/>
        <v>44.69</v>
      </c>
      <c r="M76" s="77">
        <f t="shared" si="28"/>
        <v>46.51</v>
      </c>
      <c r="O76" s="444"/>
      <c r="P76" s="444"/>
      <c r="Q76" s="444"/>
    </row>
    <row r="77" spans="1:17" s="70" customFormat="1" ht="12.75" customHeight="1" x14ac:dyDescent="0.2">
      <c r="A77" s="113">
        <f t="shared" ref="A77:A78" si="29">A21</f>
        <v>2025</v>
      </c>
      <c r="C77" s="77">
        <f t="shared" si="21"/>
        <v>48.42</v>
      </c>
      <c r="D77" s="77">
        <f t="shared" si="17"/>
        <v>46.45</v>
      </c>
      <c r="E77" s="77">
        <f t="shared" ref="E77:E78" si="30">ROUND(AVERAGE(B57:F57,K57:M57),2)</f>
        <v>47.55</v>
      </c>
      <c r="G77" s="103">
        <f t="shared" si="18"/>
        <v>54.87</v>
      </c>
      <c r="H77" s="103">
        <f t="shared" si="19"/>
        <v>48.06</v>
      </c>
      <c r="I77" s="103">
        <f t="shared" ref="I77:I78" si="31">ROUND(AVERAGE(G57:J57),2)</f>
        <v>51.87</v>
      </c>
      <c r="K77" s="77">
        <f t="shared" si="20"/>
        <v>50.57</v>
      </c>
      <c r="L77" s="77">
        <f t="shared" si="22"/>
        <v>46.99</v>
      </c>
      <c r="M77" s="77">
        <f t="shared" ref="M77:M78" si="32">ROUND(AVERAGE(B57:M57),2)</f>
        <v>48.99</v>
      </c>
      <c r="O77" s="444"/>
      <c r="P77" s="444"/>
      <c r="Q77" s="444"/>
    </row>
    <row r="78" spans="1:17" s="70" customFormat="1" ht="12.75" customHeight="1" x14ac:dyDescent="0.2">
      <c r="A78" s="113">
        <f t="shared" si="29"/>
        <v>2026</v>
      </c>
      <c r="C78" s="77">
        <f t="shared" si="21"/>
        <v>50.31</v>
      </c>
      <c r="D78" s="77">
        <f t="shared" si="17"/>
        <v>48.56</v>
      </c>
      <c r="E78" s="77">
        <f t="shared" si="30"/>
        <v>49.54</v>
      </c>
      <c r="G78" s="103">
        <f t="shared" si="18"/>
        <v>57.62</v>
      </c>
      <c r="H78" s="103">
        <f t="shared" si="19"/>
        <v>50.55</v>
      </c>
      <c r="I78" s="103">
        <f t="shared" si="31"/>
        <v>54.51</v>
      </c>
      <c r="K78" s="77">
        <f t="shared" si="20"/>
        <v>52.74</v>
      </c>
      <c r="L78" s="77">
        <f t="shared" si="22"/>
        <v>49.22</v>
      </c>
      <c r="M78" s="77">
        <f t="shared" si="32"/>
        <v>51.19</v>
      </c>
      <c r="O78" s="444"/>
      <c r="P78" s="444"/>
      <c r="Q78" s="444"/>
    </row>
    <row r="79" spans="1:17" x14ac:dyDescent="0.2">
      <c r="B79" s="88"/>
      <c r="C79" s="88"/>
      <c r="D79" s="88"/>
      <c r="E79" s="4"/>
      <c r="F79" s="4"/>
      <c r="G79" s="4"/>
      <c r="H79" s="4"/>
      <c r="I79" s="4"/>
      <c r="J79" s="4"/>
      <c r="K79" s="17"/>
    </row>
    <row r="80" spans="1:17" ht="12.75" customHeight="1" x14ac:dyDescent="0.2">
      <c r="A80" s="13" t="s">
        <v>321</v>
      </c>
      <c r="C80" s="88"/>
      <c r="D80" s="88"/>
      <c r="E80" s="88"/>
      <c r="G80" s="88"/>
      <c r="H80" s="88"/>
      <c r="I80" s="88"/>
      <c r="J80" s="96"/>
      <c r="L80" s="88"/>
      <c r="M80" s="70"/>
    </row>
    <row r="81" spans="1:30" ht="12.75" customHeight="1" x14ac:dyDescent="0.2">
      <c r="A81" s="97">
        <v>2014</v>
      </c>
      <c r="B81" s="98"/>
      <c r="C81" s="99"/>
      <c r="D81" s="99"/>
      <c r="E81" s="99"/>
      <c r="F81" s="100"/>
      <c r="G81" s="99"/>
      <c r="H81" s="99">
        <f>INDEX('[5]Avoided Costs'!$D$7:$O$16,MATCH($A81,'[5]Avoided Costs'!$B$7:$B$16,0),MATCH(H$7,'[5]Avoided Costs'!$D$4:$O$4,0))</f>
        <v>30.301705963456982</v>
      </c>
      <c r="I81" s="99">
        <f>INDEX('[5]Avoided Costs'!$D$7:$O$16,MATCH($A81,'[5]Avoided Costs'!$B$7:$B$16,0),MATCH(I$7,'[5]Avoided Costs'!$D$4:$O$4,0))</f>
        <v>38.495848631025645</v>
      </c>
      <c r="J81" s="100">
        <f>INDEX('[5]Avoided Costs'!$D$7:$O$16,MATCH($A81,'[5]Avoided Costs'!$B$7:$B$16,0),MATCH(J$7,'[5]Avoided Costs'!$D$4:$O$4,0))</f>
        <v>29.110631666121382</v>
      </c>
      <c r="K81" s="98">
        <f>INDEX('[5]Avoided Costs'!$D$7:$O$16,MATCH($A81,'[5]Avoided Costs'!$B$7:$B$16,0),MATCH(K$7,'[5]Avoided Costs'!$D$4:$O$4,0))</f>
        <v>26.93687427577072</v>
      </c>
      <c r="L81" s="99">
        <f>INDEX('[5]Avoided Costs'!$D$7:$O$16,MATCH($A81,'[5]Avoided Costs'!$B$7:$B$16,0),MATCH(L$7,'[5]Avoided Costs'!$D$4:$O$4,0))</f>
        <v>30.253941082687426</v>
      </c>
      <c r="M81" s="100">
        <f>INDEX('[5]Avoided Costs'!$D$7:$O$16,MATCH($A81,'[5]Avoided Costs'!$B$7:$B$16,0),MATCH(M$7,'[5]Avoided Costs'!$D$4:$O$4,0))</f>
        <v>27.04105920774802</v>
      </c>
      <c r="P81" s="443"/>
    </row>
    <row r="82" spans="1:30" ht="12.75" customHeight="1" x14ac:dyDescent="0.2">
      <c r="A82" s="101">
        <f t="shared" ref="A82:A93" si="33">A81+1</f>
        <v>2015</v>
      </c>
      <c r="B82" s="102">
        <f>INDEX('[5]Avoided Costs'!$D$7:$O$16,MATCH($A82,'[5]Avoided Costs'!$B$7:$B$16,0),MATCH(B$7,'[5]Avoided Costs'!$D$4:$O$4,0))</f>
        <v>35.937883668721362</v>
      </c>
      <c r="C82" s="103">
        <f>INDEX('[5]Avoided Costs'!$D$7:$O$16,MATCH($A82,'[5]Avoided Costs'!$B$7:$B$16,0),MATCH(C$7,'[5]Avoided Costs'!$D$4:$O$4,0))</f>
        <v>36.376491595192682</v>
      </c>
      <c r="D82" s="103">
        <f>INDEX('[5]Avoided Costs'!$D$7:$O$16,MATCH($A82,'[5]Avoided Costs'!$B$7:$B$16,0),MATCH(D$7,'[5]Avoided Costs'!$D$4:$O$4,0))</f>
        <v>42.071071804637313</v>
      </c>
      <c r="E82" s="103">
        <f>INDEX('[5]Avoided Costs'!$D$7:$O$16,MATCH($A82,'[5]Avoided Costs'!$B$7:$B$16,0),MATCH(E$7,'[5]Avoided Costs'!$D$4:$O$4,0))</f>
        <v>27.060638593234536</v>
      </c>
      <c r="F82" s="103">
        <f>INDEX('[5]Avoided Costs'!$D$7:$O$16,MATCH($A82,'[5]Avoided Costs'!$B$7:$B$16,0),MATCH(F$7,'[5]Avoided Costs'!$D$4:$O$4,0))</f>
        <v>24.520552599942814</v>
      </c>
      <c r="G82" s="102">
        <f>INDEX('[5]Avoided Costs'!$D$7:$O$16,MATCH($A82,'[5]Avoided Costs'!$B$7:$B$16,0),MATCH(G$7,'[5]Avoided Costs'!$D$4:$O$4,0))</f>
        <v>26.379491736762638</v>
      </c>
      <c r="H82" s="103">
        <f>INDEX('[5]Avoided Costs'!$D$7:$O$16,MATCH($A82,'[5]Avoided Costs'!$B$7:$B$16,0),MATCH(H$7,'[5]Avoided Costs'!$D$4:$O$4,0))</f>
        <v>34.359630708380415</v>
      </c>
      <c r="I82" s="103">
        <f>INDEX('[5]Avoided Costs'!$D$7:$O$16,MATCH($A82,'[5]Avoided Costs'!$B$7:$B$16,0),MATCH(I$7,'[5]Avoided Costs'!$D$4:$O$4,0))</f>
        <v>36.647635305632825</v>
      </c>
      <c r="J82" s="104">
        <f>INDEX('[5]Avoided Costs'!$D$7:$O$16,MATCH($A82,'[5]Avoided Costs'!$B$7:$B$16,0),MATCH(J$7,'[5]Avoided Costs'!$D$4:$O$4,0))</f>
        <v>31.928413685376032</v>
      </c>
      <c r="K82" s="102">
        <f>INDEX('[5]Avoided Costs'!$D$7:$O$16,MATCH($A82,'[5]Avoided Costs'!$B$7:$B$16,0),MATCH(K$7,'[5]Avoided Costs'!$D$4:$O$4,0))</f>
        <v>29.167882065529064</v>
      </c>
      <c r="L82" s="103">
        <f>INDEX('[5]Avoided Costs'!$D$7:$O$16,MATCH($A82,'[5]Avoided Costs'!$B$7:$B$16,0),MATCH(L$7,'[5]Avoided Costs'!$D$4:$O$4,0))</f>
        <v>31.108322738682229</v>
      </c>
      <c r="M82" s="104">
        <f>INDEX('[5]Avoided Costs'!$D$7:$O$16,MATCH($A82,'[5]Avoided Costs'!$B$7:$B$16,0),MATCH(M$7,'[5]Avoided Costs'!$D$4:$O$4,0))</f>
        <v>36.055655722027666</v>
      </c>
    </row>
    <row r="83" spans="1:30" ht="12.75" customHeight="1" x14ac:dyDescent="0.2">
      <c r="A83" s="101">
        <f t="shared" si="33"/>
        <v>2016</v>
      </c>
      <c r="B83" s="102">
        <f>INDEX('[5]Avoided Costs'!$D$7:$O$16,MATCH($A83,'[5]Avoided Costs'!$B$7:$B$16,0),MATCH(B$7,'[5]Avoided Costs'!$D$4:$O$4,0))</f>
        <v>30.525194710116551</v>
      </c>
      <c r="C83" s="103">
        <f>INDEX('[5]Avoided Costs'!$D$7:$O$16,MATCH($A83,'[5]Avoided Costs'!$B$7:$B$16,0),MATCH(C$7,'[5]Avoided Costs'!$D$4:$O$4,0))</f>
        <v>33.30530407224493</v>
      </c>
      <c r="D83" s="103">
        <f>INDEX('[5]Avoided Costs'!$D$7:$O$16,MATCH($A83,'[5]Avoided Costs'!$B$7:$B$16,0),MATCH(D$7,'[5]Avoided Costs'!$D$4:$O$4,0))</f>
        <v>34.788745430300153</v>
      </c>
      <c r="E83" s="103">
        <f>INDEX('[5]Avoided Costs'!$D$7:$O$16,MATCH($A83,'[5]Avoided Costs'!$B$7:$B$16,0),MATCH(E$7,'[5]Avoided Costs'!$D$4:$O$4,0))</f>
        <v>28.246918305655321</v>
      </c>
      <c r="F83" s="103">
        <f>INDEX('[5]Avoided Costs'!$D$7:$O$16,MATCH($A83,'[5]Avoided Costs'!$B$7:$B$16,0),MATCH(F$7,'[5]Avoided Costs'!$D$4:$O$4,0))</f>
        <v>24.766123282628996</v>
      </c>
      <c r="G83" s="102">
        <f>INDEX('[5]Avoided Costs'!$D$7:$O$16,MATCH($A83,'[5]Avoided Costs'!$B$7:$B$16,0),MATCH(G$7,'[5]Avoided Costs'!$D$4:$O$4,0))</f>
        <v>24.802551685631688</v>
      </c>
      <c r="H83" s="103">
        <f>INDEX('[5]Avoided Costs'!$D$7:$O$16,MATCH($A83,'[5]Avoided Costs'!$B$7:$B$16,0),MATCH(H$7,'[5]Avoided Costs'!$D$4:$O$4,0))</f>
        <v>33.189617036567419</v>
      </c>
      <c r="I83" s="103">
        <f>INDEX('[5]Avoided Costs'!$D$7:$O$16,MATCH($A83,'[5]Avoided Costs'!$B$7:$B$16,0),MATCH(I$7,'[5]Avoided Costs'!$D$4:$O$4,0))</f>
        <v>36.407001183410323</v>
      </c>
      <c r="J83" s="104">
        <f>INDEX('[5]Avoided Costs'!$D$7:$O$16,MATCH($A83,'[5]Avoided Costs'!$B$7:$B$16,0),MATCH(J$7,'[5]Avoided Costs'!$D$4:$O$4,0))</f>
        <v>30.165837325275771</v>
      </c>
      <c r="K83" s="102">
        <f>INDEX('[5]Avoided Costs'!$D$7:$O$16,MATCH($A83,'[5]Avoided Costs'!$B$7:$B$16,0),MATCH(K$7,'[5]Avoided Costs'!$D$4:$O$4,0))</f>
        <v>28.88849411786644</v>
      </c>
      <c r="L83" s="103">
        <f>INDEX('[5]Avoided Costs'!$D$7:$O$16,MATCH($A83,'[5]Avoided Costs'!$B$7:$B$16,0),MATCH(L$7,'[5]Avoided Costs'!$D$4:$O$4,0))</f>
        <v>25.084762839213429</v>
      </c>
      <c r="M83" s="104">
        <f>INDEX('[5]Avoided Costs'!$D$7:$O$16,MATCH($A83,'[5]Avoided Costs'!$B$7:$B$16,0),MATCH(M$7,'[5]Avoided Costs'!$D$4:$O$4,0))</f>
        <v>32.439755180794542</v>
      </c>
      <c r="N83" s="246"/>
      <c r="O83" s="246"/>
      <c r="P83" s="246"/>
      <c r="Q83" s="449"/>
      <c r="R83" s="246"/>
      <c r="S83" s="246"/>
      <c r="T83" s="246"/>
      <c r="U83" s="246"/>
      <c r="V83" s="246"/>
      <c r="W83" s="246"/>
      <c r="X83" s="246"/>
      <c r="Y83" s="246"/>
      <c r="Z83" s="246"/>
    </row>
    <row r="84" spans="1:30" ht="12.75" customHeight="1" x14ac:dyDescent="0.2">
      <c r="A84" s="101">
        <f t="shared" si="33"/>
        <v>2017</v>
      </c>
      <c r="B84" s="102">
        <f>INDEX('[5]Avoided Costs'!$D$7:$O$16,MATCH($A84,'[5]Avoided Costs'!$B$7:$B$16,0),MATCH(B$7,'[5]Avoided Costs'!$D$4:$O$4,0))</f>
        <v>29.882569777392732</v>
      </c>
      <c r="C84" s="103">
        <f>INDEX('[5]Avoided Costs'!$D$7:$O$16,MATCH($A84,'[5]Avoided Costs'!$B$7:$B$16,0),MATCH(C$7,'[5]Avoided Costs'!$D$4:$O$4,0))</f>
        <v>33.258596479001319</v>
      </c>
      <c r="D84" s="103">
        <f>INDEX('[5]Avoided Costs'!$D$7:$O$16,MATCH($A84,'[5]Avoided Costs'!$B$7:$B$16,0),MATCH(D$7,'[5]Avoided Costs'!$D$4:$O$4,0))</f>
        <v>34.308454645677436</v>
      </c>
      <c r="E84" s="103">
        <f>INDEX('[5]Avoided Costs'!$D$7:$O$16,MATCH($A84,'[5]Avoided Costs'!$B$7:$B$16,0),MATCH(E$7,'[5]Avoided Costs'!$D$4:$O$4,0))</f>
        <v>28.052636340771699</v>
      </c>
      <c r="F84" s="103">
        <f>INDEX('[5]Avoided Costs'!$D$7:$O$16,MATCH($A84,'[5]Avoided Costs'!$B$7:$B$16,0),MATCH(F$7,'[5]Avoided Costs'!$D$4:$O$4,0))</f>
        <v>26.594503860353864</v>
      </c>
      <c r="G84" s="102">
        <f>INDEX('[5]Avoided Costs'!$D$7:$O$16,MATCH($A84,'[5]Avoided Costs'!$B$7:$B$16,0),MATCH(G$7,'[5]Avoided Costs'!$D$4:$O$4,0))</f>
        <v>26.0829038706277</v>
      </c>
      <c r="H84" s="103">
        <f>INDEX('[5]Avoided Costs'!$D$7:$O$16,MATCH($A84,'[5]Avoided Costs'!$B$7:$B$16,0),MATCH(H$7,'[5]Avoided Costs'!$D$4:$O$4,0))</f>
        <v>35.113903721842554</v>
      </c>
      <c r="I84" s="103">
        <f>INDEX('[5]Avoided Costs'!$D$7:$O$16,MATCH($A84,'[5]Avoided Costs'!$B$7:$B$16,0),MATCH(I$7,'[5]Avoided Costs'!$D$4:$O$4,0))</f>
        <v>38.524465829230124</v>
      </c>
      <c r="J84" s="104">
        <f>INDEX('[5]Avoided Costs'!$D$7:$O$16,MATCH($A84,'[5]Avoided Costs'!$B$7:$B$16,0),MATCH(J$7,'[5]Avoided Costs'!$D$4:$O$4,0))</f>
        <v>33.559973114257055</v>
      </c>
      <c r="K84" s="102">
        <f>INDEX('[5]Avoided Costs'!$D$7:$O$16,MATCH($A84,'[5]Avoided Costs'!$B$7:$B$16,0),MATCH(K$7,'[5]Avoided Costs'!$D$4:$O$4,0))</f>
        <v>29.730057413968186</v>
      </c>
      <c r="L84" s="103">
        <f>INDEX('[5]Avoided Costs'!$D$7:$O$16,MATCH($A84,'[5]Avoided Costs'!$B$7:$B$16,0),MATCH(L$7,'[5]Avoided Costs'!$D$4:$O$4,0))</f>
        <v>30.353280094212128</v>
      </c>
      <c r="M84" s="104">
        <f>INDEX('[5]Avoided Costs'!$D$7:$O$16,MATCH($A84,'[5]Avoided Costs'!$B$7:$B$16,0),MATCH(M$7,'[5]Avoided Costs'!$D$4:$O$4,0))</f>
        <v>31.169594998020798</v>
      </c>
      <c r="N84" s="246"/>
      <c r="O84" s="246"/>
      <c r="P84" s="246"/>
      <c r="Q84" s="449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</row>
    <row r="85" spans="1:30" ht="12.75" customHeight="1" x14ac:dyDescent="0.2">
      <c r="A85" s="101">
        <f t="shared" si="33"/>
        <v>2018</v>
      </c>
      <c r="B85" s="102">
        <f>INDEX('[5]Avoided Costs'!$D$7:$O$16,MATCH($A85,'[5]Avoided Costs'!$B$7:$B$16,0),MATCH(B$7,'[5]Avoided Costs'!$D$4:$O$4,0))</f>
        <v>31.075108367773474</v>
      </c>
      <c r="C85" s="103">
        <f>INDEX('[5]Avoided Costs'!$D$7:$O$16,MATCH($A85,'[5]Avoided Costs'!$B$7:$B$16,0),MATCH(C$7,'[5]Avoided Costs'!$D$4:$O$4,0))</f>
        <v>31.957723527503688</v>
      </c>
      <c r="D85" s="103">
        <f>INDEX('[5]Avoided Costs'!$D$7:$O$16,MATCH($A85,'[5]Avoided Costs'!$B$7:$B$16,0),MATCH(D$7,'[5]Avoided Costs'!$D$4:$O$4,0))</f>
        <v>35.684698636337153</v>
      </c>
      <c r="E85" s="103">
        <f>INDEX('[5]Avoided Costs'!$D$7:$O$16,MATCH($A85,'[5]Avoided Costs'!$B$7:$B$16,0),MATCH(E$7,'[5]Avoided Costs'!$D$4:$O$4,0))</f>
        <v>30.918929822413872</v>
      </c>
      <c r="F85" s="103">
        <f>INDEX('[5]Avoided Costs'!$D$7:$O$16,MATCH($A85,'[5]Avoided Costs'!$B$7:$B$16,0),MATCH(F$7,'[5]Avoided Costs'!$D$4:$O$4,0))</f>
        <v>28.602939104416997</v>
      </c>
      <c r="G85" s="102">
        <f>INDEX('[5]Avoided Costs'!$D$7:$O$16,MATCH($A85,'[5]Avoided Costs'!$B$7:$B$16,0),MATCH(G$7,'[5]Avoided Costs'!$D$4:$O$4,0))</f>
        <v>28.618490489824779</v>
      </c>
      <c r="H85" s="103">
        <f>INDEX('[5]Avoided Costs'!$D$7:$O$16,MATCH($A85,'[5]Avoided Costs'!$B$7:$B$16,0),MATCH(H$7,'[5]Avoided Costs'!$D$4:$O$4,0))</f>
        <v>37.91831314160779</v>
      </c>
      <c r="I85" s="103">
        <f>INDEX('[5]Avoided Costs'!$D$7:$O$16,MATCH($A85,'[5]Avoided Costs'!$B$7:$B$16,0),MATCH(I$7,'[5]Avoided Costs'!$D$4:$O$4,0))</f>
        <v>41.258499352461712</v>
      </c>
      <c r="J85" s="104">
        <f>INDEX('[5]Avoided Costs'!$D$7:$O$16,MATCH($A85,'[5]Avoided Costs'!$B$7:$B$16,0),MATCH(J$7,'[5]Avoided Costs'!$D$4:$O$4,0))</f>
        <v>33.93204981572098</v>
      </c>
      <c r="K85" s="102">
        <f>INDEX('[5]Avoided Costs'!$D$7:$O$16,MATCH($A85,'[5]Avoided Costs'!$B$7:$B$16,0),MATCH(K$7,'[5]Avoided Costs'!$D$4:$O$4,0))</f>
        <v>33.515487850287187</v>
      </c>
      <c r="L85" s="103">
        <f>INDEX('[5]Avoided Costs'!$D$7:$O$16,MATCH($A85,'[5]Avoided Costs'!$B$7:$B$16,0),MATCH(L$7,'[5]Avoided Costs'!$D$4:$O$4,0))</f>
        <v>39.403977721966804</v>
      </c>
      <c r="M85" s="104">
        <f>INDEX('[5]Avoided Costs'!$D$7:$O$16,MATCH($A85,'[5]Avoided Costs'!$B$7:$B$16,0),MATCH(M$7,'[5]Avoided Costs'!$D$4:$O$4,0))</f>
        <v>32.983157214550403</v>
      </c>
      <c r="N85" s="246"/>
      <c r="O85" s="246"/>
      <c r="P85" s="246"/>
      <c r="Q85" s="449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30" ht="12.75" customHeight="1" x14ac:dyDescent="0.2">
      <c r="A86" s="101">
        <f t="shared" si="33"/>
        <v>2019</v>
      </c>
      <c r="B86" s="102">
        <f>INDEX('[5]Avoided Costs'!$D$7:$O$16,MATCH($A86,'[5]Avoided Costs'!$B$7:$B$16,0),MATCH(B$7,'[5]Avoided Costs'!$D$4:$O$4,0))</f>
        <v>33.113796920313312</v>
      </c>
      <c r="C86" s="103">
        <f>INDEX('[5]Avoided Costs'!$D$7:$O$16,MATCH($A86,'[5]Avoided Costs'!$B$7:$B$16,0),MATCH(C$7,'[5]Avoided Costs'!$D$4:$O$4,0))</f>
        <v>34.082442851754884</v>
      </c>
      <c r="D86" s="103">
        <f>INDEX('[5]Avoided Costs'!$D$7:$O$16,MATCH($A86,'[5]Avoided Costs'!$B$7:$B$16,0),MATCH(D$7,'[5]Avoided Costs'!$D$4:$O$4,0))</f>
        <v>36.465733661502597</v>
      </c>
      <c r="E86" s="103">
        <f>INDEX('[5]Avoided Costs'!$D$7:$O$16,MATCH($A86,'[5]Avoided Costs'!$B$7:$B$16,0),MATCH(E$7,'[5]Avoided Costs'!$D$4:$O$4,0))</f>
        <v>34.515712459418509</v>
      </c>
      <c r="F86" s="103">
        <f>INDEX('[5]Avoided Costs'!$D$7:$O$16,MATCH($A86,'[5]Avoided Costs'!$B$7:$B$16,0),MATCH(F$7,'[5]Avoided Costs'!$D$4:$O$4,0))</f>
        <v>30.407429856843045</v>
      </c>
      <c r="G86" s="102">
        <f>INDEX('[5]Avoided Costs'!$D$7:$O$16,MATCH($A86,'[5]Avoided Costs'!$B$7:$B$16,0),MATCH(G$7,'[5]Avoided Costs'!$D$4:$O$4,0))</f>
        <v>30.267854665906892</v>
      </c>
      <c r="H86" s="103">
        <f>INDEX('[5]Avoided Costs'!$D$7:$O$16,MATCH($A86,'[5]Avoided Costs'!$B$7:$B$16,0),MATCH(H$7,'[5]Avoided Costs'!$D$4:$O$4,0))</f>
        <v>39.906447466562994</v>
      </c>
      <c r="I86" s="103">
        <f>INDEX('[5]Avoided Costs'!$D$7:$O$16,MATCH($A86,'[5]Avoided Costs'!$B$7:$B$16,0),MATCH(I$7,'[5]Avoided Costs'!$D$4:$O$4,0))</f>
        <v>43.349064695218239</v>
      </c>
      <c r="J86" s="104">
        <f>INDEX('[5]Avoided Costs'!$D$7:$O$16,MATCH($A86,'[5]Avoided Costs'!$B$7:$B$16,0),MATCH(J$7,'[5]Avoided Costs'!$D$4:$O$4,0))</f>
        <v>36.378748990535321</v>
      </c>
      <c r="K86" s="102">
        <f>INDEX('[5]Avoided Costs'!$D$7:$O$16,MATCH($A86,'[5]Avoided Costs'!$B$7:$B$16,0),MATCH(K$7,'[5]Avoided Costs'!$D$4:$O$4,0))</f>
        <v>36.576477788865404</v>
      </c>
      <c r="L86" s="103">
        <f>INDEX('[5]Avoided Costs'!$D$7:$O$16,MATCH($A86,'[5]Avoided Costs'!$B$7:$B$16,0),MATCH(L$7,'[5]Avoided Costs'!$D$4:$O$4,0))</f>
        <v>35.053980247183809</v>
      </c>
      <c r="M86" s="104">
        <f>INDEX('[5]Avoided Costs'!$D$7:$O$16,MATCH($A86,'[5]Avoided Costs'!$B$7:$B$16,0),MATCH(M$7,'[5]Avoided Costs'!$D$4:$O$4,0))</f>
        <v>35.598310627672141</v>
      </c>
      <c r="N86" s="246"/>
      <c r="O86" s="246"/>
      <c r="P86" s="246"/>
      <c r="Q86" s="449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30" ht="12.75" customHeight="1" x14ac:dyDescent="0.2">
      <c r="A87" s="101">
        <f t="shared" si="33"/>
        <v>2020</v>
      </c>
      <c r="B87" s="102">
        <f>INDEX('[5]Avoided Costs'!$D$7:$O$16,MATCH($A87,'[5]Avoided Costs'!$B$7:$B$16,0),MATCH(B$7,'[5]Avoided Costs'!$D$4:$O$4,0))</f>
        <v>38.524641630005455</v>
      </c>
      <c r="C87" s="103">
        <f>INDEX('[5]Avoided Costs'!$D$7:$O$16,MATCH($A87,'[5]Avoided Costs'!$B$7:$B$16,0),MATCH(C$7,'[5]Avoided Costs'!$D$4:$O$4,0))</f>
        <v>36.681307086134439</v>
      </c>
      <c r="D87" s="103">
        <f>INDEX('[5]Avoided Costs'!$D$7:$O$16,MATCH($A87,'[5]Avoided Costs'!$B$7:$B$16,0),MATCH(D$7,'[5]Avoided Costs'!$D$4:$O$4,0))</f>
        <v>38.33954683781792</v>
      </c>
      <c r="E87" s="103">
        <f>INDEX('[5]Avoided Costs'!$D$7:$O$16,MATCH($A87,'[5]Avoided Costs'!$B$7:$B$16,0),MATCH(E$7,'[5]Avoided Costs'!$D$4:$O$4,0))</f>
        <v>37.693768727373744</v>
      </c>
      <c r="F87" s="103">
        <f>INDEX('[5]Avoided Costs'!$D$7:$O$16,MATCH($A87,'[5]Avoided Costs'!$B$7:$B$16,0),MATCH(F$7,'[5]Avoided Costs'!$D$4:$O$4,0))</f>
        <v>34.283690399267982</v>
      </c>
      <c r="G87" s="102">
        <f>INDEX('[5]Avoided Costs'!$D$7:$O$16,MATCH($A87,'[5]Avoided Costs'!$B$7:$B$16,0),MATCH(G$7,'[5]Avoided Costs'!$D$4:$O$4,0))</f>
        <v>36.528284479263753</v>
      </c>
      <c r="H87" s="103">
        <f>INDEX('[5]Avoided Costs'!$D$7:$O$16,MATCH($A87,'[5]Avoided Costs'!$B$7:$B$16,0),MATCH(H$7,'[5]Avoided Costs'!$D$4:$O$4,0))</f>
        <v>46.118239694104723</v>
      </c>
      <c r="I87" s="103">
        <f>INDEX('[5]Avoided Costs'!$D$7:$O$16,MATCH($A87,'[5]Avoided Costs'!$B$7:$B$16,0),MATCH(I$7,'[5]Avoided Costs'!$D$4:$O$4,0))</f>
        <v>46.031051282460488</v>
      </c>
      <c r="J87" s="104">
        <f>INDEX('[5]Avoided Costs'!$D$7:$O$16,MATCH($A87,'[5]Avoided Costs'!$B$7:$B$16,0),MATCH(J$7,'[5]Avoided Costs'!$D$4:$O$4,0))</f>
        <v>40.763812433899275</v>
      </c>
      <c r="K87" s="102">
        <f>INDEX('[5]Avoided Costs'!$D$7:$O$16,MATCH($A87,'[5]Avoided Costs'!$B$7:$B$16,0),MATCH(K$7,'[5]Avoided Costs'!$D$4:$O$4,0))</f>
        <v>37.622226672379242</v>
      </c>
      <c r="L87" s="103">
        <f>INDEX('[5]Avoided Costs'!$D$7:$O$16,MATCH($A87,'[5]Avoided Costs'!$B$7:$B$16,0),MATCH(L$7,'[5]Avoided Costs'!$D$4:$O$4,0))</f>
        <v>37.928383280444478</v>
      </c>
      <c r="M87" s="104">
        <f>INDEX('[5]Avoided Costs'!$D$7:$O$16,MATCH($A87,'[5]Avoided Costs'!$B$7:$B$16,0),MATCH(M$7,'[5]Avoided Costs'!$D$4:$O$4,0))</f>
        <v>36.945107823506156</v>
      </c>
      <c r="N87" s="246"/>
      <c r="O87" s="246"/>
      <c r="P87" s="246"/>
      <c r="Q87" s="449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30" ht="12.75" customHeight="1" x14ac:dyDescent="0.2">
      <c r="A88" s="101">
        <f t="shared" si="33"/>
        <v>2021</v>
      </c>
      <c r="B88" s="102">
        <f>INDEX('[5]Avoided Costs'!$D$7:$O$16,MATCH($A88,'[5]Avoided Costs'!$B$7:$B$16,0),MATCH(B$7,'[5]Avoided Costs'!$D$4:$O$4,0))</f>
        <v>39.807654860375386</v>
      </c>
      <c r="C88" s="103">
        <f>INDEX('[5]Avoided Costs'!$D$7:$O$16,MATCH($A88,'[5]Avoided Costs'!$B$7:$B$16,0),MATCH(C$7,'[5]Avoided Costs'!$D$4:$O$4,0))</f>
        <v>41.685868149481358</v>
      </c>
      <c r="D88" s="103">
        <f>INDEX('[5]Avoided Costs'!$D$7:$O$16,MATCH($A88,'[5]Avoided Costs'!$B$7:$B$16,0),MATCH(D$7,'[5]Avoided Costs'!$D$4:$O$4,0))</f>
        <v>40.621667487799158</v>
      </c>
      <c r="E88" s="103">
        <f>INDEX('[5]Avoided Costs'!$D$7:$O$16,MATCH($A88,'[5]Avoided Costs'!$B$7:$B$16,0),MATCH(E$7,'[5]Avoided Costs'!$D$4:$O$4,0))</f>
        <v>39.455154014937577</v>
      </c>
      <c r="F88" s="103">
        <f>INDEX('[5]Avoided Costs'!$D$7:$O$16,MATCH($A88,'[5]Avoided Costs'!$B$7:$B$16,0),MATCH(F$7,'[5]Avoided Costs'!$D$4:$O$4,0))</f>
        <v>37.82145221591076</v>
      </c>
      <c r="G88" s="102">
        <f>INDEX('[5]Avoided Costs'!$D$7:$O$16,MATCH($A88,'[5]Avoided Costs'!$B$7:$B$16,0),MATCH(G$7,'[5]Avoided Costs'!$D$4:$O$4,0))</f>
        <v>39.641154329871966</v>
      </c>
      <c r="H88" s="103">
        <f>INDEX('[5]Avoided Costs'!$D$7:$O$16,MATCH($A88,'[5]Avoided Costs'!$B$7:$B$16,0),MATCH(H$7,'[5]Avoided Costs'!$D$4:$O$4,0))</f>
        <v>46.653762015616223</v>
      </c>
      <c r="I88" s="103">
        <f>INDEX('[5]Avoided Costs'!$D$7:$O$16,MATCH($A88,'[5]Avoided Costs'!$B$7:$B$16,0),MATCH(I$7,'[5]Avoided Costs'!$D$4:$O$4,0))</f>
        <v>46.964928623601317</v>
      </c>
      <c r="J88" s="104">
        <f>INDEX('[5]Avoided Costs'!$D$7:$O$16,MATCH($A88,'[5]Avoided Costs'!$B$7:$B$16,0),MATCH(J$7,'[5]Avoided Costs'!$D$4:$O$4,0))</f>
        <v>43.104193730250827</v>
      </c>
      <c r="K88" s="102">
        <f>INDEX('[5]Avoided Costs'!$D$7:$O$16,MATCH($A88,'[5]Avoided Costs'!$B$7:$B$16,0),MATCH(K$7,'[5]Avoided Costs'!$D$4:$O$4,0))</f>
        <v>41.569675271128936</v>
      </c>
      <c r="L88" s="103">
        <f>INDEX('[5]Avoided Costs'!$D$7:$O$16,MATCH($A88,'[5]Avoided Costs'!$B$7:$B$16,0),MATCH(L$7,'[5]Avoided Costs'!$D$4:$O$4,0))</f>
        <v>44.724908349137337</v>
      </c>
      <c r="M88" s="104">
        <f>INDEX('[5]Avoided Costs'!$D$7:$O$16,MATCH($A88,'[5]Avoided Costs'!$B$7:$B$16,0),MATCH(M$7,'[5]Avoided Costs'!$D$4:$O$4,0))</f>
        <v>44.856009342994099</v>
      </c>
      <c r="N88" s="246"/>
      <c r="O88" s="246"/>
      <c r="P88" s="246"/>
      <c r="Q88" s="449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:30" ht="12.75" customHeight="1" x14ac:dyDescent="0.2">
      <c r="A89" s="101">
        <f t="shared" si="33"/>
        <v>2022</v>
      </c>
      <c r="B89" s="102">
        <f>INDEX('[5]Avoided Costs'!$D$7:$O$16,MATCH($A89,'[5]Avoided Costs'!$B$7:$B$16,0),MATCH(B$7,'[5]Avoided Costs'!$D$4:$O$4,0))</f>
        <v>42.750653922637945</v>
      </c>
      <c r="C89" s="103">
        <f>INDEX('[5]Avoided Costs'!$D$7:$O$16,MATCH($A89,'[5]Avoided Costs'!$B$7:$B$16,0),MATCH(C$7,'[5]Avoided Costs'!$D$4:$O$4,0))</f>
        <v>41.97415858643307</v>
      </c>
      <c r="D89" s="103">
        <f>INDEX('[5]Avoided Costs'!$D$7:$O$16,MATCH($A89,'[5]Avoided Costs'!$B$7:$B$16,0),MATCH(D$7,'[5]Avoided Costs'!$D$4:$O$4,0))</f>
        <v>42.526046430143296</v>
      </c>
      <c r="E89" s="103">
        <f>INDEX('[5]Avoided Costs'!$D$7:$O$16,MATCH($A89,'[5]Avoided Costs'!$B$7:$B$16,0),MATCH(E$7,'[5]Avoided Costs'!$D$4:$O$4,0))</f>
        <v>39.140701079716287</v>
      </c>
      <c r="F89" s="103">
        <f>INDEX('[5]Avoided Costs'!$D$7:$O$16,MATCH($A89,'[5]Avoided Costs'!$B$7:$B$16,0),MATCH(F$7,'[5]Avoided Costs'!$D$4:$O$4,0))</f>
        <v>38.645816120693603</v>
      </c>
      <c r="G89" s="102">
        <f>INDEX('[5]Avoided Costs'!$D$7:$O$16,MATCH($A89,'[5]Avoided Costs'!$B$7:$B$16,0),MATCH(G$7,'[5]Avoided Costs'!$D$4:$O$4,0))</f>
        <v>41.800467893920008</v>
      </c>
      <c r="H89" s="103">
        <f>INDEX('[5]Avoided Costs'!$D$7:$O$16,MATCH($A89,'[5]Avoided Costs'!$B$7:$B$16,0),MATCH(H$7,'[5]Avoided Costs'!$D$4:$O$4,0))</f>
        <v>48.277988398339481</v>
      </c>
      <c r="I89" s="103">
        <f>INDEX('[5]Avoided Costs'!$D$7:$O$16,MATCH($A89,'[5]Avoided Costs'!$B$7:$B$16,0),MATCH(I$7,'[5]Avoided Costs'!$D$4:$O$4,0))</f>
        <v>47.695197923088905</v>
      </c>
      <c r="J89" s="104">
        <f>INDEX('[5]Avoided Costs'!$D$7:$O$16,MATCH($A89,'[5]Avoided Costs'!$B$7:$B$16,0),MATCH(J$7,'[5]Avoided Costs'!$D$4:$O$4,0))</f>
        <v>43.402221532149447</v>
      </c>
      <c r="K89" s="102">
        <f>INDEX('[5]Avoided Costs'!$D$7:$O$16,MATCH($A89,'[5]Avoided Costs'!$B$7:$B$16,0),MATCH(K$7,'[5]Avoided Costs'!$D$4:$O$4,0))</f>
        <v>42.209440841686018</v>
      </c>
      <c r="L89" s="103">
        <f>INDEX('[5]Avoided Costs'!$D$7:$O$16,MATCH($A89,'[5]Avoided Costs'!$B$7:$B$16,0),MATCH(L$7,'[5]Avoided Costs'!$D$4:$O$4,0))</f>
        <v>42.745416880684594</v>
      </c>
      <c r="M89" s="104">
        <f>INDEX('[5]Avoided Costs'!$D$7:$O$16,MATCH($A89,'[5]Avoided Costs'!$B$7:$B$16,0),MATCH(M$7,'[5]Avoided Costs'!$D$4:$O$4,0))</f>
        <v>44.971186395341988</v>
      </c>
      <c r="N89" s="246"/>
      <c r="O89" s="246"/>
      <c r="P89" s="246"/>
      <c r="Q89" s="449"/>
      <c r="R89" s="246"/>
      <c r="S89" s="246"/>
      <c r="T89" s="246"/>
      <c r="U89" s="246"/>
      <c r="V89" s="246"/>
      <c r="W89" s="246"/>
      <c r="X89" s="246"/>
      <c r="Y89" s="246"/>
      <c r="Z89" s="246"/>
    </row>
    <row r="90" spans="1:30" ht="12.75" customHeight="1" x14ac:dyDescent="0.2">
      <c r="A90" s="101">
        <f t="shared" si="33"/>
        <v>2023</v>
      </c>
      <c r="B90" s="102">
        <f>INDEX('[5]Avoided Costs'!$D$7:$O$16,MATCH($A90,'[5]Avoided Costs'!$B$7:$B$16,0),MATCH(B$7,'[5]Avoided Costs'!$D$4:$O$4,0))</f>
        <v>43.887187522477518</v>
      </c>
      <c r="C90" s="103">
        <f>INDEX('[5]Avoided Costs'!$D$7:$O$16,MATCH($A90,'[5]Avoided Costs'!$B$7:$B$16,0),MATCH(C$7,'[5]Avoided Costs'!$D$4:$O$4,0))</f>
        <v>43.409913552924991</v>
      </c>
      <c r="D90" s="103">
        <f>INDEX('[5]Avoided Costs'!$D$7:$O$16,MATCH($A90,'[5]Avoided Costs'!$B$7:$B$16,0),MATCH(D$7,'[5]Avoided Costs'!$D$4:$O$4,0))</f>
        <v>43.174649045632414</v>
      </c>
      <c r="E90" s="103">
        <f>INDEX('[5]Avoided Costs'!$D$7:$O$16,MATCH($A90,'[5]Avoided Costs'!$B$7:$B$16,0),MATCH(E$7,'[5]Avoided Costs'!$D$4:$O$4,0))</f>
        <v>41.310596519286435</v>
      </c>
      <c r="F90" s="103">
        <f>INDEX('[5]Avoided Costs'!$D$7:$O$16,MATCH($A90,'[5]Avoided Costs'!$B$7:$B$16,0),MATCH(F$7,'[5]Avoided Costs'!$D$4:$O$4,0))</f>
        <v>40.255377018772144</v>
      </c>
      <c r="G90" s="102">
        <f>INDEX('[5]Avoided Costs'!$D$7:$O$16,MATCH($A90,'[5]Avoided Costs'!$B$7:$B$16,0),MATCH(G$7,'[5]Avoided Costs'!$D$4:$O$4,0))</f>
        <v>42.600930524054498</v>
      </c>
      <c r="H90" s="103">
        <f>INDEX('[5]Avoided Costs'!$D$7:$O$16,MATCH($A90,'[5]Avoided Costs'!$B$7:$B$16,0),MATCH(H$7,'[5]Avoided Costs'!$D$4:$O$4,0))</f>
        <v>49.688676815023342</v>
      </c>
      <c r="I90" s="103">
        <f>INDEX('[5]Avoided Costs'!$D$7:$O$16,MATCH($A90,'[5]Avoided Costs'!$B$7:$B$16,0),MATCH(I$7,'[5]Avoided Costs'!$D$4:$O$4,0))</f>
        <v>49.151929403961667</v>
      </c>
      <c r="J90" s="104">
        <f>INDEX('[5]Avoided Costs'!$D$7:$O$16,MATCH($A90,'[5]Avoided Costs'!$B$7:$B$16,0),MATCH(J$7,'[5]Avoided Costs'!$D$4:$O$4,0))</f>
        <v>43.26958293750468</v>
      </c>
      <c r="K90" s="102">
        <f>INDEX('[5]Avoided Costs'!$D$7:$O$16,MATCH($A90,'[5]Avoided Costs'!$B$7:$B$16,0),MATCH(K$7,'[5]Avoided Costs'!$D$4:$O$4,0))</f>
        <v>43.775253756720851</v>
      </c>
      <c r="L90" s="103">
        <f>INDEX('[5]Avoided Costs'!$D$7:$O$16,MATCH($A90,'[5]Avoided Costs'!$B$7:$B$16,0),MATCH(L$7,'[5]Avoided Costs'!$D$4:$O$4,0))</f>
        <v>45.519154481941626</v>
      </c>
      <c r="M90" s="104">
        <f>INDEX('[5]Avoided Costs'!$D$7:$O$16,MATCH($A90,'[5]Avoided Costs'!$B$7:$B$16,0),MATCH(M$7,'[5]Avoided Costs'!$D$4:$O$4,0))</f>
        <v>47.876191666666216</v>
      </c>
      <c r="N90" s="246"/>
      <c r="O90" s="246"/>
      <c r="P90" s="246"/>
      <c r="Q90" s="449"/>
      <c r="R90" s="246"/>
      <c r="S90" s="246"/>
      <c r="T90" s="246"/>
      <c r="U90" s="246"/>
      <c r="V90" s="246"/>
      <c r="W90" s="246"/>
      <c r="X90" s="246"/>
      <c r="Y90" s="246"/>
      <c r="Z90" s="246"/>
    </row>
    <row r="91" spans="1:30" ht="12.75" customHeight="1" x14ac:dyDescent="0.2">
      <c r="A91" s="101">
        <f t="shared" si="33"/>
        <v>2024</v>
      </c>
      <c r="B91" s="102">
        <f>INDEX('[6]Avoided Costs'!$D$7:$O$16,MATCH($A91,'[6]Avoided Costs'!$B$7:$B$16,0),MATCH(B$7,'[6]Avoided Costs'!$D$4:$O$4,0))</f>
        <v>46.349905698926698</v>
      </c>
      <c r="C91" s="103">
        <f>INDEX('[6]Avoided Costs'!$D$7:$O$16,MATCH($A91,'[6]Avoided Costs'!$B$7:$B$16,0),MATCH(C$7,'[6]Avoided Costs'!$D$4:$O$4,0))</f>
        <v>45.871396860630178</v>
      </c>
      <c r="D91" s="103">
        <f>INDEX('[6]Avoided Costs'!$D$7:$O$16,MATCH($A91,'[6]Avoided Costs'!$B$7:$B$16,0),MATCH(D$7,'[6]Avoided Costs'!$D$4:$O$4,0))</f>
        <v>45.302427853499687</v>
      </c>
      <c r="E91" s="103">
        <f>INDEX('[6]Avoided Costs'!$D$7:$O$16,MATCH($A91,'[6]Avoided Costs'!$B$7:$B$16,0),MATCH(E$7,'[6]Avoided Costs'!$D$4:$O$4,0))</f>
        <v>42.866007086113093</v>
      </c>
      <c r="F91" s="103">
        <f>INDEX('[6]Avoided Costs'!$D$7:$O$16,MATCH($A91,'[6]Avoided Costs'!$B$7:$B$16,0),MATCH(F$7,'[6]Avoided Costs'!$D$4:$O$4,0))</f>
        <v>41.189462236559358</v>
      </c>
      <c r="G91" s="102">
        <f>INDEX('[6]Avoided Costs'!$D$7:$O$16,MATCH($A91,'[6]Avoided Costs'!$B$7:$B$16,0),MATCH(G$7,'[6]Avoided Costs'!$D$4:$O$4,0))</f>
        <v>44.054159319450456</v>
      </c>
      <c r="H91" s="103">
        <f>INDEX('[6]Avoided Costs'!$D$7:$O$16,MATCH($A91,'[6]Avoided Costs'!$B$7:$B$16,0),MATCH(H$7,'[6]Avoided Costs'!$D$4:$O$4,0))</f>
        <v>52.07935329301543</v>
      </c>
      <c r="I91" s="103">
        <f>INDEX('[6]Avoided Costs'!$D$7:$O$16,MATCH($A91,'[6]Avoided Costs'!$B$7:$B$16,0),MATCH(I$7,'[6]Avoided Costs'!$D$4:$O$4,0))</f>
        <v>53.031657612904588</v>
      </c>
      <c r="J91" s="103">
        <f>INDEX('[6]Avoided Costs'!$D$7:$O$16,MATCH($A91,'[6]Avoided Costs'!$B$7:$B$16,0),MATCH(J$7,'[6]Avoided Costs'!$D$4:$O$4,0))</f>
        <v>45.765764245837929</v>
      </c>
      <c r="K91" s="102">
        <f>INDEX('[6]Avoided Costs'!$D$7:$O$16,MATCH($A91,'[6]Avoided Costs'!$B$7:$B$16,0),MATCH(K$7,'[6]Avoided Costs'!$D$4:$O$4,0))</f>
        <v>46.330410318553291</v>
      </c>
      <c r="L91" s="103">
        <f>INDEX('[6]Avoided Costs'!$D$7:$O$16,MATCH($A91,'[6]Avoided Costs'!$B$7:$B$16,0),MATCH(L$7,'[6]Avoided Costs'!$D$4:$O$4,0))</f>
        <v>47.02964870694197</v>
      </c>
      <c r="M91" s="104">
        <f>INDEX('[6]Avoided Costs'!$D$7:$O$16,MATCH($A91,'[6]Avoided Costs'!$B$7:$B$16,0),MATCH(M$7,'[6]Avoided Costs'!$D$4:$O$4,0))</f>
        <v>48.331040403226851</v>
      </c>
      <c r="N91" s="246"/>
      <c r="O91" s="247"/>
      <c r="P91" s="247"/>
      <c r="Q91" s="450"/>
      <c r="R91" s="247"/>
      <c r="S91" s="247"/>
      <c r="T91" s="247"/>
      <c r="U91" s="247"/>
      <c r="V91" s="247"/>
      <c r="W91" s="247"/>
      <c r="X91" s="247"/>
      <c r="Y91" s="247"/>
      <c r="Z91" s="247"/>
    </row>
    <row r="92" spans="1:30" ht="12.75" customHeight="1" x14ac:dyDescent="0.2">
      <c r="A92" s="101">
        <f t="shared" si="33"/>
        <v>2025</v>
      </c>
      <c r="B92" s="102">
        <f>INDEX('[6]Avoided Costs'!$D$7:$O$16,MATCH($A92,'[6]Avoided Costs'!$B$7:$B$16,0),MATCH(B$7,'[6]Avoided Costs'!$D$4:$O$4,0))</f>
        <v>49.676321900535818</v>
      </c>
      <c r="C92" s="103">
        <f>INDEX('[6]Avoided Costs'!$D$7:$O$16,MATCH($A92,'[6]Avoided Costs'!$B$7:$B$16,0),MATCH(C$7,'[6]Avoided Costs'!$D$4:$O$4,0))</f>
        <v>48.592422946431633</v>
      </c>
      <c r="D92" s="103">
        <f>INDEX('[6]Avoided Costs'!$D$7:$O$16,MATCH($A92,'[6]Avoided Costs'!$B$7:$B$16,0),MATCH(D$7,'[6]Avoided Costs'!$D$4:$O$4,0))</f>
        <v>46.982895752687448</v>
      </c>
      <c r="E92" s="103">
        <f>INDEX('[6]Avoided Costs'!$D$7:$O$16,MATCH($A92,'[6]Avoided Costs'!$B$7:$B$16,0),MATCH(E$7,'[6]Avoided Costs'!$D$4:$O$4,0))</f>
        <v>44.072134013892047</v>
      </c>
      <c r="F92" s="103">
        <f>INDEX('[6]Avoided Costs'!$D$7:$O$16,MATCH($A92,'[6]Avoided Costs'!$B$7:$B$16,0),MATCH(F$7,'[6]Avoided Costs'!$D$4:$O$4,0))</f>
        <v>43.478546629032941</v>
      </c>
      <c r="G92" s="102">
        <f>INDEX('[6]Avoided Costs'!$D$7:$O$16,MATCH($A92,'[6]Avoided Costs'!$B$7:$B$16,0),MATCH(G$7,'[6]Avoided Costs'!$D$4:$O$4,0))</f>
        <v>46.756004944447845</v>
      </c>
      <c r="H92" s="103">
        <f>INDEX('[6]Avoided Costs'!$D$7:$O$16,MATCH($A92,'[6]Avoided Costs'!$B$7:$B$16,0),MATCH(H$7,'[6]Avoided Costs'!$D$4:$O$4,0))</f>
        <v>54.972026448917163</v>
      </c>
      <c r="I92" s="103">
        <f>INDEX('[6]Avoided Costs'!$D$7:$O$16,MATCH($A92,'[6]Avoided Costs'!$B$7:$B$16,0),MATCH(I$7,'[6]Avoided Costs'!$D$4:$O$4,0))</f>
        <v>56.294723002684691</v>
      </c>
      <c r="J92" s="103">
        <f>INDEX('[6]Avoided Costs'!$D$7:$O$16,MATCH($A92,'[6]Avoided Costs'!$B$7:$B$16,0),MATCH(J$7,'[6]Avoided Costs'!$D$4:$O$4,0))</f>
        <v>49.403988412498599</v>
      </c>
      <c r="K92" s="102">
        <f>INDEX('[6]Avoided Costs'!$D$7:$O$16,MATCH($A92,'[6]Avoided Costs'!$B$7:$B$16,0),MATCH(K$7,'[6]Avoided Costs'!$D$4:$O$4,0))</f>
        <v>47.84721409409277</v>
      </c>
      <c r="L92" s="103">
        <f>INDEX('[6]Avoided Costs'!$D$7:$O$16,MATCH($A92,'[6]Avoided Costs'!$B$7:$B$16,0),MATCH(L$7,'[6]Avoided Costs'!$D$4:$O$4,0))</f>
        <v>49.177842659718458</v>
      </c>
      <c r="M92" s="104">
        <f>INDEX('[6]Avoided Costs'!$D$7:$O$16,MATCH($A92,'[6]Avoided Costs'!$B$7:$B$16,0),MATCH(M$7,'[6]Avoided Costs'!$D$4:$O$4,0))</f>
        <v>50.615206354840467</v>
      </c>
      <c r="N92" s="246"/>
    </row>
    <row r="93" spans="1:30" ht="12.75" customHeight="1" x14ac:dyDescent="0.2">
      <c r="A93" s="101">
        <f t="shared" si="33"/>
        <v>2026</v>
      </c>
      <c r="B93" s="102">
        <f>INDEX('[6]Avoided Costs'!$D$7:$O$16,MATCH($A93,'[6]Avoided Costs'!$B$7:$B$16,0),MATCH(B$7,'[6]Avoided Costs'!$D$4:$O$4,0))</f>
        <v>51.370240154573992</v>
      </c>
      <c r="C93" s="103">
        <f>INDEX('[6]Avoided Costs'!$D$7:$O$16,MATCH($A93,'[6]Avoided Costs'!$B$7:$B$16,0),MATCH(C$7,'[6]Avoided Costs'!$D$4:$O$4,0))</f>
        <v>50.365011380954336</v>
      </c>
      <c r="D93" s="103">
        <f>INDEX('[6]Avoided Costs'!$D$7:$O$16,MATCH($A93,'[6]Avoided Costs'!$B$7:$B$16,0),MATCH(D$7,'[6]Avoided Costs'!$D$4:$O$4,0))</f>
        <v>48.476385309138607</v>
      </c>
      <c r="E93" s="103">
        <f>INDEX('[6]Avoided Costs'!$D$7:$O$16,MATCH($A93,'[6]Avoided Costs'!$B$7:$B$16,0),MATCH(E$7,'[6]Avoided Costs'!$D$4:$O$4,0))</f>
        <v>46.802835443048842</v>
      </c>
      <c r="F93" s="103">
        <f>INDEX('[6]Avoided Costs'!$D$7:$O$16,MATCH($A93,'[6]Avoided Costs'!$B$7:$B$16,0),MATCH(F$7,'[6]Avoided Costs'!$D$4:$O$4,0))</f>
        <v>45.153886819891234</v>
      </c>
      <c r="G93" s="102">
        <f>INDEX('[6]Avoided Costs'!$D$7:$O$16,MATCH($A93,'[6]Avoided Costs'!$B$7:$B$16,0),MATCH(G$7,'[6]Avoided Costs'!$D$4:$O$4,0))</f>
        <v>49.368580022222467</v>
      </c>
      <c r="H93" s="103">
        <f>INDEX('[6]Avoided Costs'!$D$7:$O$16,MATCH($A93,'[6]Avoided Costs'!$B$7:$B$16,0),MATCH(H$7,'[6]Avoided Costs'!$D$4:$O$4,0))</f>
        <v>57.530869302421969</v>
      </c>
      <c r="I93" s="103">
        <f>INDEX('[6]Avoided Costs'!$D$7:$O$16,MATCH($A93,'[6]Avoided Costs'!$B$7:$B$16,0),MATCH(I$7,'[6]Avoided Costs'!$D$4:$O$4,0))</f>
        <v>59.108752966391783</v>
      </c>
      <c r="J93" s="103">
        <f>INDEX('[6]Avoided Costs'!$D$7:$O$16,MATCH($A93,'[6]Avoided Costs'!$B$7:$B$16,0),MATCH(J$7,'[6]Avoided Costs'!$D$4:$O$4,0))</f>
        <v>52.080368083334633</v>
      </c>
      <c r="K93" s="102">
        <f>INDEX('[6]Avoided Costs'!$D$7:$O$16,MATCH($A93,'[6]Avoided Costs'!$B$7:$B$16,0),MATCH(K$7,'[6]Avoided Costs'!$D$4:$O$4,0))</f>
        <v>49.618458229836115</v>
      </c>
      <c r="L93" s="103">
        <f>INDEX('[6]Avoided Costs'!$D$7:$O$16,MATCH($A93,'[6]Avoided Costs'!$B$7:$B$16,0),MATCH(L$7,'[6]Avoided Costs'!$D$4:$O$4,0))</f>
        <v>51.119395020827653</v>
      </c>
      <c r="M93" s="104">
        <f>INDEX('[6]Avoided Costs'!$D$7:$O$16,MATCH($A93,'[6]Avoided Costs'!$B$7:$B$16,0),MATCH(M$7,'[6]Avoided Costs'!$D$4:$O$4,0))</f>
        <v>53.347759806452899</v>
      </c>
      <c r="N93" s="246"/>
    </row>
    <row r="94" spans="1:30" ht="12.75" hidden="1" customHeight="1" x14ac:dyDescent="0.2">
      <c r="A94" s="101"/>
      <c r="B94" s="102"/>
      <c r="C94" s="103"/>
      <c r="D94" s="103"/>
      <c r="E94" s="103"/>
      <c r="F94" s="103"/>
      <c r="G94" s="102"/>
      <c r="H94" s="103"/>
      <c r="I94" s="103"/>
      <c r="J94" s="103"/>
      <c r="K94" s="102"/>
      <c r="L94" s="103"/>
      <c r="M94" s="104"/>
    </row>
    <row r="95" spans="1:30" ht="12.75" hidden="1" customHeight="1" x14ac:dyDescent="0.2">
      <c r="A95" s="101"/>
      <c r="B95" s="102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4"/>
    </row>
    <row r="96" spans="1:30" ht="12.75" hidden="1" customHeight="1" x14ac:dyDescent="0.2">
      <c r="A96" s="105"/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8"/>
    </row>
    <row r="97" spans="1:17" ht="12.75" customHeight="1" x14ac:dyDescent="0.2">
      <c r="A97" s="218"/>
      <c r="B97" s="216"/>
      <c r="C97" s="216"/>
      <c r="D97" s="216"/>
      <c r="E97" s="216"/>
      <c r="F97" s="215"/>
      <c r="G97" s="215"/>
      <c r="H97" s="215"/>
      <c r="I97" s="215"/>
      <c r="J97" s="217"/>
      <c r="K97" s="215"/>
      <c r="L97" s="215"/>
      <c r="M97" s="215"/>
    </row>
    <row r="98" spans="1:17" s="70" customFormat="1" ht="12.75" customHeight="1" x14ac:dyDescent="0.2">
      <c r="A98" s="113"/>
      <c r="C98" s="77"/>
      <c r="D98" s="77"/>
      <c r="E98" s="77"/>
      <c r="G98" s="103"/>
      <c r="H98" s="103"/>
      <c r="I98" s="103"/>
      <c r="K98" s="77"/>
      <c r="L98" s="77"/>
      <c r="M98" s="77"/>
      <c r="Q98" s="445"/>
    </row>
    <row r="99" spans="1:17" s="70" customFormat="1" ht="12.75" hidden="1" customHeight="1" x14ac:dyDescent="0.2">
      <c r="A99" s="114"/>
      <c r="K99" s="109"/>
      <c r="Q99" s="445"/>
    </row>
    <row r="100" spans="1:17" s="70" customFormat="1" ht="12.75" hidden="1" customHeight="1" x14ac:dyDescent="0.2">
      <c r="A100" s="114"/>
      <c r="K100" s="109"/>
      <c r="Q100" s="445"/>
    </row>
    <row r="101" spans="1:17" s="70" customFormat="1" ht="12.75" customHeight="1" x14ac:dyDescent="0.2">
      <c r="A101" s="60" t="s">
        <v>83</v>
      </c>
      <c r="D101" s="77"/>
      <c r="E101" s="103"/>
      <c r="F101" s="103"/>
      <c r="G101" s="103"/>
      <c r="J101" s="103"/>
      <c r="K101" s="103"/>
      <c r="Q101" s="445"/>
    </row>
    <row r="102" spans="1:17" ht="12.75" customHeight="1" x14ac:dyDescent="0.2">
      <c r="A102" s="60" t="s">
        <v>310</v>
      </c>
      <c r="C102" s="115"/>
      <c r="D102" s="77"/>
      <c r="E102" s="103"/>
      <c r="F102" s="103"/>
      <c r="G102" s="103"/>
      <c r="H102" s="70"/>
      <c r="N102" s="70"/>
      <c r="O102" s="70"/>
      <c r="P102" s="70"/>
    </row>
    <row r="103" spans="1:17" ht="12.75" customHeight="1" x14ac:dyDescent="0.2">
      <c r="A103" s="60" t="s">
        <v>311</v>
      </c>
      <c r="C103" s="115"/>
      <c r="D103" s="77"/>
      <c r="E103" s="103"/>
      <c r="F103" s="103"/>
      <c r="G103" s="103"/>
      <c r="H103" s="70"/>
      <c r="N103" s="70"/>
      <c r="O103" s="70"/>
      <c r="P103" s="70"/>
    </row>
    <row r="104" spans="1:17" ht="12.75" customHeight="1" x14ac:dyDescent="0.2">
      <c r="A104" s="60" t="s">
        <v>313</v>
      </c>
      <c r="C104" s="115"/>
      <c r="D104" s="77"/>
      <c r="E104" s="103"/>
      <c r="F104" s="103"/>
      <c r="G104" s="103"/>
      <c r="H104" s="70"/>
      <c r="N104" s="70"/>
      <c r="O104" s="70"/>
      <c r="P104" s="70"/>
    </row>
    <row r="105" spans="1:17" ht="12.75" customHeight="1" x14ac:dyDescent="0.2">
      <c r="A105" s="60" t="s">
        <v>314</v>
      </c>
      <c r="C105" s="115"/>
      <c r="D105" s="77"/>
      <c r="E105" s="103"/>
      <c r="F105" s="103"/>
      <c r="G105" s="103"/>
      <c r="H105" s="70"/>
      <c r="N105" s="70"/>
      <c r="O105" s="70"/>
      <c r="P105" s="70"/>
    </row>
    <row r="106" spans="1:17" ht="12.75" customHeight="1" x14ac:dyDescent="0.2">
      <c r="A106" s="60" t="s">
        <v>317</v>
      </c>
      <c r="C106" s="60" t="s">
        <v>153</v>
      </c>
      <c r="D106" s="70"/>
      <c r="E106" s="70"/>
      <c r="F106" s="70"/>
      <c r="G106" s="70"/>
    </row>
    <row r="108" spans="1:17" x14ac:dyDescent="0.2">
      <c r="C108" s="60" t="s">
        <v>154</v>
      </c>
    </row>
    <row r="109" spans="1:17" x14ac:dyDescent="0.2">
      <c r="C109" s="60" t="s">
        <v>167</v>
      </c>
      <c r="E109" s="246">
        <v>1</v>
      </c>
    </row>
    <row r="111" spans="1:17" x14ac:dyDescent="0.2">
      <c r="C111" s="442"/>
      <c r="Q111" s="449"/>
    </row>
    <row r="112" spans="1:17" x14ac:dyDescent="0.2">
      <c r="C112" s="378"/>
      <c r="Q112" s="449"/>
    </row>
    <row r="127" ht="24.75" customHeight="1" x14ac:dyDescent="0.2"/>
  </sheetData>
  <phoneticPr fontId="7" type="noConversion"/>
  <printOptions horizontalCentered="1"/>
  <pageMargins left="0.25" right="0.25" top="0.75" bottom="0.75" header="0.3" footer="0.3"/>
  <pageSetup scale="55" orientation="portrait" r:id="rId1"/>
  <headerFooter alignWithMargins="0">
    <oddFooter>&amp;L&amp;8NPC Group - &amp;F   ( &amp;A )&amp;C &amp;R &amp;8&amp;D  &amp;T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view="pageBreakPreview" topLeftCell="A16" zoomScale="60" zoomScaleNormal="100" workbookViewId="0">
      <selection activeCell="U77" sqref="U77"/>
    </sheetView>
  </sheetViews>
  <sheetFormatPr defaultRowHeight="12.75" x14ac:dyDescent="0.2"/>
  <cols>
    <col min="1" max="1" width="9.33203125" style="60"/>
    <col min="2" max="10" width="8.5" style="60" customWidth="1"/>
    <col min="11" max="11" width="8.5" style="70" customWidth="1"/>
    <col min="12" max="13" width="8.5" style="60" customWidth="1"/>
    <col min="14" max="14" width="9.83203125" style="60" customWidth="1"/>
    <col min="15" max="15" width="9" style="60" customWidth="1"/>
    <col min="16" max="16" width="10.33203125" style="60" customWidth="1"/>
    <col min="17" max="17" width="8.5" style="60" customWidth="1"/>
    <col min="18" max="21" width="15.33203125" style="60" customWidth="1"/>
    <col min="22" max="16384" width="9.33203125" style="60"/>
  </cols>
  <sheetData>
    <row r="1" spans="1:24" s="5" customFormat="1" ht="15.75" x14ac:dyDescent="0.25">
      <c r="A1" s="1" t="s">
        <v>180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</row>
    <row r="2" spans="1:24" s="7" customFormat="1" ht="15" x14ac:dyDescent="0.25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</row>
    <row r="3" spans="1:24" s="7" customFormat="1" ht="15" x14ac:dyDescent="0.25">
      <c r="A3" s="3" t="str">
        <f>"Avoided Resource ("&amp;A10&amp;" through "&amp;MAX(A10:A27)&amp;")"</f>
        <v>Avoided Resource (2014 through 2026)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</row>
    <row r="4" spans="1:24" ht="15" x14ac:dyDescent="0.25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24" x14ac:dyDescent="0.2">
      <c r="B5" s="88"/>
      <c r="C5" s="88"/>
      <c r="D5" s="88"/>
      <c r="E5" s="4"/>
      <c r="F5" s="4"/>
      <c r="G5" s="4"/>
      <c r="H5" s="4"/>
      <c r="I5" s="4"/>
      <c r="J5" s="4"/>
      <c r="K5" s="17"/>
    </row>
    <row r="6" spans="1:24" x14ac:dyDescent="0.2">
      <c r="A6" s="89" t="s">
        <v>2</v>
      </c>
      <c r="B6" s="90" t="s">
        <v>60</v>
      </c>
      <c r="C6" s="91"/>
      <c r="D6" s="91"/>
      <c r="E6" s="90"/>
      <c r="F6" s="90"/>
      <c r="G6" s="90" t="s">
        <v>61</v>
      </c>
      <c r="H6" s="90"/>
      <c r="I6" s="90"/>
      <c r="J6" s="90"/>
      <c r="K6" s="90" t="s">
        <v>60</v>
      </c>
      <c r="L6" s="90"/>
      <c r="M6" s="90"/>
    </row>
    <row r="7" spans="1:24" x14ac:dyDescent="0.2">
      <c r="A7" s="92"/>
      <c r="B7" s="93" t="s">
        <v>48</v>
      </c>
      <c r="C7" s="93" t="s">
        <v>49</v>
      </c>
      <c r="D7" s="93" t="s">
        <v>50</v>
      </c>
      <c r="E7" s="93" t="s">
        <v>51</v>
      </c>
      <c r="F7" s="94" t="s">
        <v>52</v>
      </c>
      <c r="G7" s="93" t="s">
        <v>53</v>
      </c>
      <c r="H7" s="93" t="s">
        <v>54</v>
      </c>
      <c r="I7" s="93" t="s">
        <v>55</v>
      </c>
      <c r="J7" s="94" t="s">
        <v>56</v>
      </c>
      <c r="K7" s="93" t="s">
        <v>57</v>
      </c>
      <c r="L7" s="93" t="s">
        <v>58</v>
      </c>
      <c r="M7" s="94" t="s">
        <v>59</v>
      </c>
    </row>
    <row r="8" spans="1:2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24" ht="12.75" customHeight="1" x14ac:dyDescent="0.2">
      <c r="A9" s="13" t="str">
        <f>'Table 2A BaseLoad'!A9</f>
        <v>On-Peak (1)</v>
      </c>
      <c r="C9" s="88"/>
      <c r="D9" s="88"/>
      <c r="E9" s="88"/>
      <c r="F9" s="88"/>
      <c r="G9" s="88"/>
      <c r="H9" s="88"/>
      <c r="I9" s="88"/>
      <c r="J9" s="88"/>
      <c r="K9" s="96"/>
      <c r="L9" s="70"/>
      <c r="M9" s="70"/>
    </row>
    <row r="10" spans="1:24" ht="12.75" customHeight="1" x14ac:dyDescent="0.2">
      <c r="A10" s="97">
        <f>'Tables 3 to 6'!$B$13</f>
        <v>2014</v>
      </c>
      <c r="B10" s="98"/>
      <c r="C10" s="99"/>
      <c r="D10" s="99"/>
      <c r="E10" s="99"/>
      <c r="F10" s="100"/>
      <c r="G10" s="99"/>
      <c r="H10" s="99">
        <f>'Table 2A BaseLoad'!H10-'Table 12'!$E9</f>
        <v>31.992631202674641</v>
      </c>
      <c r="I10" s="99">
        <f>'Table 2A BaseLoad'!I10-'Table 12'!$E9</f>
        <v>42.266987818036895</v>
      </c>
      <c r="J10" s="100">
        <f>'Table 2A BaseLoad'!J10-'Table 12'!$E9</f>
        <v>30.394554569778354</v>
      </c>
      <c r="K10" s="99">
        <f>'Table 2A BaseLoad'!K10-'Table 12'!$E9</f>
        <v>26.117210537981435</v>
      </c>
      <c r="L10" s="99">
        <f>'Table 2A BaseLoad'!L10-'Table 12'!$E9</f>
        <v>29.789394873117008</v>
      </c>
      <c r="M10" s="100">
        <f>'Table 2A BaseLoad'!M10-'Table 12'!$E9</f>
        <v>26.251240571916874</v>
      </c>
    </row>
    <row r="11" spans="1:24" ht="12.75" customHeight="1" x14ac:dyDescent="0.2">
      <c r="A11" s="101">
        <f t="shared" ref="A11:A22" si="0">A10+1</f>
        <v>2015</v>
      </c>
      <c r="B11" s="102">
        <f>'Table 2A BaseLoad'!B11-'Table 12'!$E10</f>
        <v>36.097419329871023</v>
      </c>
      <c r="C11" s="103">
        <f>'Table 2A BaseLoad'!C11-'Table 12'!$E10</f>
        <v>36.472166985775928</v>
      </c>
      <c r="D11" s="103">
        <f>'Table 2A BaseLoad'!D11-'Table 12'!$E10</f>
        <v>42.808388742088468</v>
      </c>
      <c r="E11" s="103">
        <f>'Table 2A BaseLoad'!E11-'Table 12'!$E10</f>
        <v>26.513316275242133</v>
      </c>
      <c r="F11" s="104">
        <f>'Table 2A BaseLoad'!F11-'Table 12'!$E10</f>
        <v>25.84603443280341</v>
      </c>
      <c r="G11" s="103">
        <f>'Table 2A BaseLoad'!G11-'Table 12'!$E10</f>
        <v>27.74241956727171</v>
      </c>
      <c r="H11" s="103">
        <f>'Table 2A BaseLoad'!H11-'Table 12'!$E10</f>
        <v>38.030698130967373</v>
      </c>
      <c r="I11" s="103">
        <f>'Table 2A BaseLoad'!I11-'Table 12'!$E10</f>
        <v>40.504867560030355</v>
      </c>
      <c r="J11" s="104">
        <f>'Table 2A BaseLoad'!J11-'Table 12'!$E10</f>
        <v>33.03441362897172</v>
      </c>
      <c r="K11" s="103">
        <f>'Table 2A BaseLoad'!K11-'Table 12'!$E10</f>
        <v>28.778826849764133</v>
      </c>
      <c r="L11" s="103">
        <f>'Table 2A BaseLoad'!L11-'Table 12'!$E10</f>
        <v>31.310586257785832</v>
      </c>
      <c r="M11" s="104">
        <f>'Table 2A BaseLoad'!M11-'Table 12'!$E10</f>
        <v>35.161273067628031</v>
      </c>
      <c r="O11" s="466"/>
      <c r="P11" s="466"/>
      <c r="Q11" s="466"/>
      <c r="R11" s="466"/>
      <c r="S11" s="466"/>
      <c r="T11" s="466"/>
      <c r="U11" s="466"/>
      <c r="V11" s="466"/>
      <c r="W11" s="466"/>
      <c r="X11" s="466"/>
    </row>
    <row r="12" spans="1:24" ht="12.75" customHeight="1" x14ac:dyDescent="0.2">
      <c r="A12" s="101">
        <f t="shared" si="0"/>
        <v>2016</v>
      </c>
      <c r="B12" s="102">
        <f>'Table 2A BaseLoad'!B12-'Table 12'!$E11</f>
        <v>30.021407097148021</v>
      </c>
      <c r="C12" s="103">
        <f>'Table 2A BaseLoad'!C12-'Table 12'!$E11</f>
        <v>32.788300149987222</v>
      </c>
      <c r="D12" s="103">
        <f>'Table 2A BaseLoad'!D12-'Table 12'!$E11</f>
        <v>34.342409181161983</v>
      </c>
      <c r="E12" s="103">
        <f>'Table 2A BaseLoad'!E12-'Table 12'!$E11</f>
        <v>27.719862910045066</v>
      </c>
      <c r="F12" s="104">
        <f>'Table 2A BaseLoad'!F12-'Table 12'!$E11</f>
        <v>26.018204730321145</v>
      </c>
      <c r="G12" s="103">
        <f>'Table 2A BaseLoad'!G12-'Table 12'!$E11</f>
        <v>25.769536889897768</v>
      </c>
      <c r="H12" s="103">
        <f>'Table 2A BaseLoad'!H12-'Table 12'!$E11</f>
        <v>36.896987867462592</v>
      </c>
      <c r="I12" s="103">
        <f>'Table 2A BaseLoad'!I12-'Table 12'!$E11</f>
        <v>39.6885331744026</v>
      </c>
      <c r="J12" s="104">
        <f>'Table 2A BaseLoad'!J12-'Table 12'!$E11</f>
        <v>30.917028227434521</v>
      </c>
      <c r="K12" s="103">
        <f>'Table 2A BaseLoad'!K12-'Table 12'!$E11</f>
        <v>28.778112459970856</v>
      </c>
      <c r="L12" s="103">
        <f>'Table 2A BaseLoad'!L12-'Table 12'!$E11</f>
        <v>24.596264580628702</v>
      </c>
      <c r="M12" s="104">
        <f>'Table 2A BaseLoad'!M12-'Table 12'!$E11</f>
        <v>31.48705115653302</v>
      </c>
      <c r="O12" s="466"/>
      <c r="P12" s="466"/>
      <c r="Q12" s="466"/>
      <c r="R12" s="466"/>
      <c r="S12" s="466"/>
      <c r="T12" s="466"/>
      <c r="U12" s="466"/>
      <c r="V12" s="466"/>
      <c r="W12" s="466"/>
      <c r="X12" s="466"/>
    </row>
    <row r="13" spans="1:24" ht="12.75" customHeight="1" x14ac:dyDescent="0.2">
      <c r="A13" s="101">
        <f t="shared" si="0"/>
        <v>2017</v>
      </c>
      <c r="B13" s="102">
        <f>'Table 2A BaseLoad'!B13-'Table 12'!$E12</f>
        <v>29.197763877796746</v>
      </c>
      <c r="C13" s="103">
        <f>'Table 2A BaseLoad'!C13-'Table 12'!$E12</f>
        <v>32.637181733447896</v>
      </c>
      <c r="D13" s="103">
        <f>'Table 2A BaseLoad'!D13-'Table 12'!$E12</f>
        <v>33.69893293158762</v>
      </c>
      <c r="E13" s="103">
        <f>'Table 2A BaseLoad'!E13-'Table 12'!$E12</f>
        <v>27.524471175742551</v>
      </c>
      <c r="F13" s="104">
        <f>'Table 2A BaseLoad'!F13-'Table 12'!$E12</f>
        <v>27.662136394143936</v>
      </c>
      <c r="G13" s="103">
        <f>'Table 2A BaseLoad'!G13-'Table 12'!$E12</f>
        <v>26.999711286682601</v>
      </c>
      <c r="H13" s="103">
        <f>'Table 2A BaseLoad'!H13-'Table 12'!$E12</f>
        <v>38.914676258474856</v>
      </c>
      <c r="I13" s="103">
        <f>'Table 2A BaseLoad'!I13-'Table 12'!$E12</f>
        <v>41.894898549233922</v>
      </c>
      <c r="J13" s="104">
        <f>'Table 2A BaseLoad'!J13-'Table 12'!$E12</f>
        <v>34.562529390240648</v>
      </c>
      <c r="K13" s="103">
        <f>'Table 2A BaseLoad'!K13-'Table 12'!$E12</f>
        <v>29.555232500826264</v>
      </c>
      <c r="L13" s="103">
        <f>'Table 2A BaseLoad'!L13-'Table 12'!$E12</f>
        <v>30.289689203282471</v>
      </c>
      <c r="M13" s="104">
        <f>'Table 2A BaseLoad'!M13-'Table 12'!$E12</f>
        <v>30.140144713633077</v>
      </c>
      <c r="O13" s="466"/>
      <c r="P13" s="466"/>
      <c r="Q13" s="466"/>
      <c r="R13" s="466"/>
      <c r="S13" s="466"/>
      <c r="T13" s="466"/>
      <c r="U13" s="466"/>
      <c r="V13" s="466"/>
      <c r="W13" s="466"/>
      <c r="X13" s="466"/>
    </row>
    <row r="14" spans="1:24" ht="12.75" customHeight="1" x14ac:dyDescent="0.2">
      <c r="A14" s="101">
        <f t="shared" si="0"/>
        <v>2018</v>
      </c>
      <c r="B14" s="102">
        <f>'Table 2A BaseLoad'!B14-'Table 12'!$E13</f>
        <v>30.106578544046233</v>
      </c>
      <c r="C14" s="103">
        <f>'Table 2A BaseLoad'!C14-'Table 12'!$E13</f>
        <v>30.979358323217053</v>
      </c>
      <c r="D14" s="103">
        <f>'Table 2A BaseLoad'!D14-'Table 12'!$E13</f>
        <v>34.937817072268622</v>
      </c>
      <c r="E14" s="103">
        <f>'Table 2A BaseLoad'!E14-'Table 12'!$E13</f>
        <v>30.40426568598475</v>
      </c>
      <c r="F14" s="104">
        <f>'Table 2A BaseLoad'!F14-'Table 12'!$E13</f>
        <v>29.606765904007457</v>
      </c>
      <c r="G14" s="103">
        <f>'Table 2A BaseLoad'!G14-'Table 12'!$E13</f>
        <v>29.536126140173838</v>
      </c>
      <c r="H14" s="103">
        <f>'Table 2A BaseLoad'!H14-'Table 12'!$E13</f>
        <v>41.825361596333266</v>
      </c>
      <c r="I14" s="103">
        <f>'Table 2A BaseLoad'!I14-'Table 12'!$E13</f>
        <v>44.662584571854531</v>
      </c>
      <c r="J14" s="104">
        <f>'Table 2A BaseLoad'!J14-'Table 12'!$E13</f>
        <v>34.898919866699345</v>
      </c>
      <c r="K14" s="103">
        <f>'Table 2A BaseLoad'!K14-'Table 12'!$E13</f>
        <v>33.264484919841969</v>
      </c>
      <c r="L14" s="103">
        <f>'Table 2A BaseLoad'!L14-'Table 12'!$E13</f>
        <v>40.028426163313512</v>
      </c>
      <c r="M14" s="104">
        <f>'Table 2A BaseLoad'!M14-'Table 12'!$E13</f>
        <v>31.871980805268553</v>
      </c>
      <c r="O14" s="466"/>
      <c r="P14" s="466"/>
      <c r="Q14" s="466"/>
      <c r="R14" s="466"/>
      <c r="S14" s="466"/>
      <c r="T14" s="466"/>
      <c r="U14" s="466"/>
      <c r="V14" s="466"/>
      <c r="W14" s="466"/>
      <c r="X14" s="466"/>
    </row>
    <row r="15" spans="1:24" ht="12.75" customHeight="1" x14ac:dyDescent="0.2">
      <c r="A15" s="101">
        <f t="shared" si="0"/>
        <v>2019</v>
      </c>
      <c r="B15" s="102">
        <f>'Table 2A BaseLoad'!B15-'Table 12'!$E14</f>
        <v>31.889790789398702</v>
      </c>
      <c r="C15" s="103">
        <f>'Table 2A BaseLoad'!C15-'Table 12'!$E14</f>
        <v>32.849816729552465</v>
      </c>
      <c r="D15" s="103">
        <f>'Table 2A BaseLoad'!D15-'Table 12'!$E14</f>
        <v>35.501261076707152</v>
      </c>
      <c r="E15" s="103">
        <f>'Table 2A BaseLoad'!E15-'Table 12'!$E14</f>
        <v>33.720173541867553</v>
      </c>
      <c r="F15" s="104">
        <f>'Table 2A BaseLoad'!F15-'Table 12'!$E14</f>
        <v>31.140857770086058</v>
      </c>
      <c r="G15" s="103">
        <f>'Table 2A BaseLoad'!G15-'Table 12'!$E14</f>
        <v>31.144433119025869</v>
      </c>
      <c r="H15" s="103">
        <f>'Table 2A BaseLoad'!H15-'Table 12'!$E14</f>
        <v>43.153488074540569</v>
      </c>
      <c r="I15" s="103">
        <f>'Table 2A BaseLoad'!I15-'Table 12'!$E14</f>
        <v>46.496148349888401</v>
      </c>
      <c r="J15" s="104">
        <f>'Table 2A BaseLoad'!J15-'Table 12'!$E14</f>
        <v>37.146891959186895</v>
      </c>
      <c r="K15" s="103">
        <f>'Table 2A BaseLoad'!K15-'Table 12'!$E14</f>
        <v>36.158886944664253</v>
      </c>
      <c r="L15" s="103">
        <f>'Table 2A BaseLoad'!L15-'Table 12'!$E14</f>
        <v>34.724820968899586</v>
      </c>
      <c r="M15" s="104">
        <f>'Table 2A BaseLoad'!M15-'Table 12'!$E14</f>
        <v>34.252719585161103</v>
      </c>
      <c r="O15" s="466"/>
      <c r="P15" s="466"/>
      <c r="Q15" s="466"/>
      <c r="R15" s="466"/>
      <c r="S15" s="466"/>
      <c r="T15" s="466"/>
      <c r="U15" s="466"/>
      <c r="V15" s="466"/>
      <c r="W15" s="466"/>
      <c r="X15" s="466"/>
    </row>
    <row r="16" spans="1:24" ht="12.75" customHeight="1" x14ac:dyDescent="0.2">
      <c r="A16" s="101">
        <f t="shared" si="0"/>
        <v>2020</v>
      </c>
      <c r="B16" s="102">
        <f>'Table 2A BaseLoad'!B16-'Table 12'!$E15</f>
        <v>37.36618618174036</v>
      </c>
      <c r="C16" s="103">
        <f>'Table 2A BaseLoad'!C16-'Table 12'!$E15</f>
        <v>35.238656503488244</v>
      </c>
      <c r="D16" s="103">
        <f>'Table 2A BaseLoad'!D16-'Table 12'!$E15</f>
        <v>37.153285007698379</v>
      </c>
      <c r="E16" s="103">
        <f>'Table 2A BaseLoad'!E16-'Table 12'!$E15</f>
        <v>36.77235996551174</v>
      </c>
      <c r="F16" s="104">
        <f>'Table 2A BaseLoad'!F16-'Table 12'!$E15</f>
        <v>32.917653877160141</v>
      </c>
      <c r="G16" s="103">
        <f>'Table 2A BaseLoad'!G16-'Table 12'!$E15</f>
        <v>35.140817824713018</v>
      </c>
      <c r="H16" s="103">
        <f>'Table 2A BaseLoad'!H16-'Table 12'!$E15</f>
        <v>46.994977328773203</v>
      </c>
      <c r="I16" s="103">
        <f>'Table 2A BaseLoad'!I16-'Table 12'!$E15</f>
        <v>46.607921111612342</v>
      </c>
      <c r="J16" s="104">
        <f>'Table 2A BaseLoad'!J16-'Table 12'!$E15</f>
        <v>39.255455012456594</v>
      </c>
      <c r="K16" s="103">
        <f>'Table 2A BaseLoad'!K16-'Table 12'!$E15</f>
        <v>35.299888230123592</v>
      </c>
      <c r="L16" s="103">
        <f>'Table 2A BaseLoad'!L16-'Table 12'!$E15</f>
        <v>35.854399057045597</v>
      </c>
      <c r="M16" s="104">
        <f>'Table 2A BaseLoad'!M16-'Table 12'!$E15</f>
        <v>33.866954981904641</v>
      </c>
      <c r="O16" s="466"/>
      <c r="P16" s="466"/>
      <c r="Q16" s="466"/>
      <c r="R16" s="466"/>
      <c r="S16" s="466"/>
      <c r="T16" s="466"/>
      <c r="U16" s="466"/>
      <c r="V16" s="466"/>
      <c r="W16" s="466"/>
      <c r="X16" s="466"/>
    </row>
    <row r="17" spans="1:30" ht="12.75" customHeight="1" x14ac:dyDescent="0.2">
      <c r="A17" s="101">
        <f t="shared" si="0"/>
        <v>2021</v>
      </c>
      <c r="B17" s="102">
        <f>'Table 2A BaseLoad'!B17-'Table 12'!$E16</f>
        <v>36.745516362423643</v>
      </c>
      <c r="C17" s="103">
        <f>'Table 2A BaseLoad'!C17-'Table 12'!$E16</f>
        <v>38.411237102782501</v>
      </c>
      <c r="D17" s="103">
        <f>'Table 2A BaseLoad'!D17-'Table 12'!$E16</f>
        <v>37.462370896719968</v>
      </c>
      <c r="E17" s="103">
        <f>'Table 2A BaseLoad'!E17-'Table 12'!$E16</f>
        <v>36.575036681915627</v>
      </c>
      <c r="F17" s="104">
        <f>'Table 2A BaseLoad'!F17-'Table 12'!$E16</f>
        <v>33.766402490792281</v>
      </c>
      <c r="G17" s="103">
        <f>'Table 2A BaseLoad'!G17-'Table 12'!$E16</f>
        <v>35.935378248663696</v>
      </c>
      <c r="H17" s="103">
        <f>'Table 2A BaseLoad'!H17-'Table 12'!$E16</f>
        <v>44.19246536361689</v>
      </c>
      <c r="I17" s="103">
        <f>'Table 2A BaseLoad'!I17-'Table 12'!$E16</f>
        <v>44.338660732090254</v>
      </c>
      <c r="J17" s="104">
        <f>'Table 2A BaseLoad'!J17-'Table 12'!$E16</f>
        <v>39.21939218076502</v>
      </c>
      <c r="K17" s="103">
        <f>'Table 2A BaseLoad'!K17-'Table 12'!$E16</f>
        <v>37.386635331249529</v>
      </c>
      <c r="L17" s="103">
        <f>'Table 2A BaseLoad'!L17-'Table 12'!$E16</f>
        <v>40.594269572726049</v>
      </c>
      <c r="M17" s="104">
        <f>'Table 2A BaseLoad'!M17-'Table 12'!$E16</f>
        <v>40.237722164409298</v>
      </c>
      <c r="O17" s="466"/>
      <c r="P17" s="466"/>
      <c r="Q17" s="466"/>
      <c r="R17" s="466"/>
      <c r="S17" s="466"/>
      <c r="T17" s="466"/>
      <c r="U17" s="466"/>
      <c r="V17" s="466"/>
      <c r="W17" s="466"/>
      <c r="X17" s="466"/>
    </row>
    <row r="18" spans="1:30" ht="12.75" customHeight="1" x14ac:dyDescent="0.2">
      <c r="A18" s="101">
        <f t="shared" si="0"/>
        <v>2022</v>
      </c>
      <c r="B18" s="102">
        <f>'Table 2A BaseLoad'!B18-'Table 12'!$E17</f>
        <v>37.413268959717023</v>
      </c>
      <c r="C18" s="103">
        <f>'Table 2A BaseLoad'!C18-'Table 12'!$E17</f>
        <v>36.288985152375865</v>
      </c>
      <c r="D18" s="103">
        <f>'Table 2A BaseLoad'!D18-'Table 12'!$E17</f>
        <v>37.188495548638748</v>
      </c>
      <c r="E18" s="103">
        <f>'Table 2A BaseLoad'!E18-'Table 12'!$E17</f>
        <v>33.880794133886603</v>
      </c>
      <c r="F18" s="104">
        <f>'Table 2A BaseLoad'!F18-'Table 12'!$E17</f>
        <v>33.423981748504637</v>
      </c>
      <c r="G18" s="103">
        <f>'Table 2A BaseLoad'!G18-'Table 12'!$E17</f>
        <v>37.599334833395673</v>
      </c>
      <c r="H18" s="103">
        <f>'Table 2A BaseLoad'!H18-'Table 12'!$E17</f>
        <v>45.281073748172474</v>
      </c>
      <c r="I18" s="103">
        <f>'Table 2A BaseLoad'!I18-'Table 12'!$E17</f>
        <v>44.437801196306545</v>
      </c>
      <c r="J18" s="104">
        <f>'Table 2A BaseLoad'!J18-'Table 12'!$E17</f>
        <v>38.80576053501953</v>
      </c>
      <c r="K18" s="103">
        <f>'Table 2A BaseLoad'!K18-'Table 12'!$E17</f>
        <v>37.230255791844776</v>
      </c>
      <c r="L18" s="103">
        <f>'Table 2A BaseLoad'!L18-'Table 12'!$E17</f>
        <v>37.564321584848024</v>
      </c>
      <c r="M18" s="104">
        <f>'Table 2A BaseLoad'!M18-'Table 12'!$E17</f>
        <v>39.638051410782886</v>
      </c>
      <c r="O18" s="466"/>
      <c r="P18" s="466"/>
      <c r="Q18" s="466"/>
      <c r="R18" s="466"/>
      <c r="S18" s="466"/>
      <c r="T18" s="466"/>
      <c r="U18" s="466"/>
      <c r="V18" s="466"/>
      <c r="W18" s="466"/>
      <c r="X18" s="466"/>
    </row>
    <row r="19" spans="1:30" ht="12.75" customHeight="1" x14ac:dyDescent="0.2">
      <c r="A19" s="101">
        <f t="shared" si="0"/>
        <v>2023</v>
      </c>
      <c r="B19" s="102">
        <f>'Table 2A BaseLoad'!B19-'Table 12'!$E18</f>
        <v>37.544283302783505</v>
      </c>
      <c r="C19" s="103">
        <f>'Table 2A BaseLoad'!C19-'Table 12'!$E18</f>
        <v>36.867772740963552</v>
      </c>
      <c r="D19" s="103">
        <f>'Table 2A BaseLoad'!D19-'Table 12'!$E18</f>
        <v>36.623483539493293</v>
      </c>
      <c r="E19" s="103">
        <f>'Table 2A BaseLoad'!E19-'Table 12'!$E18</f>
        <v>34.756631367490186</v>
      </c>
      <c r="F19" s="104">
        <f>'Table 2A BaseLoad'!F19-'Table 12'!$E18</f>
        <v>34.316379189011009</v>
      </c>
      <c r="G19" s="103">
        <f>'Table 2A BaseLoad'!G19-'Table 12'!$E18</f>
        <v>37.63255862755004</v>
      </c>
      <c r="H19" s="103">
        <f>'Table 2A BaseLoad'!H19-'Table 12'!$E18</f>
        <v>46.028545333700393</v>
      </c>
      <c r="I19" s="103">
        <f>'Table 2A BaseLoad'!I19-'Table 12'!$E18</f>
        <v>45.073707789693131</v>
      </c>
      <c r="J19" s="104">
        <f>'Table 2A BaseLoad'!J19-'Table 12'!$E18</f>
        <v>37.322872169720299</v>
      </c>
      <c r="K19" s="103">
        <f>'Table 2A BaseLoad'!K19-'Table 12'!$E18</f>
        <v>37.98571479690051</v>
      </c>
      <c r="L19" s="103">
        <f>'Table 2A BaseLoad'!L19-'Table 12'!$E18</f>
        <v>39.410152115988588</v>
      </c>
      <c r="M19" s="104">
        <f>'Table 2A BaseLoad'!M19-'Table 12'!$E18</f>
        <v>41.707593000178697</v>
      </c>
      <c r="O19" s="466"/>
      <c r="P19" s="466"/>
      <c r="Q19" s="466"/>
      <c r="R19" s="466"/>
      <c r="S19" s="466"/>
      <c r="T19" s="466"/>
      <c r="U19" s="466"/>
      <c r="V19" s="466"/>
      <c r="W19" s="466"/>
      <c r="X19" s="466"/>
    </row>
    <row r="20" spans="1:30" ht="12.75" customHeight="1" x14ac:dyDescent="0.2">
      <c r="A20" s="101">
        <f t="shared" si="0"/>
        <v>2024</v>
      </c>
      <c r="B20" s="102">
        <f>'Table 2A BaseLoad'!B20-'Table 12'!$E19</f>
        <v>40.927203910579301</v>
      </c>
      <c r="C20" s="103">
        <f>'Table 2A BaseLoad'!C20-'Table 12'!$E19</f>
        <v>40.151862486497215</v>
      </c>
      <c r="D20" s="103">
        <f>'Table 2A BaseLoad'!D20-'Table 12'!$E19</f>
        <v>39.593275263384534</v>
      </c>
      <c r="E20" s="103">
        <f>'Table 2A BaseLoad'!E20-'Table 12'!$E19</f>
        <v>37.725786154624686</v>
      </c>
      <c r="F20" s="104">
        <f>'Table 2A BaseLoad'!F20-'Table 12'!$E19</f>
        <v>35.997084608981829</v>
      </c>
      <c r="G20" s="103">
        <f>'Table 2A BaseLoad'!G20-'Table 12'!$E19</f>
        <v>39.819805974760087</v>
      </c>
      <c r="H20" s="103">
        <f>'Table 2A BaseLoad'!H20-'Table 12'!$E19</f>
        <v>49.375455422337218</v>
      </c>
      <c r="I20" s="103">
        <f>'Table 2A BaseLoad'!I20-'Table 12'!$E19</f>
        <v>50.325594049726455</v>
      </c>
      <c r="J20" s="104">
        <f>'Table 2A BaseLoad'!J20-'Table 12'!$E19</f>
        <v>41.65056519181951</v>
      </c>
      <c r="K20" s="103">
        <f>'Table 2A BaseLoad'!K20-'Table 12'!$E19</f>
        <v>41.25008343807206</v>
      </c>
      <c r="L20" s="103">
        <f>'Table 2A BaseLoad'!L20-'Table 12'!$E19</f>
        <v>42.002455598087565</v>
      </c>
      <c r="M20" s="104">
        <f>'Table 2A BaseLoad'!M20-'Table 12'!$E19</f>
        <v>43.037738824005949</v>
      </c>
      <c r="O20" s="466"/>
      <c r="P20" s="466"/>
      <c r="Q20" s="466"/>
      <c r="R20" s="466"/>
      <c r="S20" s="466"/>
      <c r="T20" s="466"/>
      <c r="U20" s="466"/>
      <c r="V20" s="466"/>
      <c r="W20" s="466"/>
      <c r="X20" s="466"/>
    </row>
    <row r="21" spans="1:30" ht="12.75" customHeight="1" x14ac:dyDescent="0.2">
      <c r="A21" s="101">
        <f t="shared" si="0"/>
        <v>2025</v>
      </c>
      <c r="B21" s="102">
        <f>'Table 2A BaseLoad'!B21-'Table 12'!$E20</f>
        <v>44.369576799660784</v>
      </c>
      <c r="C21" s="103">
        <f>'Table 2A BaseLoad'!C21-'Table 12'!$E20</f>
        <v>43.005807264172972</v>
      </c>
      <c r="D21" s="103">
        <f>'Table 2A BaseLoad'!D21-'Table 12'!$E20</f>
        <v>41.482630929896523</v>
      </c>
      <c r="E21" s="103">
        <f>'Table 2A BaseLoad'!E21-'Table 12'!$E20</f>
        <v>38.684315334052258</v>
      </c>
      <c r="F21" s="104">
        <f>'Table 2A BaseLoad'!F21-'Table 12'!$E20</f>
        <v>38.229072718629226</v>
      </c>
      <c r="G21" s="103">
        <f>'Table 2A BaseLoad'!G21-'Table 12'!$E20</f>
        <v>42.83768661805604</v>
      </c>
      <c r="H21" s="103">
        <f>'Table 2A BaseLoad'!H21-'Table 12'!$E20</f>
        <v>52.575462090112609</v>
      </c>
      <c r="I21" s="103">
        <f>'Table 2A BaseLoad'!I21-'Table 12'!$E20</f>
        <v>53.894853195157197</v>
      </c>
      <c r="J21" s="104">
        <f>'Table 2A BaseLoad'!J21-'Table 12'!$E20</f>
        <v>45.472979818371492</v>
      </c>
      <c r="K21" s="103">
        <f>'Table 2A BaseLoad'!K21-'Table 12'!$E20</f>
        <v>42.702665423768465</v>
      </c>
      <c r="L21" s="103">
        <f>'Table 2A BaseLoad'!L21-'Table 12'!$E20</f>
        <v>44.165127792660051</v>
      </c>
      <c r="M21" s="104">
        <f>'Table 2A BaseLoad'!M21-'Table 12'!$E20</f>
        <v>45.348740853346605</v>
      </c>
      <c r="O21" s="466"/>
      <c r="P21" s="466"/>
      <c r="Q21" s="466"/>
      <c r="R21" s="466"/>
      <c r="S21" s="466"/>
      <c r="T21" s="466"/>
      <c r="U21" s="466"/>
      <c r="V21" s="466"/>
      <c r="W21" s="466"/>
      <c r="X21" s="466"/>
    </row>
    <row r="22" spans="1:30" ht="12.75" customHeight="1" x14ac:dyDescent="0.2">
      <c r="A22" s="101">
        <f t="shared" si="0"/>
        <v>2026</v>
      </c>
      <c r="B22" s="102">
        <f>'Table 2A BaseLoad'!B22-'Table 12'!$E21</f>
        <v>45.45578571432231</v>
      </c>
      <c r="C22" s="103">
        <f>'Table 2A BaseLoad'!C22-'Table 12'!$E21</f>
        <v>44.100556492736345</v>
      </c>
      <c r="D22" s="103">
        <f>'Table 2A BaseLoad'!D22-'Table 12'!$E21</f>
        <v>42.420170336648681</v>
      </c>
      <c r="E22" s="103">
        <f>'Table 2A BaseLoad'!E22-'Table 12'!$E21</f>
        <v>40.568191407195442</v>
      </c>
      <c r="F22" s="104">
        <f>'Table 2A BaseLoad'!F22-'Table 12'!$E21</f>
        <v>39.53847903817843</v>
      </c>
      <c r="G22" s="103">
        <f>'Table 2A BaseLoad'!G22-'Table 12'!$E21</f>
        <v>45.092133965699787</v>
      </c>
      <c r="H22" s="103">
        <f>'Table 2A BaseLoad'!H22-'Table 12'!$E21</f>
        <v>54.997957891497471</v>
      </c>
      <c r="I22" s="103">
        <f>'Table 2A BaseLoad'!I22-'Table 12'!$E21</f>
        <v>56.515763496064004</v>
      </c>
      <c r="J22" s="104">
        <f>'Table 2A BaseLoad'!J22-'Table 12'!$E21</f>
        <v>47.461117628338833</v>
      </c>
      <c r="K22" s="103">
        <f>'Table 2A BaseLoad'!K22-'Table 12'!$E21</f>
        <v>44.190748679515664</v>
      </c>
      <c r="L22" s="103">
        <f>'Table 2A BaseLoad'!L22-'Table 12'!$E21</f>
        <v>45.699482261418048</v>
      </c>
      <c r="M22" s="104">
        <f>'Table 2A BaseLoad'!M22-'Table 12'!$E21</f>
        <v>47.687709675625413</v>
      </c>
      <c r="O22" s="466"/>
      <c r="P22" s="466"/>
      <c r="Q22" s="466"/>
      <c r="R22" s="466"/>
      <c r="S22" s="466"/>
      <c r="T22" s="466"/>
      <c r="U22" s="466"/>
      <c r="V22" s="466"/>
      <c r="W22" s="466"/>
      <c r="X22" s="466"/>
    </row>
    <row r="23" spans="1:30" ht="12.75" hidden="1" customHeight="1" x14ac:dyDescent="0.2">
      <c r="A23" s="101"/>
      <c r="B23" s="102"/>
      <c r="C23" s="103"/>
      <c r="D23" s="103"/>
      <c r="E23" s="103"/>
      <c r="F23" s="104"/>
      <c r="G23" s="103"/>
      <c r="H23" s="103"/>
      <c r="I23" s="103"/>
      <c r="J23" s="104"/>
      <c r="K23" s="103"/>
      <c r="L23" s="103"/>
      <c r="M23" s="104"/>
    </row>
    <row r="24" spans="1:30" ht="12.75" hidden="1" customHeight="1" x14ac:dyDescent="0.2">
      <c r="A24" s="101"/>
      <c r="B24" s="102"/>
      <c r="C24" s="103"/>
      <c r="D24" s="103"/>
      <c r="E24" s="103"/>
      <c r="F24" s="104"/>
      <c r="G24" s="103"/>
      <c r="H24" s="103"/>
      <c r="I24" s="103"/>
      <c r="J24" s="104"/>
      <c r="K24" s="103"/>
      <c r="L24" s="103"/>
      <c r="M24" s="104"/>
    </row>
    <row r="25" spans="1:30" ht="12.75" hidden="1" customHeight="1" x14ac:dyDescent="0.2">
      <c r="A25" s="105"/>
      <c r="B25" s="106"/>
      <c r="C25" s="107"/>
      <c r="D25" s="107"/>
      <c r="E25" s="107"/>
      <c r="F25" s="108"/>
      <c r="G25" s="107"/>
      <c r="H25" s="107"/>
      <c r="I25" s="107"/>
      <c r="J25" s="108"/>
      <c r="K25" s="107"/>
      <c r="L25" s="107"/>
      <c r="M25" s="108"/>
    </row>
    <row r="26" spans="1:30" ht="12.75" customHeight="1" x14ac:dyDescent="0.2">
      <c r="A26" s="218"/>
      <c r="B26" s="216"/>
      <c r="C26" s="216"/>
      <c r="D26" s="216"/>
      <c r="E26" s="216"/>
      <c r="F26" s="215"/>
      <c r="G26" s="215"/>
      <c r="H26" s="215"/>
      <c r="I26" s="215"/>
      <c r="J26" s="217"/>
      <c r="K26" s="215"/>
      <c r="L26" s="215"/>
      <c r="M26" s="215"/>
    </row>
    <row r="27" spans="1:30" ht="12.75" customHeight="1" x14ac:dyDescent="0.2">
      <c r="A27" s="13" t="s">
        <v>315</v>
      </c>
      <c r="C27" s="88"/>
      <c r="D27" s="88"/>
      <c r="E27" s="88"/>
      <c r="G27" s="88"/>
      <c r="H27" s="88"/>
      <c r="I27" s="88"/>
      <c r="J27" s="96"/>
      <c r="L27" s="88"/>
      <c r="M27" s="70"/>
    </row>
    <row r="28" spans="1:30" ht="12.75" customHeight="1" x14ac:dyDescent="0.2">
      <c r="A28" s="97">
        <f>'Tables 3 to 6'!$B$13</f>
        <v>2014</v>
      </c>
      <c r="B28" s="98"/>
      <c r="C28" s="99"/>
      <c r="D28" s="99"/>
      <c r="E28" s="99"/>
      <c r="F28" s="100"/>
      <c r="G28" s="99"/>
      <c r="H28" s="99">
        <f>'Table 2A BaseLoad'!H28-'Table 12'!$E9</f>
        <v>20.898581269815075</v>
      </c>
      <c r="I28" s="99">
        <f>'Table 2A BaseLoad'!I28-'Table 12'!$E9</f>
        <v>26.454403808474794</v>
      </c>
      <c r="J28" s="100">
        <f>'Table 2A BaseLoad'!J28-'Table 12'!$E9</f>
        <v>20.30572803655016</v>
      </c>
      <c r="K28" s="98">
        <f>'Table 2A BaseLoad'!K28-'Table 12'!$E9</f>
        <v>20.44102406655589</v>
      </c>
      <c r="L28" s="99">
        <f>'Table 2A BaseLoad'!L28-'Table 12'!$E9</f>
        <v>23.936984834838885</v>
      </c>
      <c r="M28" s="100">
        <f>'Table 2A BaseLoad'!M28-'Table 12'!$E9</f>
        <v>20.784243819046072</v>
      </c>
      <c r="O28" s="67"/>
    </row>
    <row r="29" spans="1:30" ht="12.75" customHeight="1" x14ac:dyDescent="0.2">
      <c r="A29" s="101">
        <f t="shared" ref="A29:A40" si="1">A28+1</f>
        <v>2015</v>
      </c>
      <c r="B29" s="102">
        <f>'Table 2A BaseLoad'!B29-'Table 12'!$E10</f>
        <v>28.318228683848613</v>
      </c>
      <c r="C29" s="103">
        <f>'Table 2A BaseLoad'!C29-'Table 12'!$E10</f>
        <v>28.618924407748352</v>
      </c>
      <c r="D29" s="103">
        <f>'Table 2A BaseLoad'!D29-'Table 12'!$E10</f>
        <v>33.703078391855414</v>
      </c>
      <c r="E29" s="103">
        <f>'Table 2A BaseLoad'!E29-'Table 12'!$E10</f>
        <v>20.064869133645185</v>
      </c>
      <c r="F29" s="103">
        <f>'Table 2A BaseLoad'!F29-'Table 12'!$E10</f>
        <v>15.906969073360724</v>
      </c>
      <c r="G29" s="102">
        <f>'Table 2A BaseLoad'!G29-'Table 12'!$E10</f>
        <v>16.769695758171267</v>
      </c>
      <c r="H29" s="103">
        <f>'Table 2A BaseLoad'!H29-'Table 12'!$E10</f>
        <v>22.286325684611587</v>
      </c>
      <c r="I29" s="103">
        <f>'Table 2A BaseLoad'!I29-'Table 12'!$E10</f>
        <v>24.338218787860338</v>
      </c>
      <c r="J29" s="104">
        <f>'Table 2A BaseLoad'!J29-'Table 12'!$E10</f>
        <v>23.18841375588142</v>
      </c>
      <c r="K29" s="102">
        <f>'Table 2A BaseLoad'!K29-'Table 12'!$E10</f>
        <v>21.908881595049746</v>
      </c>
      <c r="L29" s="103">
        <f>'Table 2A BaseLoad'!L29-'Table 12'!$E10</f>
        <v>23.881796948368319</v>
      </c>
      <c r="M29" s="104">
        <f>'Table 2A BaseLoad'!M29-'Table 12'!$E10</f>
        <v>29.772677625168672</v>
      </c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</row>
    <row r="30" spans="1:30" ht="12.75" customHeight="1" x14ac:dyDescent="0.2">
      <c r="A30" s="101">
        <f t="shared" si="1"/>
        <v>2016</v>
      </c>
      <c r="B30" s="102">
        <f>'Table 2A BaseLoad'!B30-'Table 12'!$E11</f>
        <v>24.017040771707862</v>
      </c>
      <c r="C30" s="103">
        <f>'Table 2A BaseLoad'!C30-'Table 12'!$E11</f>
        <v>26.291525588809399</v>
      </c>
      <c r="D30" s="103">
        <f>'Table 2A BaseLoad'!D30-'Table 12'!$E11</f>
        <v>27.57259513971395</v>
      </c>
      <c r="E30" s="103">
        <f>'Table 2A BaseLoad'!E30-'Table 12'!$E11</f>
        <v>21.199730952279872</v>
      </c>
      <c r="F30" s="103">
        <f>'Table 2A BaseLoad'!F30-'Table 12'!$E11</f>
        <v>16.216261134149754</v>
      </c>
      <c r="G30" s="102">
        <f>'Table 2A BaseLoad'!G30-'Table 12'!$E11</f>
        <v>15.710887721899153</v>
      </c>
      <c r="H30" s="103">
        <f>'Table 2A BaseLoad'!H30-'Table 12'!$E11</f>
        <v>21.784767233200945</v>
      </c>
      <c r="I30" s="103">
        <f>'Table 2A BaseLoad'!I30-'Table 12'!$E11</f>
        <v>24.041803042036396</v>
      </c>
      <c r="J30" s="104">
        <f>'Table 2A BaseLoad'!J30-'Table 12'!$E11</f>
        <v>21.846848697577336</v>
      </c>
      <c r="K30" s="102">
        <f>'Table 2A BaseLoad'!K30-'Table 12'!$E11</f>
        <v>21.588490366904736</v>
      </c>
      <c r="L30" s="103">
        <f>'Table 2A BaseLoad'!L30-'Table 12'!$E11</f>
        <v>18.326255996328342</v>
      </c>
      <c r="M30" s="104">
        <f>'Table 2A BaseLoad'!M30-'Table 12'!$E11</f>
        <v>26.20806272376036</v>
      </c>
      <c r="N30" s="246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</row>
    <row r="31" spans="1:30" ht="12.75" customHeight="1" x14ac:dyDescent="0.2">
      <c r="A31" s="101">
        <f t="shared" si="1"/>
        <v>2017</v>
      </c>
      <c r="B31" s="102">
        <f>'Table 2A BaseLoad'!B31-'Table 12'!$E12</f>
        <v>23.41187896296945</v>
      </c>
      <c r="C31" s="103">
        <f>'Table 2A BaseLoad'!C31-'Table 12'!$E12</f>
        <v>26.247149473072533</v>
      </c>
      <c r="D31" s="103">
        <f>'Table 2A BaseLoad'!D31-'Table 12'!$E12</f>
        <v>27.127854582934027</v>
      </c>
      <c r="E31" s="103">
        <f>'Table 2A BaseLoad'!E31-'Table 12'!$E12</f>
        <v>21.152842797058128</v>
      </c>
      <c r="F31" s="103">
        <f>'Table 2A BaseLoad'!F31-'Table 12'!$E12</f>
        <v>17.618969915059139</v>
      </c>
      <c r="G31" s="102">
        <f>'Table 2A BaseLoad'!G31-'Table 12'!$E12</f>
        <v>16.8704305644473</v>
      </c>
      <c r="H31" s="103">
        <f>'Table 2A BaseLoad'!H31-'Table 12'!$E12</f>
        <v>23.427424028084083</v>
      </c>
      <c r="I31" s="103">
        <f>'Table 2A BaseLoad'!I31-'Table 12'!$E12</f>
        <v>25.845405139994096</v>
      </c>
      <c r="J31" s="104">
        <f>'Table 2A BaseLoad'!J31-'Table 12'!$E12</f>
        <v>24.746777769277561</v>
      </c>
      <c r="K31" s="102">
        <f>'Table 2A BaseLoad'!K31-'Table 12'!$E12</f>
        <v>22.330323157465262</v>
      </c>
      <c r="L31" s="103">
        <f>'Table 2A BaseLoad'!L31-'Table 12'!$E12</f>
        <v>22.885605191943775</v>
      </c>
      <c r="M31" s="104">
        <f>'Table 2A BaseLoad'!M31-'Table 12'!$E12</f>
        <v>25.099653468239083</v>
      </c>
      <c r="N31" s="246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246"/>
      <c r="AB31" s="246"/>
      <c r="AC31" s="246"/>
      <c r="AD31" s="246"/>
    </row>
    <row r="32" spans="1:30" ht="12.75" customHeight="1" x14ac:dyDescent="0.2">
      <c r="A32" s="101">
        <f t="shared" si="1"/>
        <v>2018</v>
      </c>
      <c r="B32" s="102">
        <f>'Table 2A BaseLoad'!B32-'Table 12'!$E13</f>
        <v>24.069585217378755</v>
      </c>
      <c r="C32" s="103">
        <f>'Table 2A BaseLoad'!C32-'Table 12'!$E13</f>
        <v>24.79221046655255</v>
      </c>
      <c r="D32" s="103">
        <f>'Table 2A BaseLoad'!D32-'Table 12'!$E13</f>
        <v>28.049852448805321</v>
      </c>
      <c r="E32" s="103">
        <f>'Table 2A BaseLoad'!E32-'Table 12'!$E13</f>
        <v>23.39475999295027</v>
      </c>
      <c r="F32" s="103">
        <f>'Table 2A BaseLoad'!F32-'Table 12'!$E13</f>
        <v>19.095890480546185</v>
      </c>
      <c r="G32" s="102">
        <f>'Table 2A BaseLoad'!G32-'Table 12'!$E13</f>
        <v>18.765410126189238</v>
      </c>
      <c r="H32" s="103">
        <f>'Table 2A BaseLoad'!H32-'Table 12'!$E13</f>
        <v>25.524303310531657</v>
      </c>
      <c r="I32" s="103">
        <f>'Table 2A BaseLoad'!I32-'Table 12'!$E13</f>
        <v>27.888996740994727</v>
      </c>
      <c r="J32" s="104">
        <f>'Table 2A BaseLoad'!J32-'Table 12'!$E13</f>
        <v>25.048484043174273</v>
      </c>
      <c r="K32" s="102">
        <f>'Table 2A BaseLoad'!K32-'Table 12'!$E13</f>
        <v>25.206876523211331</v>
      </c>
      <c r="L32" s="103">
        <f>'Table 2A BaseLoad'!L32-'Table 12'!$E13</f>
        <v>30.472484337111073</v>
      </c>
      <c r="M32" s="104">
        <f>'Table 2A BaseLoad'!M32-'Table 12'!$E13</f>
        <v>26.424292574180459</v>
      </c>
      <c r="N32" s="246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</row>
    <row r="33" spans="1:26" ht="12.75" customHeight="1" x14ac:dyDescent="0.2">
      <c r="A33" s="101">
        <f t="shared" si="1"/>
        <v>2019</v>
      </c>
      <c r="B33" s="102">
        <f>'Table 2A BaseLoad'!B33-'Table 12'!$E14</f>
        <v>25.751804696107456</v>
      </c>
      <c r="C33" s="103">
        <f>'Table 2A BaseLoad'!C33-'Table 12'!$E14</f>
        <v>26.555944348024777</v>
      </c>
      <c r="D33" s="103">
        <f>'Table 2A BaseLoad'!D33-'Table 12'!$E14</f>
        <v>28.76307493145643</v>
      </c>
      <c r="E33" s="103">
        <f>'Table 2A BaseLoad'!E33-'Table 12'!$E14</f>
        <v>26.296449925540873</v>
      </c>
      <c r="F33" s="103">
        <f>'Table 2A BaseLoad'!F33-'Table 12'!$E14</f>
        <v>20.562838357120214</v>
      </c>
      <c r="G33" s="102">
        <f>'Table 2A BaseLoad'!G33-'Table 12'!$E14</f>
        <v>20.329631599508165</v>
      </c>
      <c r="H33" s="103">
        <f>'Table 2A BaseLoad'!H33-'Table 12'!$E14</f>
        <v>26.873859378396318</v>
      </c>
      <c r="I33" s="103">
        <f>'Table 2A BaseLoad'!I33-'Table 12'!$E14</f>
        <v>29.620025788751853</v>
      </c>
      <c r="J33" s="104">
        <f>'Table 2A BaseLoad'!J33-'Table 12'!$E14</f>
        <v>27.07944274064781</v>
      </c>
      <c r="K33" s="102">
        <f>'Table 2A BaseLoad'!K33-'Table 12'!$E14</f>
        <v>27.783142034682388</v>
      </c>
      <c r="L33" s="103">
        <f>'Table 2A BaseLoad'!L33-'Table 12'!$E14</f>
        <v>26.636951310466319</v>
      </c>
      <c r="M33" s="104">
        <f>'Table 2A BaseLoad'!M33-'Table 12'!$E14</f>
        <v>28.663183932917534</v>
      </c>
      <c r="N33" s="246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</row>
    <row r="34" spans="1:26" ht="12.75" customHeight="1" x14ac:dyDescent="0.2">
      <c r="A34" s="101">
        <f t="shared" si="1"/>
        <v>2020</v>
      </c>
      <c r="B34" s="102">
        <f>'Table 2A BaseLoad'!B34-'Table 12'!$E15</f>
        <v>29.786585125366081</v>
      </c>
      <c r="C34" s="103">
        <f>'Table 2A BaseLoad'!C34-'Table 12'!$E15</f>
        <v>28.049753819440113</v>
      </c>
      <c r="D34" s="103">
        <f>'Table 2A BaseLoad'!D34-'Table 12'!$E15</f>
        <v>29.623904395401205</v>
      </c>
      <c r="E34" s="103">
        <f>'Table 2A BaseLoad'!E34-'Table 12'!$E15</f>
        <v>28.296749138342804</v>
      </c>
      <c r="F34" s="103">
        <f>'Table 2A BaseLoad'!F34-'Table 12'!$E15</f>
        <v>26.139546820323609</v>
      </c>
      <c r="G34" s="102">
        <f>'Table 2A BaseLoad'!G34-'Table 12'!$E15</f>
        <v>27.76902832233317</v>
      </c>
      <c r="H34" s="103">
        <f>'Table 2A BaseLoad'!H34-'Table 12'!$E15</f>
        <v>34.798962694037385</v>
      </c>
      <c r="I34" s="103">
        <f>'Table 2A BaseLoad'!I34-'Table 12'!$E15</f>
        <v>35.092094425975205</v>
      </c>
      <c r="J34" s="104">
        <f>'Table 2A BaseLoad'!J34-'Table 12'!$E15</f>
        <v>32.524259210702617</v>
      </c>
      <c r="K34" s="102">
        <f>'Table 2A BaseLoad'!K34-'Table 12'!$E15</f>
        <v>30.107002977040921</v>
      </c>
      <c r="L34" s="103">
        <f>'Table 2A BaseLoad'!L34-'Table 12'!$E15</f>
        <v>30.664021089896025</v>
      </c>
      <c r="M34" s="104">
        <f>'Table 2A BaseLoad'!M34-'Table 12'!$E15</f>
        <v>30.641789476269054</v>
      </c>
      <c r="N34" s="246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</row>
    <row r="35" spans="1:26" ht="12.75" customHeight="1" x14ac:dyDescent="0.2">
      <c r="A35" s="101">
        <f t="shared" si="1"/>
        <v>2021</v>
      </c>
      <c r="B35" s="102">
        <f>'Table 2A BaseLoad'!B35-'Table 12'!$E16</f>
        <v>32.121769392877418</v>
      </c>
      <c r="C35" s="103">
        <f>'Table 2A BaseLoad'!C35-'Table 12'!$E16</f>
        <v>33.918709545079821</v>
      </c>
      <c r="D35" s="103">
        <f>'Table 2A BaseLoad'!D35-'Table 12'!$E16</f>
        <v>32.586992656114937</v>
      </c>
      <c r="E35" s="103">
        <f>'Table 2A BaseLoad'!E35-'Table 12'!$E16</f>
        <v>31.080577733809701</v>
      </c>
      <c r="F35" s="103">
        <f>'Table 2A BaseLoad'!F35-'Table 12'!$E16</f>
        <v>31.290114686978765</v>
      </c>
      <c r="G35" s="102">
        <f>'Table 2A BaseLoad'!G35-'Table 12'!$E16</f>
        <v>32.396426862051683</v>
      </c>
      <c r="H35" s="103">
        <f>'Table 2A BaseLoad'!H35-'Table 12'!$E16</f>
        <v>37.98028459863977</v>
      </c>
      <c r="I35" s="103">
        <f>'Table 2A BaseLoad'!I35-'Table 12'!$E16</f>
        <v>38.500683022590955</v>
      </c>
      <c r="J35" s="104">
        <f>'Table 2A BaseLoad'!J35-'Table 12'!$E16</f>
        <v>36.260195667108086</v>
      </c>
      <c r="K35" s="102">
        <f>'Table 2A BaseLoad'!K35-'Table 12'!$E16</f>
        <v>35.079872268049137</v>
      </c>
      <c r="L35" s="103">
        <f>'Table 2A BaseLoad'!L35-'Table 12'!$E16</f>
        <v>38.192370998871027</v>
      </c>
      <c r="M35" s="104">
        <f>'Table 2A BaseLoad'!M35-'Table 12'!$E16</f>
        <v>38.918227228028471</v>
      </c>
      <c r="N35" s="246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</row>
    <row r="36" spans="1:26" ht="12.75" customHeight="1" x14ac:dyDescent="0.2">
      <c r="A36" s="101">
        <f t="shared" si="1"/>
        <v>2022</v>
      </c>
      <c r="B36" s="102">
        <f>'Table 2A BaseLoad'!B36-'Table 12'!$E17</f>
        <v>35.720636437662286</v>
      </c>
      <c r="C36" s="103">
        <f>'Table 2A BaseLoad'!C36-'Table 12'!$E17</f>
        <v>35.274389831842683</v>
      </c>
      <c r="D36" s="103">
        <f>'Table 2A BaseLoad'!D36-'Table 12'!$E17</f>
        <v>35.319171770368264</v>
      </c>
      <c r="E36" s="103">
        <f>'Table 2A BaseLoad'!E36-'Table 12'!$E17</f>
        <v>31.843731637167441</v>
      </c>
      <c r="F36" s="103">
        <f>'Table 2A BaseLoad'!F36-'Table 12'!$E17</f>
        <v>31.481437483704038</v>
      </c>
      <c r="G36" s="102">
        <f>'Table 2A BaseLoad'!G36-'Table 12'!$E17</f>
        <v>33.054649976742787</v>
      </c>
      <c r="H36" s="103">
        <f>'Table 2A BaseLoad'!H36-'Table 12'!$E17</f>
        <v>38.526493805510434</v>
      </c>
      <c r="I36" s="103">
        <f>'Table 2A BaseLoad'!I36-'Table 12'!$E17</f>
        <v>37.611593390941415</v>
      </c>
      <c r="J36" s="104">
        <f>'Table 2A BaseLoad'!J36-'Table 12'!$E17</f>
        <v>35.377797778561849</v>
      </c>
      <c r="K36" s="102">
        <f>'Table 2A BaseLoad'!K36-'Table 12'!$E17</f>
        <v>34.642553587826121</v>
      </c>
      <c r="L36" s="103">
        <f>'Table 2A BaseLoad'!L36-'Table 12'!$E17</f>
        <v>35.455442171446677</v>
      </c>
      <c r="M36" s="104">
        <f>'Table 2A BaseLoad'!M36-'Table 12'!$E17</f>
        <v>37.853211253807181</v>
      </c>
      <c r="N36" s="246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</row>
    <row r="37" spans="1:26" ht="12.75" customHeight="1" x14ac:dyDescent="0.2">
      <c r="A37" s="101">
        <f t="shared" si="1"/>
        <v>2023</v>
      </c>
      <c r="B37" s="102">
        <f>'Table 2A BaseLoad'!B37-'Table 12'!$E18</f>
        <v>36.036611033749637</v>
      </c>
      <c r="C37" s="103">
        <f>'Table 2A BaseLoad'!C37-'Table 12'!$E18</f>
        <v>35.706101302206903</v>
      </c>
      <c r="D37" s="103">
        <f>'Table 2A BaseLoad'!D37-'Table 12'!$E18</f>
        <v>35.455624925542701</v>
      </c>
      <c r="E37" s="103">
        <f>'Table 2A BaseLoad'!E37-'Table 12'!$E18</f>
        <v>33.663052959031731</v>
      </c>
      <c r="F37" s="103">
        <f>'Table 2A BaseLoad'!F37-'Table 12'!$E18</f>
        <v>31.81898402237163</v>
      </c>
      <c r="G37" s="102">
        <f>'Table 2A BaseLoad'!G37-'Table 12'!$E18</f>
        <v>32.726071014007957</v>
      </c>
      <c r="H37" s="103">
        <f>'Table 2A BaseLoad'!H37-'Table 12'!$E18</f>
        <v>38.718597142143047</v>
      </c>
      <c r="I37" s="103">
        <f>'Table 2A BaseLoad'!I37-'Table 12'!$E18</f>
        <v>38.011005485256568</v>
      </c>
      <c r="J37" s="104">
        <f>'Table 2A BaseLoad'!J37-'Table 12'!$E18</f>
        <v>34.862971397235157</v>
      </c>
      <c r="K37" s="102">
        <f>'Table 2A BaseLoad'!K37-'Table 12'!$E18</f>
        <v>35.149303169175923</v>
      </c>
      <c r="L37" s="103">
        <f>'Table 2A BaseLoad'!L37-'Table 12'!$E18</f>
        <v>37.319032819577806</v>
      </c>
      <c r="M37" s="104">
        <f>'Table 2A BaseLoad'!M37-'Table 12'!$E18</f>
        <v>39.822934302116828</v>
      </c>
      <c r="N37" s="246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</row>
    <row r="38" spans="1:26" ht="12.75" customHeight="1" x14ac:dyDescent="0.2">
      <c r="A38" s="101">
        <f t="shared" si="1"/>
        <v>2024</v>
      </c>
      <c r="B38" s="102">
        <f>'Table 2A BaseLoad'!B38-'Table 12'!$E19</f>
        <v>39.345527479269741</v>
      </c>
      <c r="C38" s="103">
        <f>'Table 2A BaseLoad'!C38-'Table 12'!$E19</f>
        <v>39.210227095945008</v>
      </c>
      <c r="D38" s="103">
        <f>'Table 2A BaseLoad'!D38-'Table 12'!$E19</f>
        <v>38.659759588936708</v>
      </c>
      <c r="E38" s="103">
        <f>'Table 2A BaseLoad'!E38-'Table 12'!$E19</f>
        <v>35.405256781834076</v>
      </c>
      <c r="F38" s="103">
        <f>'Table 2A BaseLoad'!F38-'Table 12'!$E19</f>
        <v>33.892965569096724</v>
      </c>
      <c r="G38" s="102">
        <f>'Table 2A BaseLoad'!G38-'Table 12'!$E19</f>
        <v>35.577101000313426</v>
      </c>
      <c r="H38" s="103">
        <f>'Table 2A BaseLoad'!H38-'Table 12'!$E19</f>
        <v>41.626735958265854</v>
      </c>
      <c r="I38" s="103">
        <f>'Table 2A BaseLoad'!I38-'Table 12'!$E19</f>
        <v>42.184668700382005</v>
      </c>
      <c r="J38" s="103">
        <f>'Table 2A BaseLoad'!J38-'Table 12'!$E19</f>
        <v>37.354563164716119</v>
      </c>
      <c r="K38" s="102">
        <f>'Table 2A BaseLoad'!K38-'Table 12'!$E19</f>
        <v>38.770862922296558</v>
      </c>
      <c r="L38" s="103">
        <f>'Table 2A BaseLoad'!L38-'Table 12'!$E19</f>
        <v>39.547895571558058</v>
      </c>
      <c r="M38" s="104">
        <f>'Table 2A BaseLoad'!M38-'Table 12'!$E19</f>
        <v>41.24976316976278</v>
      </c>
      <c r="N38" s="246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</row>
    <row r="39" spans="1:26" ht="12.75" customHeight="1" x14ac:dyDescent="0.2">
      <c r="A39" s="101">
        <f t="shared" si="1"/>
        <v>2025</v>
      </c>
      <c r="B39" s="102">
        <f>'Table 2A BaseLoad'!B39-'Table 12'!$E20</f>
        <v>42.411462028474872</v>
      </c>
      <c r="C39" s="103">
        <f>'Table 2A BaseLoad'!C39-'Table 12'!$E20</f>
        <v>41.644577189443176</v>
      </c>
      <c r="D39" s="103">
        <f>'Table 2A BaseLoad'!D39-'Table 12'!$E20</f>
        <v>39.960877912568257</v>
      </c>
      <c r="E39" s="103">
        <f>'Table 2A BaseLoad'!E39-'Table 12'!$E20</f>
        <v>36.831780628409632</v>
      </c>
      <c r="F39" s="103">
        <f>'Table 2A BaseLoad'!F39-'Table 12'!$E20</f>
        <v>36.141050125154713</v>
      </c>
      <c r="G39" s="102">
        <f>'Table 2A BaseLoad'!G39-'Table 12'!$E20</f>
        <v>37.771402852437596</v>
      </c>
      <c r="H39" s="103">
        <f>'Table 2A BaseLoad'!H39-'Table 12'!$E20</f>
        <v>44.016205635693666</v>
      </c>
      <c r="I39" s="103">
        <f>'Table 2A BaseLoad'!I39-'Table 12'!$E20</f>
        <v>45.343094465890296</v>
      </c>
      <c r="J39" s="103">
        <f>'Table 2A BaseLoad'!J39-'Table 12'!$E20</f>
        <v>40.435249155157479</v>
      </c>
      <c r="K39" s="102">
        <f>'Table 2A BaseLoad'!K39-'Table 12'!$E20</f>
        <v>40.257358406849491</v>
      </c>
      <c r="L39" s="103">
        <f>'Table 2A BaseLoad'!L39-'Table 12'!$E20</f>
        <v>41.689155742657412</v>
      </c>
      <c r="M39" s="104">
        <f>'Table 2A BaseLoad'!M39-'Table 12'!$E20</f>
        <v>43.299260161613176</v>
      </c>
      <c r="N39" s="246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</row>
    <row r="40" spans="1:26" ht="12.75" customHeight="1" x14ac:dyDescent="0.2">
      <c r="A40" s="101">
        <f t="shared" si="1"/>
        <v>2026</v>
      </c>
      <c r="B40" s="102">
        <f>'Table 2A BaseLoad'!B40-'Table 12'!$E21</f>
        <v>43.900767737332224</v>
      </c>
      <c r="C40" s="103">
        <f>'Table 2A BaseLoad'!C40-'Table 12'!$E21</f>
        <v>43.317617898578312</v>
      </c>
      <c r="D40" s="103">
        <f>'Table 2A BaseLoad'!D40-'Table 12'!$E21</f>
        <v>41.184597628881143</v>
      </c>
      <c r="E40" s="103">
        <f>'Table 2A BaseLoad'!E40-'Table 12'!$E21</f>
        <v>39.702874650006102</v>
      </c>
      <c r="F40" s="103">
        <f>'Table 2A BaseLoad'!F40-'Table 12'!$E21</f>
        <v>37.409012147464267</v>
      </c>
      <c r="G40" s="102">
        <f>'Table 2A BaseLoad'!G40-'Table 12'!$E21</f>
        <v>39.588979889042974</v>
      </c>
      <c r="H40" s="103">
        <f>'Table 2A BaseLoad'!H40-'Table 12'!$E21</f>
        <v>45.772610604082303</v>
      </c>
      <c r="I40" s="103">
        <f>'Table 2A BaseLoad'!I40-'Table 12'!$E21</f>
        <v>47.426690831197739</v>
      </c>
      <c r="J40" s="103">
        <f>'Table 2A BaseLoad'!J40-'Table 12'!$E21</f>
        <v>43.004431152079384</v>
      </c>
      <c r="K40" s="102">
        <f>'Table 2A BaseLoad'!K40-'Table 12'!$E21</f>
        <v>41.395286837972122</v>
      </c>
      <c r="L40" s="103">
        <f>'Table 2A BaseLoad'!L40-'Table 12'!$E21</f>
        <v>43.174725880214268</v>
      </c>
      <c r="M40" s="104">
        <f>'Table 2A BaseLoad'!M40-'Table 12'!$E21</f>
        <v>45.555628265063362</v>
      </c>
      <c r="N40" s="246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</row>
    <row r="41" spans="1:26" ht="12.75" hidden="1" customHeight="1" x14ac:dyDescent="0.2">
      <c r="A41" s="101"/>
      <c r="B41" s="102"/>
      <c r="C41" s="103"/>
      <c r="D41" s="103"/>
      <c r="E41" s="103"/>
      <c r="F41" s="103"/>
      <c r="G41" s="102"/>
      <c r="H41" s="103"/>
      <c r="I41" s="103"/>
      <c r="J41" s="103"/>
      <c r="K41" s="102"/>
      <c r="L41" s="103"/>
      <c r="M41" s="104"/>
    </row>
    <row r="42" spans="1:26" ht="12.75" hidden="1" customHeight="1" x14ac:dyDescent="0.2">
      <c r="A42" s="101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26" ht="12.75" hidden="1" customHeight="1" x14ac:dyDescent="0.2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26" ht="12.75" customHeight="1" x14ac:dyDescent="0.2">
      <c r="A44" s="218"/>
      <c r="B44" s="216"/>
      <c r="C44" s="216"/>
      <c r="D44" s="216"/>
      <c r="E44" s="216"/>
      <c r="F44" s="215"/>
      <c r="G44" s="215"/>
      <c r="H44" s="215"/>
      <c r="I44" s="215"/>
      <c r="J44" s="217"/>
      <c r="K44" s="215"/>
      <c r="L44" s="215"/>
      <c r="M44" s="215"/>
    </row>
    <row r="45" spans="1:26" ht="12.75" customHeight="1" x14ac:dyDescent="0.2">
      <c r="A45" s="13" t="s">
        <v>316</v>
      </c>
      <c r="C45" s="88"/>
      <c r="D45" s="88"/>
      <c r="E45" s="88"/>
      <c r="G45" s="88"/>
      <c r="H45" s="88"/>
      <c r="I45" s="88"/>
      <c r="J45" s="96"/>
      <c r="L45" s="88"/>
      <c r="M45" s="70"/>
    </row>
    <row r="46" spans="1:26" ht="12.75" customHeight="1" x14ac:dyDescent="0.2">
      <c r="A46" s="97">
        <f>'Tables 3 to 6'!$B$13</f>
        <v>2014</v>
      </c>
      <c r="B46" s="98"/>
      <c r="C46" s="99"/>
      <c r="D46" s="99"/>
      <c r="E46" s="99"/>
      <c r="F46" s="99"/>
      <c r="G46" s="98"/>
      <c r="H46" s="99">
        <f t="shared" ref="H46:M58" si="2">H10*0.56+H28*0.44</f>
        <v>27.111249232216434</v>
      </c>
      <c r="I46" s="99">
        <f t="shared" si="2"/>
        <v>35.309450853829574</v>
      </c>
      <c r="J46" s="99">
        <f t="shared" si="2"/>
        <v>25.955470895157951</v>
      </c>
      <c r="K46" s="98">
        <f t="shared" si="2"/>
        <v>23.619688490554196</v>
      </c>
      <c r="L46" s="99">
        <f t="shared" si="2"/>
        <v>27.214334456274635</v>
      </c>
      <c r="M46" s="100">
        <f t="shared" si="2"/>
        <v>23.845762000653721</v>
      </c>
    </row>
    <row r="47" spans="1:26" ht="12.75" customHeight="1" x14ac:dyDescent="0.2">
      <c r="A47" s="101">
        <f t="shared" ref="A47:A58" si="3">A46+1</f>
        <v>2015</v>
      </c>
      <c r="B47" s="102">
        <f t="shared" ref="B47:G58" si="4">B11*0.56+B29*0.44</f>
        <v>32.674575445621166</v>
      </c>
      <c r="C47" s="103">
        <f t="shared" si="4"/>
        <v>33.0167402514438</v>
      </c>
      <c r="D47" s="103">
        <f t="shared" si="4"/>
        <v>38.802052187985922</v>
      </c>
      <c r="E47" s="103">
        <f t="shared" si="4"/>
        <v>23.675999532939478</v>
      </c>
      <c r="F47" s="103">
        <f t="shared" si="4"/>
        <v>21.472845674648632</v>
      </c>
      <c r="G47" s="102">
        <f t="shared" si="4"/>
        <v>22.914421091267517</v>
      </c>
      <c r="H47" s="103">
        <f t="shared" si="2"/>
        <v>31.103174254570828</v>
      </c>
      <c r="I47" s="103">
        <f t="shared" si="2"/>
        <v>33.391542100275551</v>
      </c>
      <c r="J47" s="103">
        <f t="shared" si="2"/>
        <v>28.702173684811989</v>
      </c>
      <c r="K47" s="102">
        <f t="shared" si="2"/>
        <v>25.756050937689807</v>
      </c>
      <c r="L47" s="103">
        <f t="shared" si="2"/>
        <v>28.041918961642125</v>
      </c>
      <c r="M47" s="104">
        <f t="shared" si="2"/>
        <v>32.790291072945912</v>
      </c>
    </row>
    <row r="48" spans="1:26" ht="12.75" customHeight="1" x14ac:dyDescent="0.2">
      <c r="A48" s="101">
        <f t="shared" si="3"/>
        <v>2016</v>
      </c>
      <c r="B48" s="102">
        <f t="shared" si="4"/>
        <v>27.379485913954355</v>
      </c>
      <c r="C48" s="103">
        <f t="shared" si="4"/>
        <v>29.929719343068982</v>
      </c>
      <c r="D48" s="103">
        <f t="shared" si="4"/>
        <v>31.363691002924853</v>
      </c>
      <c r="E48" s="103">
        <f t="shared" si="4"/>
        <v>24.851004848628381</v>
      </c>
      <c r="F48" s="103">
        <f t="shared" si="4"/>
        <v>21.705349548005735</v>
      </c>
      <c r="G48" s="102">
        <f t="shared" si="4"/>
        <v>21.34373125597838</v>
      </c>
      <c r="H48" s="103">
        <f t="shared" si="2"/>
        <v>30.247610788387469</v>
      </c>
      <c r="I48" s="103">
        <f t="shared" si="2"/>
        <v>32.803971916161473</v>
      </c>
      <c r="J48" s="103">
        <f t="shared" si="2"/>
        <v>26.926149234297363</v>
      </c>
      <c r="K48" s="102">
        <f t="shared" si="2"/>
        <v>25.614678739021766</v>
      </c>
      <c r="L48" s="103">
        <f t="shared" si="2"/>
        <v>21.837460803536544</v>
      </c>
      <c r="M48" s="104">
        <f t="shared" si="2"/>
        <v>29.16429624611305</v>
      </c>
    </row>
    <row r="49" spans="1:13" ht="12.75" customHeight="1" x14ac:dyDescent="0.2">
      <c r="A49" s="101">
        <f t="shared" si="3"/>
        <v>2017</v>
      </c>
      <c r="B49" s="102">
        <f t="shared" si="4"/>
        <v>26.651974515272737</v>
      </c>
      <c r="C49" s="103">
        <f t="shared" si="4"/>
        <v>29.825567538882737</v>
      </c>
      <c r="D49" s="103">
        <f t="shared" si="4"/>
        <v>30.807658458180043</v>
      </c>
      <c r="E49" s="103">
        <f t="shared" si="4"/>
        <v>24.720954689121406</v>
      </c>
      <c r="F49" s="103">
        <f t="shared" si="4"/>
        <v>23.243143143346625</v>
      </c>
      <c r="G49" s="102">
        <f t="shared" si="4"/>
        <v>22.54282776889907</v>
      </c>
      <c r="H49" s="103">
        <f t="shared" si="2"/>
        <v>32.100285277102913</v>
      </c>
      <c r="I49" s="103">
        <f t="shared" si="2"/>
        <v>34.833121449168402</v>
      </c>
      <c r="J49" s="103">
        <f t="shared" si="2"/>
        <v>30.243598677016891</v>
      </c>
      <c r="K49" s="102">
        <f t="shared" si="2"/>
        <v>26.376272389747424</v>
      </c>
      <c r="L49" s="103">
        <f t="shared" si="2"/>
        <v>27.031892238293445</v>
      </c>
      <c r="M49" s="104">
        <f t="shared" si="2"/>
        <v>27.922328565659722</v>
      </c>
    </row>
    <row r="50" spans="1:13" ht="12.75" customHeight="1" x14ac:dyDescent="0.2">
      <c r="A50" s="101">
        <f t="shared" si="3"/>
        <v>2018</v>
      </c>
      <c r="B50" s="102">
        <f t="shared" si="4"/>
        <v>27.450301480312547</v>
      </c>
      <c r="C50" s="103">
        <f t="shared" si="4"/>
        <v>28.257013266284673</v>
      </c>
      <c r="D50" s="103">
        <f t="shared" si="4"/>
        <v>31.90711263794477</v>
      </c>
      <c r="E50" s="103">
        <f t="shared" si="4"/>
        <v>27.320083181049579</v>
      </c>
      <c r="F50" s="103">
        <f t="shared" si="4"/>
        <v>24.9819807176845</v>
      </c>
      <c r="G50" s="102">
        <f t="shared" si="4"/>
        <v>24.797011094020618</v>
      </c>
      <c r="H50" s="103">
        <f t="shared" si="2"/>
        <v>34.652895950580557</v>
      </c>
      <c r="I50" s="103">
        <f t="shared" si="2"/>
        <v>37.28220592627622</v>
      </c>
      <c r="J50" s="103">
        <f t="shared" si="2"/>
        <v>30.564728104348312</v>
      </c>
      <c r="K50" s="102">
        <f t="shared" si="2"/>
        <v>29.719137225324491</v>
      </c>
      <c r="L50" s="103">
        <f t="shared" si="2"/>
        <v>35.823811759784441</v>
      </c>
      <c r="M50" s="104">
        <f t="shared" si="2"/>
        <v>29.474997983589791</v>
      </c>
    </row>
    <row r="51" spans="1:13" ht="12.75" customHeight="1" x14ac:dyDescent="0.2">
      <c r="A51" s="101">
        <f t="shared" si="3"/>
        <v>2019</v>
      </c>
      <c r="B51" s="102">
        <f t="shared" si="4"/>
        <v>29.189076908350557</v>
      </c>
      <c r="C51" s="103">
        <f t="shared" si="4"/>
        <v>30.080512881680285</v>
      </c>
      <c r="D51" s="103">
        <f t="shared" si="4"/>
        <v>32.536459172796839</v>
      </c>
      <c r="E51" s="103">
        <f t="shared" si="4"/>
        <v>30.453735150683812</v>
      </c>
      <c r="F51" s="103">
        <f t="shared" si="4"/>
        <v>26.486529228381087</v>
      </c>
      <c r="G51" s="102">
        <f t="shared" si="4"/>
        <v>26.385920450438082</v>
      </c>
      <c r="H51" s="103">
        <f t="shared" si="2"/>
        <v>35.990451448237096</v>
      </c>
      <c r="I51" s="103">
        <f t="shared" si="2"/>
        <v>39.070654422988319</v>
      </c>
      <c r="J51" s="103">
        <f t="shared" si="2"/>
        <v>32.717214303029699</v>
      </c>
      <c r="K51" s="102">
        <f t="shared" si="2"/>
        <v>32.473559184272233</v>
      </c>
      <c r="L51" s="103">
        <f t="shared" si="2"/>
        <v>31.166158319188952</v>
      </c>
      <c r="M51" s="104">
        <f t="shared" si="2"/>
        <v>31.793323898173938</v>
      </c>
    </row>
    <row r="52" spans="1:13" ht="12.75" customHeight="1" x14ac:dyDescent="0.2">
      <c r="A52" s="101">
        <f t="shared" si="3"/>
        <v>2020</v>
      </c>
      <c r="B52" s="102">
        <f t="shared" si="4"/>
        <v>34.031161716935678</v>
      </c>
      <c r="C52" s="103">
        <f t="shared" si="4"/>
        <v>32.075539322507069</v>
      </c>
      <c r="D52" s="103">
        <f t="shared" si="4"/>
        <v>33.840357538287627</v>
      </c>
      <c r="E52" s="103">
        <f t="shared" si="4"/>
        <v>33.043091201557409</v>
      </c>
      <c r="F52" s="103">
        <f t="shared" si="4"/>
        <v>29.935286772152068</v>
      </c>
      <c r="G52" s="102">
        <f t="shared" si="4"/>
        <v>31.89723044366589</v>
      </c>
      <c r="H52" s="103">
        <f t="shared" si="2"/>
        <v>41.628730889489447</v>
      </c>
      <c r="I52" s="103">
        <f t="shared" si="2"/>
        <v>41.540957369932002</v>
      </c>
      <c r="J52" s="103">
        <f t="shared" si="2"/>
        <v>36.293728859684848</v>
      </c>
      <c r="K52" s="102">
        <f t="shared" si="2"/>
        <v>33.015018718767216</v>
      </c>
      <c r="L52" s="103">
        <f t="shared" si="2"/>
        <v>33.570632751499787</v>
      </c>
      <c r="M52" s="104">
        <f t="shared" si="2"/>
        <v>32.447882159424985</v>
      </c>
    </row>
    <row r="53" spans="1:13" ht="12.75" customHeight="1" x14ac:dyDescent="0.2">
      <c r="A53" s="101">
        <f t="shared" si="3"/>
        <v>2021</v>
      </c>
      <c r="B53" s="102">
        <f t="shared" si="4"/>
        <v>34.711067695823303</v>
      </c>
      <c r="C53" s="103">
        <f t="shared" si="4"/>
        <v>36.434524977393323</v>
      </c>
      <c r="D53" s="103">
        <f t="shared" si="4"/>
        <v>35.317204470853753</v>
      </c>
      <c r="E53" s="103">
        <f t="shared" si="4"/>
        <v>34.157474744749024</v>
      </c>
      <c r="F53" s="103">
        <f t="shared" si="4"/>
        <v>32.676835857114334</v>
      </c>
      <c r="G53" s="102">
        <f t="shared" si="4"/>
        <v>34.378239638554412</v>
      </c>
      <c r="H53" s="103">
        <f t="shared" si="2"/>
        <v>41.45910582702696</v>
      </c>
      <c r="I53" s="103">
        <f t="shared" si="2"/>
        <v>41.769950539910567</v>
      </c>
      <c r="J53" s="103">
        <f t="shared" si="2"/>
        <v>37.917345714755974</v>
      </c>
      <c r="K53" s="102">
        <f t="shared" si="2"/>
        <v>36.371659583441357</v>
      </c>
      <c r="L53" s="103">
        <f t="shared" si="2"/>
        <v>39.537434200229839</v>
      </c>
      <c r="M53" s="104">
        <f t="shared" si="2"/>
        <v>39.657144392401733</v>
      </c>
    </row>
    <row r="54" spans="1:13" ht="12.75" customHeight="1" x14ac:dyDescent="0.2">
      <c r="A54" s="101">
        <f t="shared" si="3"/>
        <v>2022</v>
      </c>
      <c r="B54" s="102">
        <f t="shared" si="4"/>
        <v>36.668510650012941</v>
      </c>
      <c r="C54" s="103">
        <f t="shared" si="4"/>
        <v>35.842563211341272</v>
      </c>
      <c r="D54" s="103">
        <f t="shared" si="4"/>
        <v>36.365993086199737</v>
      </c>
      <c r="E54" s="103">
        <f t="shared" si="4"/>
        <v>32.984486635330171</v>
      </c>
      <c r="F54" s="103">
        <f t="shared" si="4"/>
        <v>32.569262271992379</v>
      </c>
      <c r="G54" s="102">
        <f t="shared" si="4"/>
        <v>35.599673496468405</v>
      </c>
      <c r="H54" s="103">
        <f t="shared" si="2"/>
        <v>42.309058573401174</v>
      </c>
      <c r="I54" s="103">
        <f t="shared" si="2"/>
        <v>41.434269761945885</v>
      </c>
      <c r="J54" s="103">
        <f t="shared" si="2"/>
        <v>37.297456922178156</v>
      </c>
      <c r="K54" s="102">
        <f t="shared" si="2"/>
        <v>36.091666822076569</v>
      </c>
      <c r="L54" s="103">
        <f t="shared" si="2"/>
        <v>36.636414642951436</v>
      </c>
      <c r="M54" s="104">
        <f t="shared" si="2"/>
        <v>38.85272174171358</v>
      </c>
    </row>
    <row r="55" spans="1:13" ht="12.75" customHeight="1" x14ac:dyDescent="0.2">
      <c r="A55" s="101">
        <f t="shared" si="3"/>
        <v>2023</v>
      </c>
      <c r="B55" s="102">
        <f t="shared" si="4"/>
        <v>36.880907504408604</v>
      </c>
      <c r="C55" s="103">
        <f t="shared" si="4"/>
        <v>36.356637307910631</v>
      </c>
      <c r="D55" s="103">
        <f t="shared" si="4"/>
        <v>36.109625749355033</v>
      </c>
      <c r="E55" s="103">
        <f t="shared" si="4"/>
        <v>34.275456867768469</v>
      </c>
      <c r="F55" s="103">
        <f t="shared" si="4"/>
        <v>33.217525315689684</v>
      </c>
      <c r="G55" s="102">
        <f t="shared" si="4"/>
        <v>35.47370407759152</v>
      </c>
      <c r="H55" s="103">
        <f t="shared" si="2"/>
        <v>42.812168129415163</v>
      </c>
      <c r="I55" s="103">
        <f t="shared" si="2"/>
        <v>41.966118775741045</v>
      </c>
      <c r="J55" s="103">
        <f t="shared" si="2"/>
        <v>36.240515829826833</v>
      </c>
      <c r="K55" s="102">
        <f t="shared" si="2"/>
        <v>36.737693680701696</v>
      </c>
      <c r="L55" s="103">
        <f t="shared" si="2"/>
        <v>38.490059625567845</v>
      </c>
      <c r="M55" s="104">
        <f t="shared" si="2"/>
        <v>40.878343173031482</v>
      </c>
    </row>
    <row r="56" spans="1:13" ht="12.75" customHeight="1" x14ac:dyDescent="0.2">
      <c r="A56" s="101">
        <f t="shared" si="3"/>
        <v>2024</v>
      </c>
      <c r="B56" s="102">
        <f t="shared" si="4"/>
        <v>40.231266280803098</v>
      </c>
      <c r="C56" s="103">
        <f t="shared" si="4"/>
        <v>39.737542914654249</v>
      </c>
      <c r="D56" s="103">
        <f t="shared" si="4"/>
        <v>39.182528366627494</v>
      </c>
      <c r="E56" s="103">
        <f t="shared" si="4"/>
        <v>36.704753230596822</v>
      </c>
      <c r="F56" s="103">
        <f t="shared" si="4"/>
        <v>35.071272231432388</v>
      </c>
      <c r="G56" s="102">
        <f t="shared" si="4"/>
        <v>37.953015786003562</v>
      </c>
      <c r="H56" s="103">
        <f t="shared" si="2"/>
        <v>45.966018858145823</v>
      </c>
      <c r="I56" s="103">
        <f t="shared" si="2"/>
        <v>46.743586896014904</v>
      </c>
      <c r="J56" s="103">
        <f t="shared" si="2"/>
        <v>39.760324299894023</v>
      </c>
      <c r="K56" s="102">
        <f t="shared" si="2"/>
        <v>40.159226411130845</v>
      </c>
      <c r="L56" s="103">
        <f t="shared" si="2"/>
        <v>40.922449186414582</v>
      </c>
      <c r="M56" s="104">
        <f t="shared" si="2"/>
        <v>42.251029536138958</v>
      </c>
    </row>
    <row r="57" spans="1:13" ht="12.75" customHeight="1" x14ac:dyDescent="0.2">
      <c r="A57" s="101">
        <f t="shared" si="3"/>
        <v>2025</v>
      </c>
      <c r="B57" s="102">
        <f t="shared" si="4"/>
        <v>43.508006300338991</v>
      </c>
      <c r="C57" s="103">
        <f t="shared" si="4"/>
        <v>42.406866031291869</v>
      </c>
      <c r="D57" s="103">
        <f t="shared" si="4"/>
        <v>40.813059602272091</v>
      </c>
      <c r="E57" s="103">
        <f t="shared" si="4"/>
        <v>37.869200063569508</v>
      </c>
      <c r="F57" s="103">
        <f t="shared" si="4"/>
        <v>37.310342777500445</v>
      </c>
      <c r="G57" s="102">
        <f t="shared" si="4"/>
        <v>40.608521761183923</v>
      </c>
      <c r="H57" s="103">
        <f t="shared" si="2"/>
        <v>48.80938925016828</v>
      </c>
      <c r="I57" s="103">
        <f t="shared" si="2"/>
        <v>50.132079354279767</v>
      </c>
      <c r="J57" s="103">
        <f t="shared" si="2"/>
        <v>43.256378326557325</v>
      </c>
      <c r="K57" s="102">
        <f t="shared" si="2"/>
        <v>41.626730336324115</v>
      </c>
      <c r="L57" s="103">
        <f t="shared" si="2"/>
        <v>43.075700090658898</v>
      </c>
      <c r="M57" s="104">
        <f t="shared" si="2"/>
        <v>44.446969348983899</v>
      </c>
    </row>
    <row r="58" spans="1:13" ht="12.75" customHeight="1" x14ac:dyDescent="0.2">
      <c r="A58" s="101">
        <f t="shared" si="3"/>
        <v>2026</v>
      </c>
      <c r="B58" s="102">
        <f t="shared" si="4"/>
        <v>44.771577804446679</v>
      </c>
      <c r="C58" s="103">
        <f t="shared" si="4"/>
        <v>43.756063511306813</v>
      </c>
      <c r="D58" s="103">
        <f t="shared" si="4"/>
        <v>41.87651834523097</v>
      </c>
      <c r="E58" s="103">
        <f t="shared" si="4"/>
        <v>40.187452034032134</v>
      </c>
      <c r="F58" s="103">
        <f t="shared" si="4"/>
        <v>38.601513606264206</v>
      </c>
      <c r="G58" s="102">
        <f t="shared" si="4"/>
        <v>42.670746171970791</v>
      </c>
      <c r="H58" s="103">
        <f t="shared" si="2"/>
        <v>50.938805085034801</v>
      </c>
      <c r="I58" s="103">
        <f t="shared" si="2"/>
        <v>52.516571523522849</v>
      </c>
      <c r="J58" s="103">
        <f t="shared" si="2"/>
        <v>45.500175578784678</v>
      </c>
      <c r="K58" s="102">
        <f t="shared" si="2"/>
        <v>42.960745469236507</v>
      </c>
      <c r="L58" s="103">
        <f t="shared" si="2"/>
        <v>44.588589453688385</v>
      </c>
      <c r="M58" s="104">
        <f t="shared" si="2"/>
        <v>46.749593854978116</v>
      </c>
    </row>
    <row r="59" spans="1:13" ht="12.75" hidden="1" customHeight="1" x14ac:dyDescent="0.2">
      <c r="A59" s="101"/>
      <c r="B59" s="102"/>
      <c r="C59" s="103"/>
      <c r="D59" s="103"/>
      <c r="E59" s="103"/>
      <c r="F59" s="103"/>
      <c r="G59" s="102"/>
      <c r="H59" s="103"/>
      <c r="I59" s="103"/>
      <c r="J59" s="103"/>
      <c r="K59" s="102"/>
      <c r="L59" s="103"/>
      <c r="M59" s="104"/>
    </row>
    <row r="60" spans="1:13" ht="12.75" hidden="1" customHeight="1" x14ac:dyDescent="0.2">
      <c r="A60" s="101"/>
      <c r="B60" s="102"/>
      <c r="C60" s="103"/>
      <c r="D60" s="103"/>
      <c r="E60" s="103"/>
      <c r="F60" s="103"/>
      <c r="G60" s="102"/>
      <c r="H60" s="103"/>
      <c r="I60" s="103"/>
      <c r="J60" s="103"/>
      <c r="K60" s="102"/>
      <c r="L60" s="103"/>
      <c r="M60" s="104"/>
    </row>
    <row r="61" spans="1:13" ht="12.75" hidden="1" customHeight="1" x14ac:dyDescent="0.2">
      <c r="A61" s="105"/>
      <c r="B61" s="106"/>
      <c r="C61" s="107"/>
      <c r="D61" s="107"/>
      <c r="E61" s="107"/>
      <c r="F61" s="107"/>
      <c r="G61" s="106"/>
      <c r="H61" s="107"/>
      <c r="I61" s="107"/>
      <c r="J61" s="107"/>
      <c r="K61" s="106"/>
      <c r="L61" s="107"/>
      <c r="M61" s="108"/>
    </row>
    <row r="62" spans="1:13" ht="12.75" customHeight="1" x14ac:dyDescent="0.2">
      <c r="A62" s="215"/>
      <c r="B62" s="216"/>
      <c r="C62" s="216"/>
      <c r="D62" s="216"/>
      <c r="E62" s="215"/>
      <c r="F62" s="215"/>
      <c r="G62" s="215"/>
      <c r="H62" s="215"/>
      <c r="I62" s="215"/>
      <c r="J62" s="215"/>
      <c r="K62" s="217"/>
      <c r="L62" s="215"/>
      <c r="M62" s="215"/>
    </row>
    <row r="63" spans="1:13" ht="12.75" customHeight="1" x14ac:dyDescent="0.2">
      <c r="A63" s="13" t="s">
        <v>69</v>
      </c>
      <c r="C63" s="110"/>
      <c r="D63" s="110"/>
      <c r="K63" s="109"/>
    </row>
    <row r="64" spans="1:13" ht="12.75" customHeight="1" x14ac:dyDescent="0.2">
      <c r="A64" s="111" t="s">
        <v>2</v>
      </c>
      <c r="C64" s="112" t="s">
        <v>60</v>
      </c>
      <c r="D64" s="58"/>
      <c r="E64" s="59"/>
      <c r="F64" s="70"/>
      <c r="G64" s="112" t="s">
        <v>61</v>
      </c>
      <c r="H64" s="58"/>
      <c r="I64" s="59"/>
      <c r="J64" s="70"/>
      <c r="K64" s="112" t="s">
        <v>70</v>
      </c>
      <c r="L64" s="58"/>
      <c r="M64" s="59"/>
    </row>
    <row r="65" spans="1:15" s="70" customFormat="1" ht="12.75" customHeight="1" x14ac:dyDescent="0.2">
      <c r="A65" s="95"/>
      <c r="C65" s="21" t="s">
        <v>82</v>
      </c>
      <c r="D65" s="22" t="s">
        <v>1</v>
      </c>
      <c r="E65" s="22" t="s">
        <v>10</v>
      </c>
      <c r="F65" s="95"/>
      <c r="G65" s="21" t="s">
        <v>82</v>
      </c>
      <c r="H65" s="22" t="s">
        <v>1</v>
      </c>
      <c r="I65" s="22" t="s">
        <v>10</v>
      </c>
      <c r="J65" s="95"/>
      <c r="K65" s="21" t="s">
        <v>82</v>
      </c>
      <c r="L65" s="22" t="s">
        <v>1</v>
      </c>
      <c r="M65" s="22" t="s">
        <v>10</v>
      </c>
      <c r="N65" s="88"/>
    </row>
    <row r="66" spans="1:15" s="70" customFormat="1" ht="12.75" customHeight="1" x14ac:dyDescent="0.2">
      <c r="A66" s="113">
        <f t="shared" ref="A66:A78" si="5">A10</f>
        <v>2014</v>
      </c>
      <c r="C66" s="77">
        <f t="shared" ref="C66:C78" si="6">ROUND(AVERAGE(B10:F10,K10:M10),2)</f>
        <v>27.39</v>
      </c>
      <c r="D66" s="77">
        <f t="shared" ref="D66:D78" si="7">ROUND(AVERAGE(B28:F28,K28:M28),2)</f>
        <v>21.72</v>
      </c>
      <c r="E66" s="77">
        <f t="shared" ref="E66:E78" si="8">ROUND(AVERAGE(B46:F46,K46:M46),2)</f>
        <v>24.89</v>
      </c>
      <c r="G66" s="103">
        <f t="shared" ref="G66:G78" si="9">ROUND(AVERAGE(G10:J10),2)</f>
        <v>34.880000000000003</v>
      </c>
      <c r="H66" s="103">
        <f t="shared" ref="H66:H78" si="10">ROUND(AVERAGE(G28:J28),2)</f>
        <v>22.55</v>
      </c>
      <c r="I66" s="103">
        <f t="shared" ref="I66:I78" si="11">ROUND(AVERAGE(G46:J46),2)</f>
        <v>29.46</v>
      </c>
      <c r="K66" s="77">
        <f>ROUND(AVERAGE(B10:M10),2)</f>
        <v>31.14</v>
      </c>
      <c r="L66" s="77">
        <f t="shared" ref="L66:L78" si="12">ROUND(AVERAGE(B28:M28),2)</f>
        <v>22.14</v>
      </c>
      <c r="M66" s="77">
        <f t="shared" ref="M66:M78" si="13">ROUND(AVERAGE(B46:M46),2)</f>
        <v>27.18</v>
      </c>
      <c r="O66" s="444"/>
    </row>
    <row r="67" spans="1:15" s="70" customFormat="1" ht="12.75" customHeight="1" x14ac:dyDescent="0.2">
      <c r="A67" s="113">
        <f t="shared" si="5"/>
        <v>2015</v>
      </c>
      <c r="C67" s="77">
        <f t="shared" si="6"/>
        <v>32.869999999999997</v>
      </c>
      <c r="D67" s="77">
        <f t="shared" si="7"/>
        <v>25.27</v>
      </c>
      <c r="E67" s="77">
        <f t="shared" si="8"/>
        <v>29.53</v>
      </c>
      <c r="G67" s="103">
        <f t="shared" si="9"/>
        <v>34.83</v>
      </c>
      <c r="H67" s="103">
        <f t="shared" si="10"/>
        <v>21.65</v>
      </c>
      <c r="I67" s="103">
        <f t="shared" si="11"/>
        <v>29.03</v>
      </c>
      <c r="K67" s="77">
        <f t="shared" ref="K67:K78" si="14">ROUND(AVERAGE(B11:M11),2)</f>
        <v>33.53</v>
      </c>
      <c r="L67" s="77">
        <f t="shared" si="12"/>
        <v>24.06</v>
      </c>
      <c r="M67" s="77">
        <f t="shared" si="13"/>
        <v>29.36</v>
      </c>
      <c r="O67" s="444"/>
    </row>
    <row r="68" spans="1:15" s="70" customFormat="1" ht="12.75" customHeight="1" x14ac:dyDescent="0.2">
      <c r="A68" s="113">
        <f t="shared" si="5"/>
        <v>2016</v>
      </c>
      <c r="C68" s="77">
        <f t="shared" si="6"/>
        <v>29.47</v>
      </c>
      <c r="D68" s="77">
        <f t="shared" si="7"/>
        <v>22.68</v>
      </c>
      <c r="E68" s="77">
        <f t="shared" si="8"/>
        <v>26.48</v>
      </c>
      <c r="G68" s="103">
        <f t="shared" si="9"/>
        <v>33.32</v>
      </c>
      <c r="H68" s="103">
        <f t="shared" si="10"/>
        <v>20.85</v>
      </c>
      <c r="I68" s="103">
        <f t="shared" si="11"/>
        <v>27.83</v>
      </c>
      <c r="K68" s="77">
        <f t="shared" si="14"/>
        <v>30.75</v>
      </c>
      <c r="L68" s="77">
        <f t="shared" si="12"/>
        <v>22.07</v>
      </c>
      <c r="M68" s="77">
        <f t="shared" si="13"/>
        <v>26.93</v>
      </c>
      <c r="O68" s="444"/>
    </row>
    <row r="69" spans="1:15" s="70" customFormat="1" ht="12.75" customHeight="1" x14ac:dyDescent="0.2">
      <c r="A69" s="113">
        <f t="shared" si="5"/>
        <v>2017</v>
      </c>
      <c r="C69" s="77">
        <f t="shared" si="6"/>
        <v>30.09</v>
      </c>
      <c r="D69" s="77">
        <f t="shared" si="7"/>
        <v>23.23</v>
      </c>
      <c r="E69" s="77">
        <f t="shared" si="8"/>
        <v>27.07</v>
      </c>
      <c r="G69" s="103">
        <f t="shared" si="9"/>
        <v>35.590000000000003</v>
      </c>
      <c r="H69" s="103">
        <f t="shared" si="10"/>
        <v>22.72</v>
      </c>
      <c r="I69" s="103">
        <f t="shared" si="11"/>
        <v>29.93</v>
      </c>
      <c r="K69" s="77">
        <f t="shared" si="14"/>
        <v>31.92</v>
      </c>
      <c r="L69" s="77">
        <f t="shared" si="12"/>
        <v>23.06</v>
      </c>
      <c r="M69" s="77">
        <f t="shared" si="13"/>
        <v>28.02</v>
      </c>
      <c r="O69" s="444"/>
    </row>
    <row r="70" spans="1:15" s="70" customFormat="1" ht="12.75" customHeight="1" x14ac:dyDescent="0.2">
      <c r="A70" s="113">
        <f t="shared" si="5"/>
        <v>2018</v>
      </c>
      <c r="C70" s="77">
        <f t="shared" si="6"/>
        <v>32.65</v>
      </c>
      <c r="D70" s="77">
        <f t="shared" si="7"/>
        <v>25.19</v>
      </c>
      <c r="E70" s="77">
        <f t="shared" si="8"/>
        <v>29.37</v>
      </c>
      <c r="G70" s="103">
        <f t="shared" si="9"/>
        <v>37.729999999999997</v>
      </c>
      <c r="H70" s="103">
        <f t="shared" si="10"/>
        <v>24.31</v>
      </c>
      <c r="I70" s="103">
        <f t="shared" si="11"/>
        <v>31.82</v>
      </c>
      <c r="K70" s="77">
        <f t="shared" si="14"/>
        <v>34.340000000000003</v>
      </c>
      <c r="L70" s="77">
        <f t="shared" si="12"/>
        <v>24.89</v>
      </c>
      <c r="M70" s="77">
        <f t="shared" si="13"/>
        <v>30.19</v>
      </c>
      <c r="O70" s="444"/>
    </row>
    <row r="71" spans="1:15" s="70" customFormat="1" ht="12.75" customHeight="1" x14ac:dyDescent="0.2">
      <c r="A71" s="113">
        <f t="shared" si="5"/>
        <v>2019</v>
      </c>
      <c r="C71" s="77">
        <f t="shared" si="6"/>
        <v>33.78</v>
      </c>
      <c r="D71" s="77">
        <f t="shared" si="7"/>
        <v>26.38</v>
      </c>
      <c r="E71" s="77">
        <f t="shared" si="8"/>
        <v>30.52</v>
      </c>
      <c r="G71" s="103">
        <f t="shared" si="9"/>
        <v>39.49</v>
      </c>
      <c r="H71" s="103">
        <f t="shared" si="10"/>
        <v>25.98</v>
      </c>
      <c r="I71" s="103">
        <f t="shared" si="11"/>
        <v>33.54</v>
      </c>
      <c r="K71" s="77">
        <f t="shared" si="14"/>
        <v>35.68</v>
      </c>
      <c r="L71" s="77">
        <f t="shared" si="12"/>
        <v>26.24</v>
      </c>
      <c r="M71" s="77">
        <f t="shared" si="13"/>
        <v>31.53</v>
      </c>
      <c r="O71" s="444"/>
    </row>
    <row r="72" spans="1:15" s="70" customFormat="1" ht="12.75" customHeight="1" x14ac:dyDescent="0.2">
      <c r="A72" s="113">
        <f t="shared" si="5"/>
        <v>2020</v>
      </c>
      <c r="C72" s="77">
        <f t="shared" si="6"/>
        <v>35.56</v>
      </c>
      <c r="D72" s="77">
        <f t="shared" si="7"/>
        <v>29.16</v>
      </c>
      <c r="E72" s="77">
        <f t="shared" si="8"/>
        <v>32.74</v>
      </c>
      <c r="G72" s="103">
        <f t="shared" si="9"/>
        <v>42</v>
      </c>
      <c r="H72" s="103">
        <f t="shared" si="10"/>
        <v>32.549999999999997</v>
      </c>
      <c r="I72" s="103">
        <f t="shared" si="11"/>
        <v>37.840000000000003</v>
      </c>
      <c r="K72" s="77">
        <f t="shared" si="14"/>
        <v>37.71</v>
      </c>
      <c r="L72" s="77">
        <f t="shared" si="12"/>
        <v>30.29</v>
      </c>
      <c r="M72" s="77">
        <f t="shared" si="13"/>
        <v>34.44</v>
      </c>
      <c r="O72" s="444"/>
    </row>
    <row r="73" spans="1:15" s="70" customFormat="1" ht="12.75" customHeight="1" x14ac:dyDescent="0.2">
      <c r="A73" s="113">
        <f t="shared" si="5"/>
        <v>2021</v>
      </c>
      <c r="C73" s="77">
        <f t="shared" si="6"/>
        <v>37.65</v>
      </c>
      <c r="D73" s="77">
        <f t="shared" si="7"/>
        <v>34.15</v>
      </c>
      <c r="E73" s="77">
        <f t="shared" si="8"/>
        <v>36.11</v>
      </c>
      <c r="G73" s="103">
        <f t="shared" si="9"/>
        <v>40.92</v>
      </c>
      <c r="H73" s="103">
        <f t="shared" si="10"/>
        <v>36.28</v>
      </c>
      <c r="I73" s="103">
        <f t="shared" si="11"/>
        <v>38.880000000000003</v>
      </c>
      <c r="K73" s="77">
        <f t="shared" si="14"/>
        <v>38.74</v>
      </c>
      <c r="L73" s="77">
        <f t="shared" si="12"/>
        <v>34.86</v>
      </c>
      <c r="M73" s="77">
        <f t="shared" si="13"/>
        <v>37.03</v>
      </c>
      <c r="O73" s="444"/>
    </row>
    <row r="74" spans="1:15" s="70" customFormat="1" ht="12.75" customHeight="1" x14ac:dyDescent="0.2">
      <c r="A74" s="113">
        <f t="shared" si="5"/>
        <v>2022</v>
      </c>
      <c r="C74" s="77">
        <f t="shared" si="6"/>
        <v>36.58</v>
      </c>
      <c r="D74" s="77">
        <f t="shared" si="7"/>
        <v>34.700000000000003</v>
      </c>
      <c r="E74" s="77">
        <f t="shared" si="8"/>
        <v>35.75</v>
      </c>
      <c r="G74" s="103">
        <f t="shared" si="9"/>
        <v>41.53</v>
      </c>
      <c r="H74" s="103">
        <f t="shared" si="10"/>
        <v>36.14</v>
      </c>
      <c r="I74" s="103">
        <f t="shared" si="11"/>
        <v>39.159999999999997</v>
      </c>
      <c r="K74" s="77">
        <f t="shared" si="14"/>
        <v>38.229999999999997</v>
      </c>
      <c r="L74" s="77">
        <f t="shared" si="12"/>
        <v>35.18</v>
      </c>
      <c r="M74" s="77">
        <f t="shared" si="13"/>
        <v>36.89</v>
      </c>
      <c r="O74" s="444"/>
    </row>
    <row r="75" spans="1:15" s="70" customFormat="1" ht="12.75" customHeight="1" x14ac:dyDescent="0.2">
      <c r="A75" s="113">
        <f t="shared" si="5"/>
        <v>2023</v>
      </c>
      <c r="C75" s="77">
        <f t="shared" si="6"/>
        <v>37.4</v>
      </c>
      <c r="D75" s="77">
        <f t="shared" si="7"/>
        <v>35.619999999999997</v>
      </c>
      <c r="E75" s="77">
        <f t="shared" si="8"/>
        <v>36.619999999999997</v>
      </c>
      <c r="G75" s="103">
        <f t="shared" si="9"/>
        <v>41.51</v>
      </c>
      <c r="H75" s="103">
        <f t="shared" si="10"/>
        <v>36.08</v>
      </c>
      <c r="I75" s="103">
        <f t="shared" si="11"/>
        <v>39.119999999999997</v>
      </c>
      <c r="K75" s="77">
        <f t="shared" si="14"/>
        <v>38.770000000000003</v>
      </c>
      <c r="L75" s="77">
        <f t="shared" si="12"/>
        <v>35.770000000000003</v>
      </c>
      <c r="M75" s="77">
        <f t="shared" si="13"/>
        <v>37.450000000000003</v>
      </c>
      <c r="O75" s="444"/>
    </row>
    <row r="76" spans="1:15" s="70" customFormat="1" ht="12.75" customHeight="1" x14ac:dyDescent="0.2">
      <c r="A76" s="113">
        <f t="shared" si="5"/>
        <v>2024</v>
      </c>
      <c r="C76" s="77">
        <f t="shared" si="6"/>
        <v>40.090000000000003</v>
      </c>
      <c r="D76" s="77">
        <f t="shared" si="7"/>
        <v>38.26</v>
      </c>
      <c r="E76" s="77">
        <f t="shared" si="8"/>
        <v>39.28</v>
      </c>
      <c r="G76" s="103">
        <f t="shared" si="9"/>
        <v>45.29</v>
      </c>
      <c r="H76" s="103">
        <f t="shared" si="10"/>
        <v>39.19</v>
      </c>
      <c r="I76" s="103">
        <f t="shared" si="11"/>
        <v>42.61</v>
      </c>
      <c r="K76" s="77">
        <f t="shared" si="14"/>
        <v>41.82</v>
      </c>
      <c r="L76" s="77">
        <f t="shared" si="12"/>
        <v>38.57</v>
      </c>
      <c r="M76" s="77">
        <f t="shared" si="13"/>
        <v>40.39</v>
      </c>
      <c r="O76" s="444"/>
    </row>
    <row r="77" spans="1:15" s="70" customFormat="1" ht="12.75" customHeight="1" x14ac:dyDescent="0.2">
      <c r="A77" s="113">
        <f t="shared" si="5"/>
        <v>2025</v>
      </c>
      <c r="C77" s="77">
        <f t="shared" si="6"/>
        <v>42.25</v>
      </c>
      <c r="D77" s="77">
        <f t="shared" si="7"/>
        <v>40.28</v>
      </c>
      <c r="E77" s="77">
        <f t="shared" si="8"/>
        <v>41.38</v>
      </c>
      <c r="G77" s="103">
        <f t="shared" si="9"/>
        <v>48.7</v>
      </c>
      <c r="H77" s="103">
        <f t="shared" si="10"/>
        <v>41.89</v>
      </c>
      <c r="I77" s="103">
        <f t="shared" si="11"/>
        <v>45.7</v>
      </c>
      <c r="K77" s="77">
        <f t="shared" si="14"/>
        <v>44.4</v>
      </c>
      <c r="L77" s="77">
        <f t="shared" si="12"/>
        <v>40.82</v>
      </c>
      <c r="M77" s="77">
        <f t="shared" si="13"/>
        <v>42.82</v>
      </c>
      <c r="O77" s="444"/>
    </row>
    <row r="78" spans="1:15" s="70" customFormat="1" ht="12.75" customHeight="1" x14ac:dyDescent="0.2">
      <c r="A78" s="113">
        <f t="shared" si="5"/>
        <v>2026</v>
      </c>
      <c r="C78" s="77">
        <f t="shared" si="6"/>
        <v>43.71</v>
      </c>
      <c r="D78" s="77">
        <f t="shared" si="7"/>
        <v>41.96</v>
      </c>
      <c r="E78" s="77">
        <f t="shared" si="8"/>
        <v>42.94</v>
      </c>
      <c r="G78" s="103">
        <f t="shared" si="9"/>
        <v>51.02</v>
      </c>
      <c r="H78" s="103">
        <f t="shared" si="10"/>
        <v>43.95</v>
      </c>
      <c r="I78" s="103">
        <f t="shared" si="11"/>
        <v>47.91</v>
      </c>
      <c r="K78" s="77">
        <f t="shared" si="14"/>
        <v>46.14</v>
      </c>
      <c r="L78" s="77">
        <f t="shared" si="12"/>
        <v>42.62</v>
      </c>
      <c r="M78" s="77">
        <f t="shared" si="13"/>
        <v>44.59</v>
      </c>
      <c r="O78" s="444"/>
    </row>
    <row r="79" spans="1:15" s="70" customFormat="1" ht="12.75" customHeight="1" x14ac:dyDescent="0.2">
      <c r="A79" s="113"/>
      <c r="C79" s="77"/>
      <c r="D79" s="77"/>
      <c r="E79" s="77"/>
      <c r="G79" s="103"/>
      <c r="H79" s="103"/>
      <c r="I79" s="103"/>
      <c r="K79" s="77"/>
      <c r="L79" s="77"/>
      <c r="M79" s="77"/>
    </row>
    <row r="80" spans="1:15" s="70" customFormat="1" ht="12.75" customHeight="1" x14ac:dyDescent="0.2">
      <c r="A80" s="60" t="s">
        <v>83</v>
      </c>
      <c r="D80" s="77"/>
      <c r="E80" s="103"/>
      <c r="F80" s="103"/>
      <c r="G80" s="103"/>
      <c r="J80" s="103"/>
      <c r="K80" s="103"/>
    </row>
    <row r="81" spans="1:17" ht="12.75" customHeight="1" x14ac:dyDescent="0.2">
      <c r="A81" s="60" t="s">
        <v>322</v>
      </c>
      <c r="C81" s="115"/>
      <c r="D81" s="77"/>
      <c r="E81" s="103"/>
      <c r="F81" s="103"/>
      <c r="G81" s="103"/>
      <c r="H81" s="70"/>
      <c r="N81" s="70"/>
      <c r="O81" s="70"/>
      <c r="P81" s="70"/>
    </row>
    <row r="82" spans="1:17" ht="12.75" customHeight="1" x14ac:dyDescent="0.2">
      <c r="A82" s="60" t="s">
        <v>324</v>
      </c>
      <c r="C82" s="115"/>
      <c r="D82" s="77"/>
      <c r="E82" s="103"/>
      <c r="F82" s="103"/>
      <c r="G82" s="103"/>
      <c r="H82" s="70"/>
      <c r="N82" s="70"/>
      <c r="O82" s="70"/>
      <c r="P82" s="70"/>
    </row>
    <row r="83" spans="1:17" ht="12.75" customHeight="1" x14ac:dyDescent="0.2">
      <c r="A83" s="60" t="s">
        <v>323</v>
      </c>
      <c r="D83" s="70"/>
      <c r="E83" s="70"/>
      <c r="F83" s="70"/>
      <c r="G83" s="70"/>
    </row>
    <row r="84" spans="1:17" ht="7.5" customHeight="1" x14ac:dyDescent="0.2"/>
    <row r="85" spans="1:17" x14ac:dyDescent="0.2">
      <c r="C85" s="60" t="s">
        <v>154</v>
      </c>
      <c r="D85" s="246"/>
    </row>
    <row r="86" spans="1:17" x14ac:dyDescent="0.2">
      <c r="C86" s="60" t="s">
        <v>168</v>
      </c>
      <c r="E86" s="66">
        <v>0.20499999999999999</v>
      </c>
    </row>
    <row r="87" spans="1:17" x14ac:dyDescent="0.2">
      <c r="Q87" s="246"/>
    </row>
    <row r="104" ht="24.75" customHeight="1" x14ac:dyDescent="0.2"/>
  </sheetData>
  <printOptions horizontalCentered="1"/>
  <pageMargins left="0.25" right="0.25" top="0.75" bottom="0.75" header="0.3" footer="0.3"/>
  <pageSetup scale="60" fitToWidth="0" orientation="portrait" r:id="rId1"/>
  <headerFooter alignWithMargins="0">
    <oddFooter>&amp;L&amp;8NPC Group -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view="pageBreakPreview" zoomScale="60" zoomScaleNormal="100" workbookViewId="0">
      <selection activeCell="U77" sqref="U77"/>
    </sheetView>
  </sheetViews>
  <sheetFormatPr defaultRowHeight="12.75" x14ac:dyDescent="0.2"/>
  <cols>
    <col min="1" max="1" width="9.33203125" style="60"/>
    <col min="2" max="10" width="8.5" style="60" customWidth="1"/>
    <col min="11" max="11" width="8.5" style="70" customWidth="1"/>
    <col min="12" max="13" width="8.5" style="60" customWidth="1"/>
    <col min="14" max="14" width="9.6640625" style="60" customWidth="1"/>
    <col min="15" max="15" width="10.83203125" style="60" customWidth="1"/>
    <col min="16" max="16" width="9.5" style="60" customWidth="1"/>
    <col min="17" max="17" width="6.6640625" style="60" customWidth="1"/>
    <col min="18" max="21" width="15.33203125" style="60" customWidth="1"/>
    <col min="22" max="16384" width="9.33203125" style="60"/>
  </cols>
  <sheetData>
    <row r="1" spans="1:13" s="5" customFormat="1" ht="15.75" x14ac:dyDescent="0.25">
      <c r="A1" s="1" t="s">
        <v>181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</row>
    <row r="2" spans="1:13" s="7" customFormat="1" ht="15" x14ac:dyDescent="0.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</row>
    <row r="3" spans="1:13" s="7" customFormat="1" ht="15" x14ac:dyDescent="0.25">
      <c r="A3" s="3" t="str">
        <f>"Avoided Resource ("&amp;A10&amp;" through "&amp;MAX(A10:A27)&amp;")"</f>
        <v>Avoided Resource (2014 through 2026)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</row>
    <row r="4" spans="1:13" ht="15" x14ac:dyDescent="0.25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13" x14ac:dyDescent="0.2">
      <c r="B5" s="88"/>
      <c r="C5" s="88"/>
      <c r="D5" s="88"/>
      <c r="E5" s="4"/>
      <c r="F5" s="4"/>
      <c r="G5" s="4"/>
      <c r="H5" s="4"/>
      <c r="I5" s="4"/>
      <c r="J5" s="4"/>
      <c r="K5" s="17"/>
    </row>
    <row r="6" spans="1:13" x14ac:dyDescent="0.2">
      <c r="A6" s="89" t="s">
        <v>2</v>
      </c>
      <c r="B6" s="90" t="s">
        <v>60</v>
      </c>
      <c r="C6" s="91"/>
      <c r="D6" s="91"/>
      <c r="E6" s="90"/>
      <c r="F6" s="90"/>
      <c r="G6" s="90" t="s">
        <v>61</v>
      </c>
      <c r="H6" s="90"/>
      <c r="I6" s="90"/>
      <c r="J6" s="90"/>
      <c r="K6" s="90" t="s">
        <v>60</v>
      </c>
      <c r="L6" s="90"/>
      <c r="M6" s="90"/>
    </row>
    <row r="7" spans="1:13" x14ac:dyDescent="0.2">
      <c r="A7" s="92"/>
      <c r="B7" s="93" t="s">
        <v>48</v>
      </c>
      <c r="C7" s="93" t="s">
        <v>49</v>
      </c>
      <c r="D7" s="93" t="s">
        <v>50</v>
      </c>
      <c r="E7" s="93" t="s">
        <v>51</v>
      </c>
      <c r="F7" s="94" t="s">
        <v>52</v>
      </c>
      <c r="G7" s="93" t="s">
        <v>53</v>
      </c>
      <c r="H7" s="93" t="s">
        <v>54</v>
      </c>
      <c r="I7" s="93" t="s">
        <v>55</v>
      </c>
      <c r="J7" s="94" t="s">
        <v>56</v>
      </c>
      <c r="K7" s="93" t="s">
        <v>57</v>
      </c>
      <c r="L7" s="93" t="s">
        <v>58</v>
      </c>
      <c r="M7" s="94" t="s">
        <v>59</v>
      </c>
    </row>
    <row r="8" spans="1:13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2.75" customHeight="1" x14ac:dyDescent="0.2">
      <c r="A9" s="13" t="str">
        <f>'Table 2A BaseLoad'!A9</f>
        <v>On-Peak (1)</v>
      </c>
      <c r="C9" s="88"/>
      <c r="D9" s="88"/>
      <c r="E9" s="88"/>
      <c r="F9" s="88"/>
      <c r="G9" s="88"/>
      <c r="H9" s="88"/>
      <c r="I9" s="88"/>
      <c r="J9" s="88"/>
      <c r="K9" s="96"/>
      <c r="L9" s="70"/>
      <c r="M9" s="70"/>
    </row>
    <row r="10" spans="1:13" ht="12.75" customHeight="1" x14ac:dyDescent="0.2">
      <c r="A10" s="97">
        <f>'Tables 3 to 6'!$B$13</f>
        <v>2014</v>
      </c>
      <c r="B10" s="98"/>
      <c r="C10" s="99"/>
      <c r="D10" s="99"/>
      <c r="E10" s="99"/>
      <c r="F10" s="100"/>
      <c r="G10" s="99"/>
      <c r="H10" s="99">
        <f>'Table 2A BaseLoad'!H10-Solar_Fixed_integr_cost</f>
        <v>32.362631202674642</v>
      </c>
      <c r="I10" s="99">
        <f>'Table 2A BaseLoad'!I10-Solar_Fixed_integr_cost</f>
        <v>42.6369878180369</v>
      </c>
      <c r="J10" s="100">
        <f>'Table 2A BaseLoad'!J10-Solar_Fixed_integr_cost</f>
        <v>30.764554569778355</v>
      </c>
      <c r="K10" s="99">
        <f>'Table 2A BaseLoad'!K10-Solar_Fixed_integr_cost</f>
        <v>26.487210537981433</v>
      </c>
      <c r="L10" s="99">
        <f>'Table 2A BaseLoad'!L10-Solar_Fixed_integr_cost</f>
        <v>30.159394873117009</v>
      </c>
      <c r="M10" s="100">
        <f>'Table 2A BaseLoad'!M10-Solar_Fixed_integr_cost</f>
        <v>26.621240571916871</v>
      </c>
    </row>
    <row r="11" spans="1:13" ht="12.75" customHeight="1" x14ac:dyDescent="0.2">
      <c r="A11" s="101">
        <f t="shared" ref="A11:A22" si="0">A10+1</f>
        <v>2015</v>
      </c>
      <c r="B11" s="102">
        <f>'Table 2A BaseLoad'!B11-Solar_Fixed_integr_cost</f>
        <v>36.537419329871028</v>
      </c>
      <c r="C11" s="103">
        <f>'Table 2A BaseLoad'!C11-Solar_Fixed_integr_cost</f>
        <v>36.912166985775933</v>
      </c>
      <c r="D11" s="103">
        <f>'Table 2A BaseLoad'!D11-Solar_Fixed_integr_cost</f>
        <v>43.248388742088473</v>
      </c>
      <c r="E11" s="103">
        <f>'Table 2A BaseLoad'!E11-Solar_Fixed_integr_cost</f>
        <v>26.95331627524213</v>
      </c>
      <c r="F11" s="104">
        <f>'Table 2A BaseLoad'!F11-Solar_Fixed_integr_cost</f>
        <v>26.286034432803412</v>
      </c>
      <c r="G11" s="103">
        <f>'Table 2A BaseLoad'!G11-Solar_Fixed_integr_cost</f>
        <v>28.182419567271708</v>
      </c>
      <c r="H11" s="103">
        <f>'Table 2A BaseLoad'!H11-Solar_Fixed_integr_cost</f>
        <v>38.470698130967378</v>
      </c>
      <c r="I11" s="103">
        <f>'Table 2A BaseLoad'!I11-Solar_Fixed_integr_cost</f>
        <v>40.94486756003036</v>
      </c>
      <c r="J11" s="104">
        <f>'Table 2A BaseLoad'!J11-Solar_Fixed_integr_cost</f>
        <v>33.474413628971725</v>
      </c>
      <c r="K11" s="103">
        <f>'Table 2A BaseLoad'!K11-Solar_Fixed_integr_cost</f>
        <v>29.218826849764135</v>
      </c>
      <c r="L11" s="103">
        <f>'Table 2A BaseLoad'!L11-Solar_Fixed_integr_cost</f>
        <v>31.750586257785834</v>
      </c>
      <c r="M11" s="104">
        <f>'Table 2A BaseLoad'!M11-Solar_Fixed_integr_cost</f>
        <v>35.601273067628036</v>
      </c>
    </row>
    <row r="12" spans="1:13" ht="12.75" customHeight="1" x14ac:dyDescent="0.2">
      <c r="A12" s="101">
        <f t="shared" si="0"/>
        <v>2016</v>
      </c>
      <c r="B12" s="102">
        <f>'Table 2A BaseLoad'!B12-Solar_Fixed_integr_cost</f>
        <v>30.471407097148024</v>
      </c>
      <c r="C12" s="103">
        <f>'Table 2A BaseLoad'!C12-Solar_Fixed_integr_cost</f>
        <v>33.238300149987225</v>
      </c>
      <c r="D12" s="103">
        <f>'Table 2A BaseLoad'!D12-Solar_Fixed_integr_cost</f>
        <v>34.792409181161986</v>
      </c>
      <c r="E12" s="103">
        <f>'Table 2A BaseLoad'!E12-Solar_Fixed_integr_cost</f>
        <v>28.169862910045069</v>
      </c>
      <c r="F12" s="104">
        <f>'Table 2A BaseLoad'!F12-Solar_Fixed_integr_cost</f>
        <v>26.468204730321148</v>
      </c>
      <c r="G12" s="103">
        <f>'Table 2A BaseLoad'!G12-Solar_Fixed_integr_cost</f>
        <v>26.219536889897768</v>
      </c>
      <c r="H12" s="103">
        <f>'Table 2A BaseLoad'!H12-Solar_Fixed_integr_cost</f>
        <v>37.346987867462595</v>
      </c>
      <c r="I12" s="103">
        <f>'Table 2A BaseLoad'!I12-Solar_Fixed_integr_cost</f>
        <v>40.138533174402603</v>
      </c>
      <c r="J12" s="104">
        <f>'Table 2A BaseLoad'!J12-Solar_Fixed_integr_cost</f>
        <v>31.367028227434524</v>
      </c>
      <c r="K12" s="103">
        <f>'Table 2A BaseLoad'!K12-Solar_Fixed_integr_cost</f>
        <v>29.228112459970859</v>
      </c>
      <c r="L12" s="103">
        <f>'Table 2A BaseLoad'!L12-Solar_Fixed_integr_cost</f>
        <v>25.046264580628701</v>
      </c>
      <c r="M12" s="104">
        <f>'Table 2A BaseLoad'!M12-Solar_Fixed_integr_cost</f>
        <v>31.937051156533023</v>
      </c>
    </row>
    <row r="13" spans="1:13" ht="12.75" customHeight="1" x14ac:dyDescent="0.2">
      <c r="A13" s="101">
        <f t="shared" si="0"/>
        <v>2017</v>
      </c>
      <c r="B13" s="102">
        <f>'Table 2A BaseLoad'!B13-Solar_Fixed_integr_cost</f>
        <v>29.727763877796747</v>
      </c>
      <c r="C13" s="103">
        <f>'Table 2A BaseLoad'!C13-Solar_Fixed_integr_cost</f>
        <v>33.167181733447897</v>
      </c>
      <c r="D13" s="103">
        <f>'Table 2A BaseLoad'!D13-Solar_Fixed_integr_cost</f>
        <v>34.228932931587622</v>
      </c>
      <c r="E13" s="103">
        <f>'Table 2A BaseLoad'!E13-Solar_Fixed_integr_cost</f>
        <v>28.054471175742549</v>
      </c>
      <c r="F13" s="104">
        <f>'Table 2A BaseLoad'!F13-Solar_Fixed_integr_cost</f>
        <v>28.192136394143937</v>
      </c>
      <c r="G13" s="103">
        <f>'Table 2A BaseLoad'!G13-Solar_Fixed_integr_cost</f>
        <v>27.529711286682598</v>
      </c>
      <c r="H13" s="103">
        <f>'Table 2A BaseLoad'!H13-Solar_Fixed_integr_cost</f>
        <v>39.444676258474857</v>
      </c>
      <c r="I13" s="103">
        <f>'Table 2A BaseLoad'!I13-Solar_Fixed_integr_cost</f>
        <v>42.424898549233923</v>
      </c>
      <c r="J13" s="104">
        <f>'Table 2A BaseLoad'!J13-Solar_Fixed_integr_cost</f>
        <v>35.092529390240649</v>
      </c>
      <c r="K13" s="103">
        <f>'Table 2A BaseLoad'!K13-Solar_Fixed_integr_cost</f>
        <v>30.085232500826265</v>
      </c>
      <c r="L13" s="103">
        <f>'Table 2A BaseLoad'!L13-Solar_Fixed_integr_cost</f>
        <v>30.819689203282472</v>
      </c>
      <c r="M13" s="104">
        <f>'Table 2A BaseLoad'!M13-Solar_Fixed_integr_cost</f>
        <v>30.670144713633078</v>
      </c>
    </row>
    <row r="14" spans="1:13" ht="12.75" customHeight="1" x14ac:dyDescent="0.2">
      <c r="A14" s="101">
        <f t="shared" si="0"/>
        <v>2018</v>
      </c>
      <c r="B14" s="102">
        <f>'Table 2A BaseLoad'!B14-Solar_Fixed_integr_cost</f>
        <v>30.906578544046234</v>
      </c>
      <c r="C14" s="103">
        <f>'Table 2A BaseLoad'!C14-Solar_Fixed_integr_cost</f>
        <v>31.779358323217053</v>
      </c>
      <c r="D14" s="103">
        <f>'Table 2A BaseLoad'!D14-Solar_Fixed_integr_cost</f>
        <v>35.737817072268626</v>
      </c>
      <c r="E14" s="103">
        <f>'Table 2A BaseLoad'!E14-Solar_Fixed_integr_cost</f>
        <v>31.204265685984751</v>
      </c>
      <c r="F14" s="104">
        <f>'Table 2A BaseLoad'!F14-Solar_Fixed_integr_cost</f>
        <v>30.406765904007457</v>
      </c>
      <c r="G14" s="103">
        <f>'Table 2A BaseLoad'!G14-Solar_Fixed_integr_cost</f>
        <v>30.336126140173839</v>
      </c>
      <c r="H14" s="103">
        <f>'Table 2A BaseLoad'!H14-Solar_Fixed_integr_cost</f>
        <v>42.625361596333271</v>
      </c>
      <c r="I14" s="103">
        <f>'Table 2A BaseLoad'!I14-Solar_Fixed_integr_cost</f>
        <v>45.462584571854535</v>
      </c>
      <c r="J14" s="104">
        <f>'Table 2A BaseLoad'!J14-Solar_Fixed_integr_cost</f>
        <v>35.698919866699349</v>
      </c>
      <c r="K14" s="103">
        <f>'Table 2A BaseLoad'!K14-Solar_Fixed_integr_cost</f>
        <v>34.064484919841973</v>
      </c>
      <c r="L14" s="103">
        <f>'Table 2A BaseLoad'!L14-Solar_Fixed_integr_cost</f>
        <v>40.828426163313516</v>
      </c>
      <c r="M14" s="104">
        <f>'Table 2A BaseLoad'!M14-Solar_Fixed_integr_cost</f>
        <v>32.671980805268554</v>
      </c>
    </row>
    <row r="15" spans="1:13" ht="12.75" customHeight="1" x14ac:dyDescent="0.2">
      <c r="A15" s="101">
        <f t="shared" si="0"/>
        <v>2019</v>
      </c>
      <c r="B15" s="102">
        <f>'Table 2A BaseLoad'!B15-Solar_Fixed_integr_cost</f>
        <v>32.989790789398704</v>
      </c>
      <c r="C15" s="103">
        <f>'Table 2A BaseLoad'!C15-Solar_Fixed_integr_cost</f>
        <v>33.949816729552467</v>
      </c>
      <c r="D15" s="103">
        <f>'Table 2A BaseLoad'!D15-Solar_Fixed_integr_cost</f>
        <v>36.601261076707154</v>
      </c>
      <c r="E15" s="103">
        <f>'Table 2A BaseLoad'!E15-Solar_Fixed_integr_cost</f>
        <v>34.820173541867554</v>
      </c>
      <c r="F15" s="104">
        <f>'Table 2A BaseLoad'!F15-Solar_Fixed_integr_cost</f>
        <v>32.240857770086059</v>
      </c>
      <c r="G15" s="103">
        <f>'Table 2A BaseLoad'!G15-Solar_Fixed_integr_cost</f>
        <v>32.244433119025871</v>
      </c>
      <c r="H15" s="103">
        <f>'Table 2A BaseLoad'!H15-Solar_Fixed_integr_cost</f>
        <v>44.25348807454057</v>
      </c>
      <c r="I15" s="103">
        <f>'Table 2A BaseLoad'!I15-Solar_Fixed_integr_cost</f>
        <v>47.596148349888402</v>
      </c>
      <c r="J15" s="104">
        <f>'Table 2A BaseLoad'!J15-Solar_Fixed_integr_cost</f>
        <v>38.246891959186897</v>
      </c>
      <c r="K15" s="103">
        <f>'Table 2A BaseLoad'!K15-Solar_Fixed_integr_cost</f>
        <v>37.258886944664255</v>
      </c>
      <c r="L15" s="103">
        <f>'Table 2A BaseLoad'!L15-Solar_Fixed_integr_cost</f>
        <v>35.824820968899587</v>
      </c>
      <c r="M15" s="104">
        <f>'Table 2A BaseLoad'!M15-Solar_Fixed_integr_cost</f>
        <v>35.352719585161104</v>
      </c>
    </row>
    <row r="16" spans="1:13" ht="12.75" customHeight="1" x14ac:dyDescent="0.2">
      <c r="A16" s="101">
        <f t="shared" si="0"/>
        <v>2020</v>
      </c>
      <c r="B16" s="102">
        <f>'Table 2A BaseLoad'!B16-Solar_Fixed_integr_cost</f>
        <v>39.036186181740362</v>
      </c>
      <c r="C16" s="103">
        <f>'Table 2A BaseLoad'!C16-Solar_Fixed_integr_cost</f>
        <v>36.908656503488245</v>
      </c>
      <c r="D16" s="103">
        <f>'Table 2A BaseLoad'!D16-Solar_Fixed_integr_cost</f>
        <v>38.823285007698381</v>
      </c>
      <c r="E16" s="103">
        <f>'Table 2A BaseLoad'!E16-Solar_Fixed_integr_cost</f>
        <v>38.442359965511741</v>
      </c>
      <c r="F16" s="104">
        <f>'Table 2A BaseLoad'!F16-Solar_Fixed_integr_cost</f>
        <v>34.587653877160143</v>
      </c>
      <c r="G16" s="103">
        <f>'Table 2A BaseLoad'!G16-Solar_Fixed_integr_cost</f>
        <v>36.81081782471302</v>
      </c>
      <c r="H16" s="103">
        <f>'Table 2A BaseLoad'!H16-Solar_Fixed_integr_cost</f>
        <v>48.664977328773205</v>
      </c>
      <c r="I16" s="103">
        <f>'Table 2A BaseLoad'!I16-Solar_Fixed_integr_cost</f>
        <v>48.277921111612343</v>
      </c>
      <c r="J16" s="104">
        <f>'Table 2A BaseLoad'!J16-Solar_Fixed_integr_cost</f>
        <v>40.925455012456595</v>
      </c>
      <c r="K16" s="103">
        <f>'Table 2A BaseLoad'!K16-Solar_Fixed_integr_cost</f>
        <v>36.969888230123594</v>
      </c>
      <c r="L16" s="103">
        <f>'Table 2A BaseLoad'!L16-Solar_Fixed_integr_cost</f>
        <v>37.524399057045599</v>
      </c>
      <c r="M16" s="104">
        <f>'Table 2A BaseLoad'!M16-Solar_Fixed_integr_cost</f>
        <v>35.536954981904643</v>
      </c>
    </row>
    <row r="17" spans="1:30" ht="12.75" customHeight="1" x14ac:dyDescent="0.2">
      <c r="A17" s="101">
        <f t="shared" si="0"/>
        <v>2021</v>
      </c>
      <c r="B17" s="102">
        <f>'Table 2A BaseLoad'!B17-Solar_Fixed_integr_cost</f>
        <v>39.115516362423648</v>
      </c>
      <c r="C17" s="103">
        <f>'Table 2A BaseLoad'!C17-Solar_Fixed_integr_cost</f>
        <v>40.781237102782505</v>
      </c>
      <c r="D17" s="103">
        <f>'Table 2A BaseLoad'!D17-Solar_Fixed_integr_cost</f>
        <v>39.832370896719972</v>
      </c>
      <c r="E17" s="103">
        <f>'Table 2A BaseLoad'!E17-Solar_Fixed_integr_cost</f>
        <v>38.945036681915632</v>
      </c>
      <c r="F17" s="104">
        <f>'Table 2A BaseLoad'!F17-Solar_Fixed_integr_cost</f>
        <v>36.136402490792285</v>
      </c>
      <c r="G17" s="103">
        <f>'Table 2A BaseLoad'!G17-Solar_Fixed_integr_cost</f>
        <v>38.3053782486637</v>
      </c>
      <c r="H17" s="103">
        <f>'Table 2A BaseLoad'!H17-Solar_Fixed_integr_cost</f>
        <v>46.562465363616894</v>
      </c>
      <c r="I17" s="103">
        <f>'Table 2A BaseLoad'!I17-Solar_Fixed_integr_cost</f>
        <v>46.708660732090259</v>
      </c>
      <c r="J17" s="104">
        <f>'Table 2A BaseLoad'!J17-Solar_Fixed_integr_cost</f>
        <v>41.589392180765024</v>
      </c>
      <c r="K17" s="103">
        <f>'Table 2A BaseLoad'!K17-Solar_Fixed_integr_cost</f>
        <v>39.756635331249534</v>
      </c>
      <c r="L17" s="103">
        <f>'Table 2A BaseLoad'!L17-Solar_Fixed_integr_cost</f>
        <v>42.964269572726053</v>
      </c>
      <c r="M17" s="104">
        <f>'Table 2A BaseLoad'!M17-Solar_Fixed_integr_cost</f>
        <v>42.607722164409303</v>
      </c>
    </row>
    <row r="18" spans="1:30" ht="12.75" customHeight="1" x14ac:dyDescent="0.2">
      <c r="A18" s="101">
        <f t="shared" si="0"/>
        <v>2022</v>
      </c>
      <c r="B18" s="102">
        <f>'Table 2A BaseLoad'!B18-Solar_Fixed_integr_cost</f>
        <v>40.703268959717022</v>
      </c>
      <c r="C18" s="103">
        <f>'Table 2A BaseLoad'!C18-Solar_Fixed_integr_cost</f>
        <v>39.578985152375864</v>
      </c>
      <c r="D18" s="103">
        <f>'Table 2A BaseLoad'!D18-Solar_Fixed_integr_cost</f>
        <v>40.478495548638747</v>
      </c>
      <c r="E18" s="103">
        <f>'Table 2A BaseLoad'!E18-Solar_Fixed_integr_cost</f>
        <v>37.170794133886602</v>
      </c>
      <c r="F18" s="104">
        <f>'Table 2A BaseLoad'!F18-Solar_Fixed_integr_cost</f>
        <v>36.713981748504636</v>
      </c>
      <c r="G18" s="103">
        <f>'Table 2A BaseLoad'!G18-Solar_Fixed_integr_cost</f>
        <v>40.889334833395672</v>
      </c>
      <c r="H18" s="103">
        <f>'Table 2A BaseLoad'!H18-Solar_Fixed_integr_cost</f>
        <v>48.571073748172473</v>
      </c>
      <c r="I18" s="103">
        <f>'Table 2A BaseLoad'!I18-Solar_Fixed_integr_cost</f>
        <v>47.727801196306544</v>
      </c>
      <c r="J18" s="104">
        <f>'Table 2A BaseLoad'!J18-Solar_Fixed_integr_cost</f>
        <v>42.095760535019529</v>
      </c>
      <c r="K18" s="103">
        <f>'Table 2A BaseLoad'!K18-Solar_Fixed_integr_cost</f>
        <v>40.520255791844775</v>
      </c>
      <c r="L18" s="103">
        <f>'Table 2A BaseLoad'!L18-Solar_Fixed_integr_cost</f>
        <v>40.854321584848023</v>
      </c>
      <c r="M18" s="104">
        <f>'Table 2A BaseLoad'!M18-Solar_Fixed_integr_cost</f>
        <v>42.928051410782885</v>
      </c>
    </row>
    <row r="19" spans="1:30" ht="12.75" customHeight="1" x14ac:dyDescent="0.2">
      <c r="A19" s="101">
        <f t="shared" si="0"/>
        <v>2023</v>
      </c>
      <c r="B19" s="102">
        <f>'Table 2A BaseLoad'!B19-Solar_Fixed_integr_cost</f>
        <v>41.754283302783506</v>
      </c>
      <c r="C19" s="103">
        <f>'Table 2A BaseLoad'!C19-Solar_Fixed_integr_cost</f>
        <v>41.077772740963553</v>
      </c>
      <c r="D19" s="103">
        <f>'Table 2A BaseLoad'!D19-Solar_Fixed_integr_cost</f>
        <v>40.833483539493294</v>
      </c>
      <c r="E19" s="103">
        <f>'Table 2A BaseLoad'!E19-Solar_Fixed_integr_cost</f>
        <v>38.966631367490187</v>
      </c>
      <c r="F19" s="104">
        <f>'Table 2A BaseLoad'!F19-Solar_Fixed_integr_cost</f>
        <v>38.52637918901101</v>
      </c>
      <c r="G19" s="103">
        <f>'Table 2A BaseLoad'!G19-Solar_Fixed_integr_cost</f>
        <v>41.842558627550041</v>
      </c>
      <c r="H19" s="103">
        <f>'Table 2A BaseLoad'!H19-Solar_Fixed_integr_cost</f>
        <v>50.238545333700394</v>
      </c>
      <c r="I19" s="103">
        <f>'Table 2A BaseLoad'!I19-Solar_Fixed_integr_cost</f>
        <v>49.283707789693132</v>
      </c>
      <c r="J19" s="104">
        <f>'Table 2A BaseLoad'!J19-Solar_Fixed_integr_cost</f>
        <v>41.532872169720299</v>
      </c>
      <c r="K19" s="103">
        <f>'Table 2A BaseLoad'!K19-Solar_Fixed_integr_cost</f>
        <v>42.195714796900511</v>
      </c>
      <c r="L19" s="103">
        <f>'Table 2A BaseLoad'!L19-Solar_Fixed_integr_cost</f>
        <v>43.620152115988589</v>
      </c>
      <c r="M19" s="104">
        <f>'Table 2A BaseLoad'!M19-Solar_Fixed_integr_cost</f>
        <v>45.917593000178698</v>
      </c>
    </row>
    <row r="20" spans="1:30" ht="16.5" customHeight="1" x14ac:dyDescent="0.2">
      <c r="A20" s="101">
        <f t="shared" si="0"/>
        <v>2024</v>
      </c>
      <c r="B20" s="102">
        <f>'Table 2A BaseLoad'!B20-Solar_Fixed_integr_cost</f>
        <v>44.2172039105793</v>
      </c>
      <c r="C20" s="103">
        <f>'Table 2A BaseLoad'!C20-Solar_Fixed_integr_cost</f>
        <v>43.441862486497214</v>
      </c>
      <c r="D20" s="103">
        <f>'Table 2A BaseLoad'!D20-Solar_Fixed_integr_cost</f>
        <v>42.883275263384533</v>
      </c>
      <c r="E20" s="103">
        <f>'Table 2A BaseLoad'!E20-Solar_Fixed_integr_cost</f>
        <v>41.015786154624685</v>
      </c>
      <c r="F20" s="104">
        <f>'Table 2A BaseLoad'!F20-Solar_Fixed_integr_cost</f>
        <v>39.287084608981829</v>
      </c>
      <c r="G20" s="103">
        <f>'Table 2A BaseLoad'!G20-Solar_Fixed_integr_cost</f>
        <v>43.109805974760086</v>
      </c>
      <c r="H20" s="103">
        <f>'Table 2A BaseLoad'!H20-Solar_Fixed_integr_cost</f>
        <v>52.665455422337217</v>
      </c>
      <c r="I20" s="103">
        <f>'Table 2A BaseLoad'!I20-Solar_Fixed_integr_cost</f>
        <v>53.615594049726454</v>
      </c>
      <c r="J20" s="104">
        <f>'Table 2A BaseLoad'!J20-Solar_Fixed_integr_cost</f>
        <v>44.940565191819509</v>
      </c>
      <c r="K20" s="103">
        <f>'Table 2A BaseLoad'!K20-Solar_Fixed_integr_cost</f>
        <v>44.54008343807206</v>
      </c>
      <c r="L20" s="103">
        <f>'Table 2A BaseLoad'!L20-Solar_Fixed_integr_cost</f>
        <v>45.292455598087564</v>
      </c>
      <c r="M20" s="104">
        <f>'Table 2A BaseLoad'!M20-Solar_Fixed_integr_cost</f>
        <v>46.327738824005948</v>
      </c>
    </row>
    <row r="21" spans="1:30" ht="12.75" customHeight="1" x14ac:dyDescent="0.2">
      <c r="A21" s="101">
        <f t="shared" si="0"/>
        <v>2025</v>
      </c>
      <c r="B21" s="102">
        <f>'Table 2A BaseLoad'!B21-Solar_Fixed_integr_cost</f>
        <v>47.709576799660788</v>
      </c>
      <c r="C21" s="103">
        <f>'Table 2A BaseLoad'!C21-Solar_Fixed_integr_cost</f>
        <v>46.345807264172976</v>
      </c>
      <c r="D21" s="103">
        <f>'Table 2A BaseLoad'!D21-Solar_Fixed_integr_cost</f>
        <v>44.822630929896526</v>
      </c>
      <c r="E21" s="103">
        <f>'Table 2A BaseLoad'!E21-Solar_Fixed_integr_cost</f>
        <v>42.024315334052261</v>
      </c>
      <c r="F21" s="104">
        <f>'Table 2A BaseLoad'!F21-Solar_Fixed_integr_cost</f>
        <v>41.569072718629229</v>
      </c>
      <c r="G21" s="103">
        <f>'Table 2A BaseLoad'!G21-Solar_Fixed_integr_cost</f>
        <v>46.177686618056043</v>
      </c>
      <c r="H21" s="103">
        <f>'Table 2A BaseLoad'!H21-Solar_Fixed_integr_cost</f>
        <v>55.915462090112612</v>
      </c>
      <c r="I21" s="103">
        <f>'Table 2A BaseLoad'!I21-Solar_Fixed_integr_cost</f>
        <v>57.2348531951572</v>
      </c>
      <c r="J21" s="104">
        <f>'Table 2A BaseLoad'!J21-Solar_Fixed_integr_cost</f>
        <v>48.812979818371495</v>
      </c>
      <c r="K21" s="103">
        <f>'Table 2A BaseLoad'!K21-Solar_Fixed_integr_cost</f>
        <v>46.042665423768469</v>
      </c>
      <c r="L21" s="103">
        <f>'Table 2A BaseLoad'!L21-Solar_Fixed_integr_cost</f>
        <v>47.505127792660055</v>
      </c>
      <c r="M21" s="104">
        <f>'Table 2A BaseLoad'!M21-Solar_Fixed_integr_cost</f>
        <v>48.688740853346609</v>
      </c>
    </row>
    <row r="22" spans="1:30" ht="12.75" customHeight="1" x14ac:dyDescent="0.2">
      <c r="A22" s="101">
        <f t="shared" si="0"/>
        <v>2026</v>
      </c>
      <c r="B22" s="102">
        <f>'Table 2A BaseLoad'!B22-Solar_Fixed_integr_cost</f>
        <v>49.225785714322313</v>
      </c>
      <c r="C22" s="103">
        <f>'Table 2A BaseLoad'!C22-Solar_Fixed_integr_cost</f>
        <v>47.870556492736348</v>
      </c>
      <c r="D22" s="103">
        <f>'Table 2A BaseLoad'!D22-Solar_Fixed_integr_cost</f>
        <v>46.190170336648684</v>
      </c>
      <c r="E22" s="103">
        <f>'Table 2A BaseLoad'!E22-Solar_Fixed_integr_cost</f>
        <v>44.338191407195445</v>
      </c>
      <c r="F22" s="104">
        <f>'Table 2A BaseLoad'!F22-Solar_Fixed_integr_cost</f>
        <v>43.308479038178433</v>
      </c>
      <c r="G22" s="103">
        <f>'Table 2A BaseLoad'!G22-Solar_Fixed_integr_cost</f>
        <v>48.86213396569979</v>
      </c>
      <c r="H22" s="103">
        <f>'Table 2A BaseLoad'!H22-Solar_Fixed_integr_cost</f>
        <v>58.767957891497474</v>
      </c>
      <c r="I22" s="103">
        <f>'Table 2A BaseLoad'!I22-Solar_Fixed_integr_cost</f>
        <v>60.285763496064007</v>
      </c>
      <c r="J22" s="104">
        <f>'Table 2A BaseLoad'!J22-Solar_Fixed_integr_cost</f>
        <v>51.231117628338836</v>
      </c>
      <c r="K22" s="103">
        <f>'Table 2A BaseLoad'!K22-Solar_Fixed_integr_cost</f>
        <v>47.960748679515667</v>
      </c>
      <c r="L22" s="103">
        <f>'Table 2A BaseLoad'!L22-Solar_Fixed_integr_cost</f>
        <v>49.469482261418051</v>
      </c>
      <c r="M22" s="104">
        <f>'Table 2A BaseLoad'!M22-Solar_Fixed_integr_cost</f>
        <v>51.457709675625416</v>
      </c>
    </row>
    <row r="23" spans="1:30" ht="12.75" hidden="1" customHeight="1" x14ac:dyDescent="0.2">
      <c r="A23" s="101"/>
      <c r="B23" s="102"/>
      <c r="C23" s="103"/>
      <c r="D23" s="103"/>
      <c r="E23" s="103"/>
      <c r="F23" s="104"/>
      <c r="G23" s="103"/>
      <c r="H23" s="103"/>
      <c r="I23" s="103"/>
      <c r="J23" s="104"/>
      <c r="K23" s="103"/>
      <c r="L23" s="103"/>
      <c r="M23" s="104"/>
    </row>
    <row r="24" spans="1:30" ht="12.75" hidden="1" customHeight="1" x14ac:dyDescent="0.2">
      <c r="A24" s="101"/>
      <c r="B24" s="102"/>
      <c r="C24" s="103"/>
      <c r="D24" s="103"/>
      <c r="E24" s="103"/>
      <c r="F24" s="104"/>
      <c r="G24" s="103"/>
      <c r="H24" s="103"/>
      <c r="I24" s="103"/>
      <c r="J24" s="104"/>
      <c r="K24" s="103"/>
      <c r="L24" s="103"/>
      <c r="M24" s="104"/>
    </row>
    <row r="25" spans="1:30" ht="12.75" hidden="1" customHeight="1" x14ac:dyDescent="0.2">
      <c r="A25" s="105"/>
      <c r="B25" s="106"/>
      <c r="C25" s="107"/>
      <c r="D25" s="107"/>
      <c r="E25" s="107"/>
      <c r="F25" s="108"/>
      <c r="G25" s="107"/>
      <c r="H25" s="107"/>
      <c r="I25" s="107"/>
      <c r="J25" s="108"/>
      <c r="K25" s="107"/>
      <c r="L25" s="107"/>
      <c r="M25" s="108"/>
    </row>
    <row r="26" spans="1:30" ht="12.75" customHeight="1" x14ac:dyDescent="0.2">
      <c r="A26" s="218"/>
      <c r="B26" s="216"/>
      <c r="C26" s="216"/>
      <c r="D26" s="216"/>
      <c r="E26" s="216"/>
      <c r="F26" s="215"/>
      <c r="G26" s="215"/>
      <c r="H26" s="215"/>
      <c r="I26" s="215"/>
      <c r="J26" s="217"/>
      <c r="K26" s="215"/>
      <c r="L26" s="215"/>
      <c r="M26" s="215"/>
    </row>
    <row r="27" spans="1:30" ht="12.75" customHeight="1" x14ac:dyDescent="0.2">
      <c r="A27" s="13" t="s">
        <v>315</v>
      </c>
      <c r="C27" s="88"/>
      <c r="D27" s="88"/>
      <c r="E27" s="88"/>
      <c r="G27" s="88"/>
      <c r="H27" s="88"/>
      <c r="I27" s="88"/>
      <c r="J27" s="96"/>
      <c r="L27" s="88"/>
      <c r="M27" s="70"/>
    </row>
    <row r="28" spans="1:30" ht="12.75" customHeight="1" x14ac:dyDescent="0.2">
      <c r="A28" s="97">
        <f>'Tables 3 to 6'!$B$13</f>
        <v>2014</v>
      </c>
      <c r="B28" s="98"/>
      <c r="C28" s="99"/>
      <c r="D28" s="99"/>
      <c r="E28" s="99"/>
      <c r="F28" s="100"/>
      <c r="G28" s="99"/>
      <c r="H28" s="99">
        <f>'Table 2A BaseLoad'!H28-Solar_Fixed_integr_cost</f>
        <v>21.268581269815073</v>
      </c>
      <c r="I28" s="99">
        <f>'Table 2A BaseLoad'!I28-Solar_Fixed_integr_cost</f>
        <v>26.824403808474791</v>
      </c>
      <c r="J28" s="100">
        <f>'Table 2A BaseLoad'!J28-Solar_Fixed_integr_cost</f>
        <v>20.675728036550161</v>
      </c>
      <c r="K28" s="98">
        <f>'Table 2A BaseLoad'!K28-Solar_Fixed_integr_cost</f>
        <v>20.811024066555888</v>
      </c>
      <c r="L28" s="99">
        <f>'Table 2A BaseLoad'!L28-Solar_Fixed_integr_cost</f>
        <v>24.306984834838886</v>
      </c>
      <c r="M28" s="100">
        <f>'Table 2A BaseLoad'!M28-Solar_Fixed_integr_cost</f>
        <v>21.154243819046073</v>
      </c>
      <c r="O28" s="67"/>
    </row>
    <row r="29" spans="1:30" ht="12.75" customHeight="1" x14ac:dyDescent="0.2">
      <c r="A29" s="101">
        <f t="shared" ref="A29:A40" si="1">A28+1</f>
        <v>2015</v>
      </c>
      <c r="B29" s="102">
        <f>'Table 2A BaseLoad'!B29-Solar_Fixed_integr_cost</f>
        <v>28.758228683848614</v>
      </c>
      <c r="C29" s="103">
        <f>'Table 2A BaseLoad'!C29-Solar_Fixed_integr_cost</f>
        <v>29.05892440774835</v>
      </c>
      <c r="D29" s="103">
        <f>'Table 2A BaseLoad'!D29-Solar_Fixed_integr_cost</f>
        <v>34.143078391855418</v>
      </c>
      <c r="E29" s="103">
        <f>'Table 2A BaseLoad'!E29-Solar_Fixed_integr_cost</f>
        <v>20.504869133645187</v>
      </c>
      <c r="F29" s="103">
        <f>'Table 2A BaseLoad'!F29-Solar_Fixed_integr_cost</f>
        <v>16.346969073360725</v>
      </c>
      <c r="G29" s="102">
        <f>'Table 2A BaseLoad'!G29-Solar_Fixed_integr_cost</f>
        <v>17.209695758171264</v>
      </c>
      <c r="H29" s="103">
        <f>'Table 2A BaseLoad'!H29-Solar_Fixed_integr_cost</f>
        <v>22.726325684611588</v>
      </c>
      <c r="I29" s="103">
        <f>'Table 2A BaseLoad'!I29-Solar_Fixed_integr_cost</f>
        <v>24.778218787860339</v>
      </c>
      <c r="J29" s="104">
        <f>'Table 2A BaseLoad'!J29-Solar_Fixed_integr_cost</f>
        <v>23.628413755881418</v>
      </c>
      <c r="K29" s="102">
        <f>'Table 2A BaseLoad'!K29-Solar_Fixed_integr_cost</f>
        <v>22.348881595049747</v>
      </c>
      <c r="L29" s="103">
        <f>'Table 2A BaseLoad'!L29-Solar_Fixed_integr_cost</f>
        <v>24.321796948368316</v>
      </c>
      <c r="M29" s="104">
        <f>'Table 2A BaseLoad'!M29-Solar_Fixed_integr_cost</f>
        <v>30.212677625168674</v>
      </c>
      <c r="O29" s="67"/>
    </row>
    <row r="30" spans="1:30" ht="12.75" customHeight="1" x14ac:dyDescent="0.2">
      <c r="A30" s="101">
        <f t="shared" si="1"/>
        <v>2016</v>
      </c>
      <c r="B30" s="102">
        <f>'Table 2A BaseLoad'!B30-Solar_Fixed_integr_cost</f>
        <v>24.467040771707865</v>
      </c>
      <c r="C30" s="103">
        <f>'Table 2A BaseLoad'!C30-Solar_Fixed_integr_cost</f>
        <v>26.741525588809402</v>
      </c>
      <c r="D30" s="103">
        <f>'Table 2A BaseLoad'!D30-Solar_Fixed_integr_cost</f>
        <v>28.02259513971395</v>
      </c>
      <c r="E30" s="103">
        <f>'Table 2A BaseLoad'!E30-Solar_Fixed_integr_cost</f>
        <v>21.649730952279874</v>
      </c>
      <c r="F30" s="103">
        <f>'Table 2A BaseLoad'!F30-Solar_Fixed_integr_cost</f>
        <v>16.666261134149757</v>
      </c>
      <c r="G30" s="102">
        <f>'Table 2A BaseLoad'!G30-Solar_Fixed_integr_cost</f>
        <v>16.160887721899151</v>
      </c>
      <c r="H30" s="103">
        <f>'Table 2A BaseLoad'!H30-Solar_Fixed_integr_cost</f>
        <v>22.234767233200948</v>
      </c>
      <c r="I30" s="103">
        <f>'Table 2A BaseLoad'!I30-Solar_Fixed_integr_cost</f>
        <v>24.491803042036395</v>
      </c>
      <c r="J30" s="104">
        <f>'Table 2A BaseLoad'!J30-Solar_Fixed_integr_cost</f>
        <v>22.296848697577339</v>
      </c>
      <c r="K30" s="102">
        <f>'Table 2A BaseLoad'!K30-Solar_Fixed_integr_cost</f>
        <v>22.038490366904739</v>
      </c>
      <c r="L30" s="103">
        <f>'Table 2A BaseLoad'!L30-Solar_Fixed_integr_cost</f>
        <v>18.776255996328345</v>
      </c>
      <c r="M30" s="104">
        <f>'Table 2A BaseLoad'!M30-Solar_Fixed_integr_cost</f>
        <v>26.658062723760359</v>
      </c>
      <c r="N30" s="246"/>
      <c r="O30" s="67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30" ht="12.75" customHeight="1" x14ac:dyDescent="0.2">
      <c r="A31" s="101">
        <f t="shared" si="1"/>
        <v>2017</v>
      </c>
      <c r="B31" s="102">
        <f>'Table 2A BaseLoad'!B31-Solar_Fixed_integr_cost</f>
        <v>23.941878962969447</v>
      </c>
      <c r="C31" s="103">
        <f>'Table 2A BaseLoad'!C31-Solar_Fixed_integr_cost</f>
        <v>26.777149473072534</v>
      </c>
      <c r="D31" s="103">
        <f>'Table 2A BaseLoad'!D31-Solar_Fixed_integr_cost</f>
        <v>27.657854582934029</v>
      </c>
      <c r="E31" s="103">
        <f>'Table 2A BaseLoad'!E31-Solar_Fixed_integr_cost</f>
        <v>21.682842797058129</v>
      </c>
      <c r="F31" s="103">
        <f>'Table 2A BaseLoad'!F31-Solar_Fixed_integr_cost</f>
        <v>18.148969915059141</v>
      </c>
      <c r="G31" s="102">
        <f>'Table 2A BaseLoad'!G31-Solar_Fixed_integr_cost</f>
        <v>17.400430564447298</v>
      </c>
      <c r="H31" s="103">
        <f>'Table 2A BaseLoad'!H31-Solar_Fixed_integr_cost</f>
        <v>23.957424028084084</v>
      </c>
      <c r="I31" s="103">
        <f>'Table 2A BaseLoad'!I31-Solar_Fixed_integr_cost</f>
        <v>26.375405139994093</v>
      </c>
      <c r="J31" s="104">
        <f>'Table 2A BaseLoad'!J31-Solar_Fixed_integr_cost</f>
        <v>25.276777769277558</v>
      </c>
      <c r="K31" s="102">
        <f>'Table 2A BaseLoad'!K31-Solar_Fixed_integr_cost</f>
        <v>22.86032315746526</v>
      </c>
      <c r="L31" s="103">
        <f>'Table 2A BaseLoad'!L31-Solar_Fixed_integr_cost</f>
        <v>23.415605191943776</v>
      </c>
      <c r="M31" s="104">
        <f>'Table 2A BaseLoad'!M31-Solar_Fixed_integr_cost</f>
        <v>25.629653468239084</v>
      </c>
      <c r="N31" s="246"/>
      <c r="O31" s="67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</row>
    <row r="32" spans="1:30" ht="12.75" customHeight="1" x14ac:dyDescent="0.2">
      <c r="A32" s="101">
        <f t="shared" si="1"/>
        <v>2018</v>
      </c>
      <c r="B32" s="102">
        <f>'Table 2A BaseLoad'!B32-Solar_Fixed_integr_cost</f>
        <v>24.869585217378756</v>
      </c>
      <c r="C32" s="103">
        <f>'Table 2A BaseLoad'!C32-Solar_Fixed_integr_cost</f>
        <v>25.592210466552551</v>
      </c>
      <c r="D32" s="103">
        <f>'Table 2A BaseLoad'!D32-Solar_Fixed_integr_cost</f>
        <v>28.849852448805322</v>
      </c>
      <c r="E32" s="103">
        <f>'Table 2A BaseLoad'!E32-Solar_Fixed_integr_cost</f>
        <v>24.194759992950267</v>
      </c>
      <c r="F32" s="103">
        <f>'Table 2A BaseLoad'!F32-Solar_Fixed_integr_cost</f>
        <v>19.895890480546186</v>
      </c>
      <c r="G32" s="102">
        <f>'Table 2A BaseLoad'!G32-Solar_Fixed_integr_cost</f>
        <v>19.565410126189235</v>
      </c>
      <c r="H32" s="103">
        <f>'Table 2A BaseLoad'!H32-Solar_Fixed_integr_cost</f>
        <v>26.324303310531654</v>
      </c>
      <c r="I32" s="103">
        <f>'Table 2A BaseLoad'!I32-Solar_Fixed_integr_cost</f>
        <v>28.688996740994725</v>
      </c>
      <c r="J32" s="104">
        <f>'Table 2A BaseLoad'!J32-Solar_Fixed_integr_cost</f>
        <v>25.848484043174274</v>
      </c>
      <c r="K32" s="102">
        <f>'Table 2A BaseLoad'!K32-Solar_Fixed_integr_cost</f>
        <v>26.006876523211332</v>
      </c>
      <c r="L32" s="103">
        <f>'Table 2A BaseLoad'!L32-Solar_Fixed_integr_cost</f>
        <v>31.272484337111074</v>
      </c>
      <c r="M32" s="104">
        <f>'Table 2A BaseLoad'!M32-Solar_Fixed_integr_cost</f>
        <v>27.22429257418046</v>
      </c>
      <c r="N32" s="246"/>
      <c r="O32" s="67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2.75" customHeight="1" x14ac:dyDescent="0.2">
      <c r="A33" s="101">
        <f t="shared" si="1"/>
        <v>2019</v>
      </c>
      <c r="B33" s="102">
        <f>'Table 2A BaseLoad'!B33-Solar_Fixed_integr_cost</f>
        <v>26.851804696107457</v>
      </c>
      <c r="C33" s="103">
        <f>'Table 2A BaseLoad'!C33-Solar_Fixed_integr_cost</f>
        <v>27.655944348024775</v>
      </c>
      <c r="D33" s="103">
        <f>'Table 2A BaseLoad'!D33-Solar_Fixed_integr_cost</f>
        <v>29.863074931456431</v>
      </c>
      <c r="E33" s="103">
        <f>'Table 2A BaseLoad'!E33-Solar_Fixed_integr_cost</f>
        <v>27.396449925540871</v>
      </c>
      <c r="F33" s="103">
        <f>'Table 2A BaseLoad'!F33-Solar_Fixed_integr_cost</f>
        <v>21.662838357120215</v>
      </c>
      <c r="G33" s="102">
        <f>'Table 2A BaseLoad'!G33-Solar_Fixed_integr_cost</f>
        <v>21.429631599508163</v>
      </c>
      <c r="H33" s="103">
        <f>'Table 2A BaseLoad'!H33-Solar_Fixed_integr_cost</f>
        <v>27.97385937839632</v>
      </c>
      <c r="I33" s="103">
        <f>'Table 2A BaseLoad'!I33-Solar_Fixed_integr_cost</f>
        <v>30.720025788751855</v>
      </c>
      <c r="J33" s="104">
        <f>'Table 2A BaseLoad'!J33-Solar_Fixed_integr_cost</f>
        <v>28.179442740647808</v>
      </c>
      <c r="K33" s="102">
        <f>'Table 2A BaseLoad'!K33-Solar_Fixed_integr_cost</f>
        <v>28.883142034682386</v>
      </c>
      <c r="L33" s="103">
        <f>'Table 2A BaseLoad'!L33-Solar_Fixed_integr_cost</f>
        <v>27.736951310466317</v>
      </c>
      <c r="M33" s="104">
        <f>'Table 2A BaseLoad'!M33-Solar_Fixed_integr_cost</f>
        <v>29.763183932917535</v>
      </c>
      <c r="N33" s="246"/>
      <c r="O33" s="67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2.75" customHeight="1" x14ac:dyDescent="0.2">
      <c r="A34" s="101">
        <f t="shared" si="1"/>
        <v>2020</v>
      </c>
      <c r="B34" s="102">
        <f>'Table 2A BaseLoad'!B34-Solar_Fixed_integr_cost</f>
        <v>31.456585125366082</v>
      </c>
      <c r="C34" s="103">
        <f>'Table 2A BaseLoad'!C34-Solar_Fixed_integr_cost</f>
        <v>29.719753819440115</v>
      </c>
      <c r="D34" s="103">
        <f>'Table 2A BaseLoad'!D34-Solar_Fixed_integr_cost</f>
        <v>31.293904395401206</v>
      </c>
      <c r="E34" s="103">
        <f>'Table 2A BaseLoad'!E34-Solar_Fixed_integr_cost</f>
        <v>29.966749138342806</v>
      </c>
      <c r="F34" s="103">
        <f>'Table 2A BaseLoad'!F34-Solar_Fixed_integr_cost</f>
        <v>27.809546820323611</v>
      </c>
      <c r="G34" s="102">
        <f>'Table 2A BaseLoad'!G34-Solar_Fixed_integr_cost</f>
        <v>29.439028322333172</v>
      </c>
      <c r="H34" s="103">
        <f>'Table 2A BaseLoad'!H34-Solar_Fixed_integr_cost</f>
        <v>36.468962694037387</v>
      </c>
      <c r="I34" s="103">
        <f>'Table 2A BaseLoad'!I34-Solar_Fixed_integr_cost</f>
        <v>36.762094425975206</v>
      </c>
      <c r="J34" s="104">
        <f>'Table 2A BaseLoad'!J34-Solar_Fixed_integr_cost</f>
        <v>34.194259210702619</v>
      </c>
      <c r="K34" s="102">
        <f>'Table 2A BaseLoad'!K34-Solar_Fixed_integr_cost</f>
        <v>31.777002977040922</v>
      </c>
      <c r="L34" s="103">
        <f>'Table 2A BaseLoad'!L34-Solar_Fixed_integr_cost</f>
        <v>32.334021089896027</v>
      </c>
      <c r="M34" s="104">
        <f>'Table 2A BaseLoad'!M34-Solar_Fixed_integr_cost</f>
        <v>32.311789476269055</v>
      </c>
      <c r="N34" s="246"/>
      <c r="O34" s="67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12.75" customHeight="1" x14ac:dyDescent="0.2">
      <c r="A35" s="101">
        <f t="shared" si="1"/>
        <v>2021</v>
      </c>
      <c r="B35" s="102">
        <f>'Table 2A BaseLoad'!B35-Solar_Fixed_integr_cost</f>
        <v>34.491769392877423</v>
      </c>
      <c r="C35" s="103">
        <f>'Table 2A BaseLoad'!C35-Solar_Fixed_integr_cost</f>
        <v>36.288709545079826</v>
      </c>
      <c r="D35" s="103">
        <f>'Table 2A BaseLoad'!D35-Solar_Fixed_integr_cost</f>
        <v>34.956992656114942</v>
      </c>
      <c r="E35" s="103">
        <f>'Table 2A BaseLoad'!E35-Solar_Fixed_integr_cost</f>
        <v>33.450577733809702</v>
      </c>
      <c r="F35" s="103">
        <f>'Table 2A BaseLoad'!F35-Solar_Fixed_integr_cost</f>
        <v>33.660114686978766</v>
      </c>
      <c r="G35" s="102">
        <f>'Table 2A BaseLoad'!G35-Solar_Fixed_integr_cost</f>
        <v>34.766426862051688</v>
      </c>
      <c r="H35" s="103">
        <f>'Table 2A BaseLoad'!H35-Solar_Fixed_integr_cost</f>
        <v>40.350284598639774</v>
      </c>
      <c r="I35" s="103">
        <f>'Table 2A BaseLoad'!I35-Solar_Fixed_integr_cost</f>
        <v>40.87068302259096</v>
      </c>
      <c r="J35" s="104">
        <f>'Table 2A BaseLoad'!J35-Solar_Fixed_integr_cost</f>
        <v>38.63019566710809</v>
      </c>
      <c r="K35" s="102">
        <f>'Table 2A BaseLoad'!K35-Solar_Fixed_integr_cost</f>
        <v>37.449872268049141</v>
      </c>
      <c r="L35" s="103">
        <f>'Table 2A BaseLoad'!L35-Solar_Fixed_integr_cost</f>
        <v>40.562370998871032</v>
      </c>
      <c r="M35" s="104">
        <f>'Table 2A BaseLoad'!M35-Solar_Fixed_integr_cost</f>
        <v>41.288227228028475</v>
      </c>
      <c r="N35" s="246"/>
      <c r="O35" s="67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2.75" customHeight="1" x14ac:dyDescent="0.2">
      <c r="A36" s="101">
        <f t="shared" si="1"/>
        <v>2022</v>
      </c>
      <c r="B36" s="102">
        <f>'Table 2A BaseLoad'!B36-Solar_Fixed_integr_cost</f>
        <v>39.010636437662285</v>
      </c>
      <c r="C36" s="103">
        <f>'Table 2A BaseLoad'!C36-Solar_Fixed_integr_cost</f>
        <v>38.564389831842682</v>
      </c>
      <c r="D36" s="103">
        <f>'Table 2A BaseLoad'!D36-Solar_Fixed_integr_cost</f>
        <v>38.609171770368263</v>
      </c>
      <c r="E36" s="103">
        <f>'Table 2A BaseLoad'!E36-Solar_Fixed_integr_cost</f>
        <v>35.133731637167443</v>
      </c>
      <c r="F36" s="103">
        <f>'Table 2A BaseLoad'!F36-Solar_Fixed_integr_cost</f>
        <v>34.771437483704041</v>
      </c>
      <c r="G36" s="102">
        <f>'Table 2A BaseLoad'!G36-Solar_Fixed_integr_cost</f>
        <v>36.344649976742787</v>
      </c>
      <c r="H36" s="103">
        <f>'Table 2A BaseLoad'!H36-Solar_Fixed_integr_cost</f>
        <v>41.816493805510433</v>
      </c>
      <c r="I36" s="103">
        <f>'Table 2A BaseLoad'!I36-Solar_Fixed_integr_cost</f>
        <v>40.901593390941414</v>
      </c>
      <c r="J36" s="104">
        <f>'Table 2A BaseLoad'!J36-Solar_Fixed_integr_cost</f>
        <v>38.667797778561848</v>
      </c>
      <c r="K36" s="102">
        <f>'Table 2A BaseLoad'!K36-Solar_Fixed_integr_cost</f>
        <v>37.932553587826121</v>
      </c>
      <c r="L36" s="103">
        <f>'Table 2A BaseLoad'!L36-Solar_Fixed_integr_cost</f>
        <v>38.745442171446676</v>
      </c>
      <c r="M36" s="104">
        <f>'Table 2A BaseLoad'!M36-Solar_Fixed_integr_cost</f>
        <v>41.143211253807181</v>
      </c>
      <c r="N36" s="246"/>
      <c r="O36" s="67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2.75" customHeight="1" x14ac:dyDescent="0.2">
      <c r="A37" s="101">
        <f t="shared" si="1"/>
        <v>2023</v>
      </c>
      <c r="B37" s="102">
        <f>'Table 2A BaseLoad'!B37-Solar_Fixed_integr_cost</f>
        <v>40.246611033749637</v>
      </c>
      <c r="C37" s="103">
        <f>'Table 2A BaseLoad'!C37-Solar_Fixed_integr_cost</f>
        <v>39.916101302206904</v>
      </c>
      <c r="D37" s="103">
        <f>'Table 2A BaseLoad'!D37-Solar_Fixed_integr_cost</f>
        <v>39.665624925542701</v>
      </c>
      <c r="E37" s="103">
        <f>'Table 2A BaseLoad'!E37-Solar_Fixed_integr_cost</f>
        <v>37.873052959031732</v>
      </c>
      <c r="F37" s="103">
        <f>'Table 2A BaseLoad'!F37-Solar_Fixed_integr_cost</f>
        <v>36.028984022371631</v>
      </c>
      <c r="G37" s="102">
        <f>'Table 2A BaseLoad'!G37-Solar_Fixed_integr_cost</f>
        <v>36.936071014007958</v>
      </c>
      <c r="H37" s="103">
        <f>'Table 2A BaseLoad'!H37-Solar_Fixed_integr_cost</f>
        <v>42.928597142143047</v>
      </c>
      <c r="I37" s="103">
        <f>'Table 2A BaseLoad'!I37-Solar_Fixed_integr_cost</f>
        <v>42.221005485256569</v>
      </c>
      <c r="J37" s="104">
        <f>'Table 2A BaseLoad'!J37-Solar_Fixed_integr_cost</f>
        <v>39.072971397235158</v>
      </c>
      <c r="K37" s="102">
        <f>'Table 2A BaseLoad'!K37-Solar_Fixed_integr_cost</f>
        <v>39.359303169175924</v>
      </c>
      <c r="L37" s="103">
        <f>'Table 2A BaseLoad'!L37-Solar_Fixed_integr_cost</f>
        <v>41.529032819577807</v>
      </c>
      <c r="M37" s="104">
        <f>'Table 2A BaseLoad'!M37-Solar_Fixed_integr_cost</f>
        <v>44.032934302116828</v>
      </c>
      <c r="N37" s="246"/>
      <c r="O37" s="67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12.75" customHeight="1" x14ac:dyDescent="0.2">
      <c r="A38" s="101">
        <f t="shared" si="1"/>
        <v>2024</v>
      </c>
      <c r="B38" s="102">
        <f>'Table 2A BaseLoad'!B38-Solar_Fixed_integr_cost</f>
        <v>42.63552747926974</v>
      </c>
      <c r="C38" s="103">
        <f>'Table 2A BaseLoad'!C38-Solar_Fixed_integr_cost</f>
        <v>42.500227095945007</v>
      </c>
      <c r="D38" s="103">
        <f>'Table 2A BaseLoad'!D38-Solar_Fixed_integr_cost</f>
        <v>41.949759588936708</v>
      </c>
      <c r="E38" s="103">
        <f>'Table 2A BaseLoad'!E38-Solar_Fixed_integr_cost</f>
        <v>38.695256781834075</v>
      </c>
      <c r="F38" s="103">
        <f>'Table 2A BaseLoad'!F38-Solar_Fixed_integr_cost</f>
        <v>37.182965569096723</v>
      </c>
      <c r="G38" s="102">
        <f>'Table 2A BaseLoad'!G38-Solar_Fixed_integr_cost</f>
        <v>38.867101000313426</v>
      </c>
      <c r="H38" s="103">
        <f>'Table 2A BaseLoad'!H38-Solar_Fixed_integr_cost</f>
        <v>44.916735958265853</v>
      </c>
      <c r="I38" s="103">
        <f>'Table 2A BaseLoad'!I38-Solar_Fixed_integr_cost</f>
        <v>45.474668700382004</v>
      </c>
      <c r="J38" s="103">
        <f>'Table 2A BaseLoad'!J38-Solar_Fixed_integr_cost</f>
        <v>40.644563164716118</v>
      </c>
      <c r="K38" s="102">
        <f>'Table 2A BaseLoad'!K38-Solar_Fixed_integr_cost</f>
        <v>42.060862922296558</v>
      </c>
      <c r="L38" s="103">
        <f>'Table 2A BaseLoad'!L38-Solar_Fixed_integr_cost</f>
        <v>42.837895571558057</v>
      </c>
      <c r="M38" s="104">
        <f>'Table 2A BaseLoad'!M38-Solar_Fixed_integr_cost</f>
        <v>44.539763169762779</v>
      </c>
      <c r="N38" s="246"/>
      <c r="O38" s="6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</row>
    <row r="39" spans="1:26" ht="12.75" customHeight="1" x14ac:dyDescent="0.2">
      <c r="A39" s="101">
        <f t="shared" si="1"/>
        <v>2025</v>
      </c>
      <c r="B39" s="102">
        <f>'Table 2A BaseLoad'!B39-Solar_Fixed_integr_cost</f>
        <v>45.751462028474876</v>
      </c>
      <c r="C39" s="103">
        <f>'Table 2A BaseLoad'!C39-Solar_Fixed_integr_cost</f>
        <v>44.984577189443179</v>
      </c>
      <c r="D39" s="103">
        <f>'Table 2A BaseLoad'!D39-Solar_Fixed_integr_cost</f>
        <v>43.300877912568261</v>
      </c>
      <c r="E39" s="103">
        <f>'Table 2A BaseLoad'!E39-Solar_Fixed_integr_cost</f>
        <v>40.171780628409635</v>
      </c>
      <c r="F39" s="103">
        <f>'Table 2A BaseLoad'!F39-Solar_Fixed_integr_cost</f>
        <v>39.481050125154717</v>
      </c>
      <c r="G39" s="102">
        <f>'Table 2A BaseLoad'!G39-Solar_Fixed_integr_cost</f>
        <v>41.1114028524376</v>
      </c>
      <c r="H39" s="103">
        <f>'Table 2A BaseLoad'!H39-Solar_Fixed_integr_cost</f>
        <v>47.356205635693669</v>
      </c>
      <c r="I39" s="103">
        <f>'Table 2A BaseLoad'!I39-Solar_Fixed_integr_cost</f>
        <v>48.683094465890299</v>
      </c>
      <c r="J39" s="103">
        <f>'Table 2A BaseLoad'!J39-Solar_Fixed_integr_cost</f>
        <v>43.775249155157482</v>
      </c>
      <c r="K39" s="102">
        <f>'Table 2A BaseLoad'!K39-Solar_Fixed_integr_cost</f>
        <v>43.597358406849494</v>
      </c>
      <c r="L39" s="103">
        <f>'Table 2A BaseLoad'!L39-Solar_Fixed_integr_cost</f>
        <v>45.029155742657416</v>
      </c>
      <c r="M39" s="104">
        <f>'Table 2A BaseLoad'!M39-Solar_Fixed_integr_cost</f>
        <v>46.63926016161318</v>
      </c>
      <c r="N39" s="246"/>
      <c r="O39" s="67"/>
    </row>
    <row r="40" spans="1:26" ht="12.75" customHeight="1" x14ac:dyDescent="0.2">
      <c r="A40" s="101">
        <f t="shared" si="1"/>
        <v>2026</v>
      </c>
      <c r="B40" s="102">
        <f>'Table 2A BaseLoad'!B40-Solar_Fixed_integr_cost</f>
        <v>47.670767737332227</v>
      </c>
      <c r="C40" s="103">
        <f>'Table 2A BaseLoad'!C40-Solar_Fixed_integr_cost</f>
        <v>47.087617898578316</v>
      </c>
      <c r="D40" s="103">
        <f>'Table 2A BaseLoad'!D40-Solar_Fixed_integr_cost</f>
        <v>44.954597628881146</v>
      </c>
      <c r="E40" s="103">
        <f>'Table 2A BaseLoad'!E40-Solar_Fixed_integr_cost</f>
        <v>43.472874650006105</v>
      </c>
      <c r="F40" s="103">
        <f>'Table 2A BaseLoad'!F40-Solar_Fixed_integr_cost</f>
        <v>41.17901214746427</v>
      </c>
      <c r="G40" s="102">
        <f>'Table 2A BaseLoad'!G40-Solar_Fixed_integr_cost</f>
        <v>43.358979889042978</v>
      </c>
      <c r="H40" s="103">
        <f>'Table 2A BaseLoad'!H40-Solar_Fixed_integr_cost</f>
        <v>49.542610604082306</v>
      </c>
      <c r="I40" s="103">
        <f>'Table 2A BaseLoad'!I40-Solar_Fixed_integr_cost</f>
        <v>51.196690831197742</v>
      </c>
      <c r="J40" s="103">
        <f>'Table 2A BaseLoad'!J40-Solar_Fixed_integr_cost</f>
        <v>46.774431152079387</v>
      </c>
      <c r="K40" s="102">
        <f>'Table 2A BaseLoad'!K40-Solar_Fixed_integr_cost</f>
        <v>45.165286837972126</v>
      </c>
      <c r="L40" s="103">
        <f>'Table 2A BaseLoad'!L40-Solar_Fixed_integr_cost</f>
        <v>46.944725880214271</v>
      </c>
      <c r="M40" s="104">
        <f>'Table 2A BaseLoad'!M40-Solar_Fixed_integr_cost</f>
        <v>49.325628265063365</v>
      </c>
      <c r="N40" s="246"/>
      <c r="O40" s="67"/>
    </row>
    <row r="41" spans="1:26" ht="12.75" hidden="1" customHeight="1" x14ac:dyDescent="0.2">
      <c r="A41" s="101"/>
      <c r="B41" s="102"/>
      <c r="C41" s="103"/>
      <c r="D41" s="103"/>
      <c r="E41" s="103"/>
      <c r="F41" s="103"/>
      <c r="G41" s="102"/>
      <c r="H41" s="103"/>
      <c r="I41" s="103"/>
      <c r="J41" s="103"/>
      <c r="K41" s="102"/>
      <c r="L41" s="103"/>
      <c r="M41" s="104"/>
    </row>
    <row r="42" spans="1:26" ht="12.75" hidden="1" customHeight="1" x14ac:dyDescent="0.2">
      <c r="A42" s="101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26" ht="12.75" hidden="1" customHeight="1" x14ac:dyDescent="0.2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26" ht="12.75" customHeight="1" x14ac:dyDescent="0.2">
      <c r="A44" s="218"/>
      <c r="B44" s="216"/>
      <c r="C44" s="216"/>
      <c r="D44" s="216"/>
      <c r="E44" s="216"/>
      <c r="F44" s="215"/>
      <c r="G44" s="215"/>
      <c r="H44" s="215"/>
      <c r="I44" s="215"/>
      <c r="J44" s="217"/>
      <c r="K44" s="215"/>
      <c r="L44" s="215"/>
      <c r="M44" s="215"/>
    </row>
    <row r="45" spans="1:26" ht="12.75" customHeight="1" x14ac:dyDescent="0.2">
      <c r="A45" s="13" t="s">
        <v>316</v>
      </c>
      <c r="C45" s="88"/>
      <c r="D45" s="88"/>
      <c r="E45" s="88"/>
      <c r="G45" s="88"/>
      <c r="H45" s="88"/>
      <c r="I45" s="88"/>
      <c r="J45" s="96"/>
      <c r="L45" s="88"/>
      <c r="M45" s="70"/>
    </row>
    <row r="46" spans="1:26" ht="12.75" customHeight="1" x14ac:dyDescent="0.2">
      <c r="A46" s="97">
        <f>'Tables 3 to 6'!$B$13</f>
        <v>2014</v>
      </c>
      <c r="B46" s="98"/>
      <c r="C46" s="99"/>
      <c r="D46" s="99"/>
      <c r="E46" s="99"/>
      <c r="F46" s="99"/>
      <c r="G46" s="98"/>
      <c r="H46" s="99">
        <f t="shared" ref="H46:M58" si="2">H10*0.56+H28*0.44</f>
        <v>27.481249232216435</v>
      </c>
      <c r="I46" s="99">
        <f t="shared" si="2"/>
        <v>35.679450853829572</v>
      </c>
      <c r="J46" s="99">
        <f t="shared" si="2"/>
        <v>26.325470895157952</v>
      </c>
      <c r="K46" s="98">
        <f t="shared" si="2"/>
        <v>23.989688490554194</v>
      </c>
      <c r="L46" s="99">
        <f t="shared" si="2"/>
        <v>27.58433445627464</v>
      </c>
      <c r="M46" s="100">
        <f t="shared" si="2"/>
        <v>24.215762000653719</v>
      </c>
    </row>
    <row r="47" spans="1:26" ht="12.75" customHeight="1" x14ac:dyDescent="0.2">
      <c r="A47" s="101">
        <f t="shared" ref="A47:A58" si="3">A46+1</f>
        <v>2015</v>
      </c>
      <c r="B47" s="102">
        <f t="shared" ref="B47:G58" si="4">B11*0.56+B29*0.44</f>
        <v>33.114575445621171</v>
      </c>
      <c r="C47" s="103">
        <f t="shared" si="4"/>
        <v>33.456740251443797</v>
      </c>
      <c r="D47" s="103">
        <f t="shared" si="4"/>
        <v>39.242052187985934</v>
      </c>
      <c r="E47" s="103">
        <f t="shared" si="4"/>
        <v>24.115999532939476</v>
      </c>
      <c r="F47" s="103">
        <f t="shared" si="4"/>
        <v>21.912845674648629</v>
      </c>
      <c r="G47" s="102">
        <f t="shared" si="4"/>
        <v>23.354421091267515</v>
      </c>
      <c r="H47" s="103">
        <f t="shared" si="2"/>
        <v>31.543174254570832</v>
      </c>
      <c r="I47" s="103">
        <f t="shared" si="2"/>
        <v>33.831542100275556</v>
      </c>
      <c r="J47" s="103">
        <f t="shared" si="2"/>
        <v>29.14217368481199</v>
      </c>
      <c r="K47" s="102">
        <f t="shared" si="2"/>
        <v>26.196050937689805</v>
      </c>
      <c r="L47" s="103">
        <f t="shared" si="2"/>
        <v>28.48191896164213</v>
      </c>
      <c r="M47" s="104">
        <f t="shared" si="2"/>
        <v>33.230291072945917</v>
      </c>
    </row>
    <row r="48" spans="1:26" ht="12.75" customHeight="1" x14ac:dyDescent="0.2">
      <c r="A48" s="101">
        <f t="shared" si="3"/>
        <v>2016</v>
      </c>
      <c r="B48" s="102">
        <f t="shared" si="4"/>
        <v>27.829485913954358</v>
      </c>
      <c r="C48" s="103">
        <f t="shared" si="4"/>
        <v>30.379719343068984</v>
      </c>
      <c r="D48" s="103">
        <f t="shared" si="4"/>
        <v>31.813691002924855</v>
      </c>
      <c r="E48" s="103">
        <f t="shared" si="4"/>
        <v>25.301004848628388</v>
      </c>
      <c r="F48" s="103">
        <f t="shared" si="4"/>
        <v>22.155349548005738</v>
      </c>
      <c r="G48" s="102">
        <f t="shared" si="4"/>
        <v>21.793731255978379</v>
      </c>
      <c r="H48" s="103">
        <f t="shared" si="2"/>
        <v>30.697610788387472</v>
      </c>
      <c r="I48" s="103">
        <f t="shared" si="2"/>
        <v>33.253971916161476</v>
      </c>
      <c r="J48" s="103">
        <f t="shared" si="2"/>
        <v>27.376149234297365</v>
      </c>
      <c r="K48" s="102">
        <f t="shared" si="2"/>
        <v>26.064678739021765</v>
      </c>
      <c r="L48" s="103">
        <f t="shared" si="2"/>
        <v>22.287460803536547</v>
      </c>
      <c r="M48" s="104">
        <f t="shared" si="2"/>
        <v>29.614296246113053</v>
      </c>
    </row>
    <row r="49" spans="1:13" ht="12.75" customHeight="1" x14ac:dyDescent="0.2">
      <c r="A49" s="101">
        <f t="shared" si="3"/>
        <v>2017</v>
      </c>
      <c r="B49" s="102">
        <f t="shared" si="4"/>
        <v>27.181974515272739</v>
      </c>
      <c r="C49" s="103">
        <f t="shared" si="4"/>
        <v>30.355567538882738</v>
      </c>
      <c r="D49" s="103">
        <f t="shared" si="4"/>
        <v>31.337658458180041</v>
      </c>
      <c r="E49" s="103">
        <f t="shared" si="4"/>
        <v>25.250954689121407</v>
      </c>
      <c r="F49" s="103">
        <f t="shared" si="4"/>
        <v>23.77314314334663</v>
      </c>
      <c r="G49" s="102">
        <f t="shared" si="4"/>
        <v>23.072827768899067</v>
      </c>
      <c r="H49" s="103">
        <f t="shared" si="2"/>
        <v>32.630285277102921</v>
      </c>
      <c r="I49" s="103">
        <f t="shared" si="2"/>
        <v>35.363121449168403</v>
      </c>
      <c r="J49" s="103">
        <f t="shared" si="2"/>
        <v>30.773598677016892</v>
      </c>
      <c r="K49" s="102">
        <f t="shared" si="2"/>
        <v>26.906272389747425</v>
      </c>
      <c r="L49" s="103">
        <f t="shared" si="2"/>
        <v>27.561892238293446</v>
      </c>
      <c r="M49" s="104">
        <f t="shared" si="2"/>
        <v>28.452328565659723</v>
      </c>
    </row>
    <row r="50" spans="1:13" ht="12.75" customHeight="1" x14ac:dyDescent="0.2">
      <c r="A50" s="101">
        <f t="shared" si="3"/>
        <v>2018</v>
      </c>
      <c r="B50" s="102">
        <f t="shared" si="4"/>
        <v>28.250301480312544</v>
      </c>
      <c r="C50" s="103">
        <f t="shared" si="4"/>
        <v>29.057013266284674</v>
      </c>
      <c r="D50" s="103">
        <f t="shared" si="4"/>
        <v>32.707112637944775</v>
      </c>
      <c r="E50" s="103">
        <f t="shared" si="4"/>
        <v>28.12008318104958</v>
      </c>
      <c r="F50" s="103">
        <f t="shared" si="4"/>
        <v>25.781980717684501</v>
      </c>
      <c r="G50" s="102">
        <f t="shared" si="4"/>
        <v>25.597011094020615</v>
      </c>
      <c r="H50" s="103">
        <f t="shared" si="2"/>
        <v>35.452895950580562</v>
      </c>
      <c r="I50" s="103">
        <f t="shared" si="2"/>
        <v>38.082205926276224</v>
      </c>
      <c r="J50" s="103">
        <f t="shared" si="2"/>
        <v>31.364728104348316</v>
      </c>
      <c r="K50" s="102">
        <f t="shared" si="2"/>
        <v>30.519137225324492</v>
      </c>
      <c r="L50" s="103">
        <f t="shared" si="2"/>
        <v>36.623811759784445</v>
      </c>
      <c r="M50" s="104">
        <f t="shared" si="2"/>
        <v>30.274997983589792</v>
      </c>
    </row>
    <row r="51" spans="1:13" ht="12.75" customHeight="1" x14ac:dyDescent="0.2">
      <c r="A51" s="101">
        <f t="shared" si="3"/>
        <v>2019</v>
      </c>
      <c r="B51" s="102">
        <f t="shared" si="4"/>
        <v>30.289076908350555</v>
      </c>
      <c r="C51" s="103">
        <f t="shared" si="4"/>
        <v>31.180512881680286</v>
      </c>
      <c r="D51" s="103">
        <f t="shared" si="4"/>
        <v>33.63645917279684</v>
      </c>
      <c r="E51" s="103">
        <f t="shared" si="4"/>
        <v>31.553735150683817</v>
      </c>
      <c r="F51" s="103">
        <f t="shared" si="4"/>
        <v>27.586529228381089</v>
      </c>
      <c r="G51" s="102">
        <f t="shared" si="4"/>
        <v>27.48592045043808</v>
      </c>
      <c r="H51" s="103">
        <f t="shared" si="2"/>
        <v>37.090451448237104</v>
      </c>
      <c r="I51" s="103">
        <f t="shared" si="2"/>
        <v>40.170654422988321</v>
      </c>
      <c r="J51" s="103">
        <f t="shared" si="2"/>
        <v>33.817214303029701</v>
      </c>
      <c r="K51" s="102">
        <f t="shared" si="2"/>
        <v>33.573559184272234</v>
      </c>
      <c r="L51" s="103">
        <f t="shared" si="2"/>
        <v>32.266158319188946</v>
      </c>
      <c r="M51" s="104">
        <f t="shared" si="2"/>
        <v>32.893323898173932</v>
      </c>
    </row>
    <row r="52" spans="1:13" ht="12.75" customHeight="1" x14ac:dyDescent="0.2">
      <c r="A52" s="101">
        <f t="shared" si="3"/>
        <v>2020</v>
      </c>
      <c r="B52" s="102">
        <f t="shared" si="4"/>
        <v>35.701161716935687</v>
      </c>
      <c r="C52" s="103">
        <f t="shared" si="4"/>
        <v>33.745539322507071</v>
      </c>
      <c r="D52" s="103">
        <f t="shared" si="4"/>
        <v>35.510357538287622</v>
      </c>
      <c r="E52" s="103">
        <f t="shared" si="4"/>
        <v>34.713091201557411</v>
      </c>
      <c r="F52" s="103">
        <f t="shared" si="4"/>
        <v>31.60528677215207</v>
      </c>
      <c r="G52" s="102">
        <f t="shared" si="4"/>
        <v>33.567230443665885</v>
      </c>
      <c r="H52" s="103">
        <f t="shared" si="2"/>
        <v>43.298730889489448</v>
      </c>
      <c r="I52" s="103">
        <f t="shared" si="2"/>
        <v>43.210957369932004</v>
      </c>
      <c r="J52" s="103">
        <f t="shared" si="2"/>
        <v>37.963728859684849</v>
      </c>
      <c r="K52" s="102">
        <f t="shared" si="2"/>
        <v>34.685018718767218</v>
      </c>
      <c r="L52" s="103">
        <f t="shared" si="2"/>
        <v>35.240632751499788</v>
      </c>
      <c r="M52" s="104">
        <f t="shared" si="2"/>
        <v>34.117882159424987</v>
      </c>
    </row>
    <row r="53" spans="1:13" ht="12.75" customHeight="1" x14ac:dyDescent="0.2">
      <c r="A53" s="101">
        <f t="shared" si="3"/>
        <v>2021</v>
      </c>
      <c r="B53" s="102">
        <f t="shared" si="4"/>
        <v>37.081067695823307</v>
      </c>
      <c r="C53" s="103">
        <f t="shared" si="4"/>
        <v>38.804524977393328</v>
      </c>
      <c r="D53" s="103">
        <f t="shared" si="4"/>
        <v>37.687204470853764</v>
      </c>
      <c r="E53" s="103">
        <f t="shared" si="4"/>
        <v>36.527474744749021</v>
      </c>
      <c r="F53" s="103">
        <f t="shared" si="4"/>
        <v>35.046835857114338</v>
      </c>
      <c r="G53" s="102">
        <f t="shared" si="4"/>
        <v>36.748239638554416</v>
      </c>
      <c r="H53" s="103">
        <f t="shared" si="2"/>
        <v>43.829105827026964</v>
      </c>
      <c r="I53" s="103">
        <f t="shared" si="2"/>
        <v>44.139950539910572</v>
      </c>
      <c r="J53" s="103">
        <f t="shared" si="2"/>
        <v>40.287345714755972</v>
      </c>
      <c r="K53" s="102">
        <f t="shared" si="2"/>
        <v>38.741659583441361</v>
      </c>
      <c r="L53" s="103">
        <f t="shared" si="2"/>
        <v>41.907434200229844</v>
      </c>
      <c r="M53" s="104">
        <f t="shared" si="2"/>
        <v>42.027144392401738</v>
      </c>
    </row>
    <row r="54" spans="1:13" ht="12.75" customHeight="1" x14ac:dyDescent="0.2">
      <c r="A54" s="101">
        <f t="shared" si="3"/>
        <v>2022</v>
      </c>
      <c r="B54" s="102">
        <f t="shared" si="4"/>
        <v>39.95851065001294</v>
      </c>
      <c r="C54" s="103">
        <f t="shared" si="4"/>
        <v>39.132563211341264</v>
      </c>
      <c r="D54" s="103">
        <f t="shared" si="4"/>
        <v>39.655993086199743</v>
      </c>
      <c r="E54" s="103">
        <f t="shared" si="4"/>
        <v>36.274486635330177</v>
      </c>
      <c r="F54" s="103">
        <f t="shared" si="4"/>
        <v>35.859262271992378</v>
      </c>
      <c r="G54" s="102">
        <f t="shared" si="4"/>
        <v>38.889673496468404</v>
      </c>
      <c r="H54" s="103">
        <f t="shared" si="2"/>
        <v>45.59905857340118</v>
      </c>
      <c r="I54" s="103">
        <f t="shared" si="2"/>
        <v>44.724269761945891</v>
      </c>
      <c r="J54" s="103">
        <f t="shared" si="2"/>
        <v>40.587456922178148</v>
      </c>
      <c r="K54" s="102">
        <f t="shared" si="2"/>
        <v>39.381666822076568</v>
      </c>
      <c r="L54" s="103">
        <f t="shared" si="2"/>
        <v>39.926414642951428</v>
      </c>
      <c r="M54" s="104">
        <f t="shared" si="2"/>
        <v>42.142721741713572</v>
      </c>
    </row>
    <row r="55" spans="1:13" ht="12.75" customHeight="1" x14ac:dyDescent="0.2">
      <c r="A55" s="101">
        <f t="shared" si="3"/>
        <v>2023</v>
      </c>
      <c r="B55" s="102">
        <f t="shared" si="4"/>
        <v>41.090907504408605</v>
      </c>
      <c r="C55" s="103">
        <f t="shared" si="4"/>
        <v>40.566637307910632</v>
      </c>
      <c r="D55" s="103">
        <f t="shared" si="4"/>
        <v>40.319625749355033</v>
      </c>
      <c r="E55" s="103">
        <f t="shared" si="4"/>
        <v>38.48545686776847</v>
      </c>
      <c r="F55" s="103">
        <f t="shared" si="4"/>
        <v>37.427525315689685</v>
      </c>
      <c r="G55" s="102">
        <f t="shared" si="4"/>
        <v>39.683704077591528</v>
      </c>
      <c r="H55" s="103">
        <f t="shared" si="2"/>
        <v>47.022168129415164</v>
      </c>
      <c r="I55" s="103">
        <f t="shared" si="2"/>
        <v>46.176118775741045</v>
      </c>
      <c r="J55" s="103">
        <f t="shared" si="2"/>
        <v>40.450515829826841</v>
      </c>
      <c r="K55" s="102">
        <f t="shared" si="2"/>
        <v>40.947693680701697</v>
      </c>
      <c r="L55" s="103">
        <f t="shared" si="2"/>
        <v>42.700059625567846</v>
      </c>
      <c r="M55" s="104">
        <f t="shared" si="2"/>
        <v>45.088343173031475</v>
      </c>
    </row>
    <row r="56" spans="1:13" ht="12.75" customHeight="1" x14ac:dyDescent="0.2">
      <c r="A56" s="101">
        <f t="shared" si="3"/>
        <v>2024</v>
      </c>
      <c r="B56" s="102">
        <f t="shared" si="4"/>
        <v>43.521266280803097</v>
      </c>
      <c r="C56" s="103">
        <f t="shared" si="4"/>
        <v>43.027542914654248</v>
      </c>
      <c r="D56" s="103">
        <f t="shared" si="4"/>
        <v>42.472528366627486</v>
      </c>
      <c r="E56" s="103">
        <f t="shared" si="4"/>
        <v>39.994753230596814</v>
      </c>
      <c r="F56" s="103">
        <f t="shared" si="4"/>
        <v>38.361272231432388</v>
      </c>
      <c r="G56" s="102">
        <f t="shared" si="4"/>
        <v>41.243015786003554</v>
      </c>
      <c r="H56" s="103">
        <f t="shared" si="2"/>
        <v>49.256018858145822</v>
      </c>
      <c r="I56" s="103">
        <f t="shared" si="2"/>
        <v>50.033586896014896</v>
      </c>
      <c r="J56" s="103">
        <f t="shared" si="2"/>
        <v>43.050324299894022</v>
      </c>
      <c r="K56" s="102">
        <f t="shared" si="2"/>
        <v>43.449226411130837</v>
      </c>
      <c r="L56" s="103">
        <f t="shared" si="2"/>
        <v>44.212449186414588</v>
      </c>
      <c r="M56" s="104">
        <f t="shared" si="2"/>
        <v>45.54102953613895</v>
      </c>
    </row>
    <row r="57" spans="1:13" ht="12.75" customHeight="1" x14ac:dyDescent="0.2">
      <c r="A57" s="101">
        <f t="shared" si="3"/>
        <v>2025</v>
      </c>
      <c r="B57" s="102">
        <f t="shared" si="4"/>
        <v>46.848006300338987</v>
      </c>
      <c r="C57" s="103">
        <f t="shared" si="4"/>
        <v>45.746866031291866</v>
      </c>
      <c r="D57" s="103">
        <f t="shared" si="4"/>
        <v>44.153059602272094</v>
      </c>
      <c r="E57" s="103">
        <f t="shared" si="4"/>
        <v>41.209200063569511</v>
      </c>
      <c r="F57" s="103">
        <f t="shared" si="4"/>
        <v>40.650342777500441</v>
      </c>
      <c r="G57" s="102">
        <f t="shared" si="4"/>
        <v>43.948521761183926</v>
      </c>
      <c r="H57" s="103">
        <f t="shared" si="2"/>
        <v>52.149389250168284</v>
      </c>
      <c r="I57" s="103">
        <f t="shared" si="2"/>
        <v>53.472079354279771</v>
      </c>
      <c r="J57" s="103">
        <f t="shared" si="2"/>
        <v>46.596378326557328</v>
      </c>
      <c r="K57" s="102">
        <f t="shared" si="2"/>
        <v>44.966730336324119</v>
      </c>
      <c r="L57" s="103">
        <f t="shared" si="2"/>
        <v>46.415700090658895</v>
      </c>
      <c r="M57" s="104">
        <f t="shared" si="2"/>
        <v>47.786969348983902</v>
      </c>
    </row>
    <row r="58" spans="1:13" ht="12.75" customHeight="1" x14ac:dyDescent="0.2">
      <c r="A58" s="101">
        <f t="shared" si="3"/>
        <v>2026</v>
      </c>
      <c r="B58" s="102">
        <f t="shared" si="4"/>
        <v>48.541577804446675</v>
      </c>
      <c r="C58" s="103">
        <f t="shared" si="4"/>
        <v>47.526063511306816</v>
      </c>
      <c r="D58" s="103">
        <f t="shared" si="4"/>
        <v>45.646518345230973</v>
      </c>
      <c r="E58" s="103">
        <f t="shared" si="4"/>
        <v>43.957452034032137</v>
      </c>
      <c r="F58" s="103">
        <f t="shared" si="4"/>
        <v>42.371513606264202</v>
      </c>
      <c r="G58" s="102">
        <f t="shared" si="4"/>
        <v>46.440746171970801</v>
      </c>
      <c r="H58" s="103">
        <f t="shared" si="2"/>
        <v>54.708805085034797</v>
      </c>
      <c r="I58" s="103">
        <f t="shared" si="2"/>
        <v>56.286571523522852</v>
      </c>
      <c r="J58" s="103">
        <f t="shared" si="2"/>
        <v>49.270175578784681</v>
      </c>
      <c r="K58" s="102">
        <f t="shared" si="2"/>
        <v>46.73074546923651</v>
      </c>
      <c r="L58" s="103">
        <f t="shared" si="2"/>
        <v>48.358589453688396</v>
      </c>
      <c r="M58" s="104">
        <f t="shared" si="2"/>
        <v>50.519593854978112</v>
      </c>
    </row>
    <row r="59" spans="1:13" ht="12.75" hidden="1" customHeight="1" x14ac:dyDescent="0.2">
      <c r="A59" s="101"/>
      <c r="B59" s="102"/>
      <c r="C59" s="103"/>
      <c r="D59" s="103"/>
      <c r="E59" s="103"/>
      <c r="F59" s="103"/>
      <c r="G59" s="102"/>
      <c r="H59" s="103"/>
      <c r="I59" s="103"/>
      <c r="J59" s="103"/>
      <c r="K59" s="102"/>
      <c r="L59" s="103"/>
      <c r="M59" s="104"/>
    </row>
    <row r="60" spans="1:13" ht="12.75" hidden="1" customHeight="1" x14ac:dyDescent="0.2">
      <c r="A60" s="101"/>
      <c r="B60" s="102"/>
      <c r="C60" s="103"/>
      <c r="D60" s="103"/>
      <c r="E60" s="103"/>
      <c r="F60" s="103"/>
      <c r="G60" s="102"/>
      <c r="H60" s="103"/>
      <c r="I60" s="103"/>
      <c r="J60" s="103"/>
      <c r="K60" s="102"/>
      <c r="L60" s="103"/>
      <c r="M60" s="104"/>
    </row>
    <row r="61" spans="1:13" ht="12.75" hidden="1" customHeight="1" x14ac:dyDescent="0.2">
      <c r="A61" s="105"/>
      <c r="B61" s="106"/>
      <c r="C61" s="107"/>
      <c r="D61" s="107"/>
      <c r="E61" s="107"/>
      <c r="F61" s="107"/>
      <c r="G61" s="106"/>
      <c r="H61" s="107"/>
      <c r="I61" s="107"/>
      <c r="J61" s="107"/>
      <c r="K61" s="106"/>
      <c r="L61" s="107"/>
      <c r="M61" s="108"/>
    </row>
    <row r="62" spans="1:13" ht="12.75" customHeight="1" x14ac:dyDescent="0.2">
      <c r="A62" s="215"/>
      <c r="B62" s="216"/>
      <c r="C62" s="216"/>
      <c r="D62" s="216"/>
      <c r="E62" s="215"/>
      <c r="F62" s="215"/>
      <c r="G62" s="215"/>
      <c r="H62" s="215"/>
      <c r="I62" s="215"/>
      <c r="J62" s="215"/>
      <c r="K62" s="217"/>
      <c r="L62" s="215"/>
      <c r="M62" s="215"/>
    </row>
    <row r="63" spans="1:13" ht="12.75" customHeight="1" x14ac:dyDescent="0.2">
      <c r="A63" s="13" t="s">
        <v>69</v>
      </c>
      <c r="C63" s="110"/>
      <c r="D63" s="110"/>
      <c r="K63" s="109"/>
    </row>
    <row r="64" spans="1:13" ht="12.75" customHeight="1" x14ac:dyDescent="0.2">
      <c r="A64" s="111" t="s">
        <v>2</v>
      </c>
      <c r="C64" s="112" t="s">
        <v>60</v>
      </c>
      <c r="D64" s="58"/>
      <c r="E64" s="59"/>
      <c r="F64" s="70"/>
      <c r="G64" s="112" t="s">
        <v>61</v>
      </c>
      <c r="H64" s="58"/>
      <c r="I64" s="59"/>
      <c r="J64" s="70"/>
      <c r="K64" s="112" t="s">
        <v>70</v>
      </c>
      <c r="L64" s="58"/>
      <c r="M64" s="59"/>
    </row>
    <row r="65" spans="1:14" s="70" customFormat="1" ht="12.75" customHeight="1" x14ac:dyDescent="0.2">
      <c r="A65" s="95"/>
      <c r="C65" s="21" t="s">
        <v>82</v>
      </c>
      <c r="D65" s="22" t="s">
        <v>1</v>
      </c>
      <c r="E65" s="22" t="s">
        <v>10</v>
      </c>
      <c r="F65" s="95"/>
      <c r="G65" s="21" t="s">
        <v>82</v>
      </c>
      <c r="H65" s="22" t="s">
        <v>1</v>
      </c>
      <c r="I65" s="22" t="s">
        <v>10</v>
      </c>
      <c r="J65" s="95"/>
      <c r="K65" s="21" t="s">
        <v>82</v>
      </c>
      <c r="L65" s="22" t="s">
        <v>1</v>
      </c>
      <c r="M65" s="22" t="s">
        <v>10</v>
      </c>
      <c r="N65" s="88"/>
    </row>
    <row r="66" spans="1:14" s="70" customFormat="1" ht="12.75" customHeight="1" x14ac:dyDescent="0.2">
      <c r="A66" s="113">
        <f t="shared" ref="A66:A78" si="5">A10</f>
        <v>2014</v>
      </c>
      <c r="C66" s="77">
        <f t="shared" ref="C66:C78" si="6">ROUND(AVERAGE(B10:F10,K10:M10),2)</f>
        <v>27.76</v>
      </c>
      <c r="D66" s="77">
        <f t="shared" ref="D66:D78" si="7">ROUND(AVERAGE(B28:F28,K28:M28),2)</f>
        <v>22.09</v>
      </c>
      <c r="E66" s="77">
        <f>ROUND(AVERAGE(B46:F46,K46:M46),2)</f>
        <v>25.26</v>
      </c>
      <c r="G66" s="103">
        <f t="shared" ref="G66:G78" si="8">ROUND(AVERAGE(G10:J10),2)</f>
        <v>35.25</v>
      </c>
      <c r="H66" s="103">
        <f t="shared" ref="H66:H78" si="9">ROUND(AVERAGE(G28:J28),2)</f>
        <v>22.92</v>
      </c>
      <c r="I66" s="103">
        <f>ROUND(AVERAGE(G46:J46),2)</f>
        <v>29.83</v>
      </c>
      <c r="K66" s="77">
        <f t="shared" ref="K66:K78" si="10">ROUND(AVERAGE(B10:M10),2)</f>
        <v>31.51</v>
      </c>
      <c r="L66" s="77">
        <f t="shared" ref="L66:L78" si="11">ROUND(AVERAGE(B28:M28),2)</f>
        <v>22.51</v>
      </c>
      <c r="M66" s="77">
        <f>ROUND(AVERAGE(B46:M46),2)</f>
        <v>27.55</v>
      </c>
    </row>
    <row r="67" spans="1:14" s="70" customFormat="1" ht="12.75" customHeight="1" x14ac:dyDescent="0.2">
      <c r="A67" s="113">
        <f t="shared" si="5"/>
        <v>2015</v>
      </c>
      <c r="C67" s="77">
        <f t="shared" si="6"/>
        <v>33.31</v>
      </c>
      <c r="D67" s="77">
        <f t="shared" si="7"/>
        <v>25.71</v>
      </c>
      <c r="E67" s="77">
        <f>ROUND(AVERAGE(B47:F47,K47:M47),2)</f>
        <v>29.97</v>
      </c>
      <c r="G67" s="103">
        <f t="shared" si="8"/>
        <v>35.270000000000003</v>
      </c>
      <c r="H67" s="103">
        <f t="shared" si="9"/>
        <v>22.09</v>
      </c>
      <c r="I67" s="103">
        <f>ROUND(AVERAGE(G47:J47),2)</f>
        <v>29.47</v>
      </c>
      <c r="K67" s="77">
        <f t="shared" si="10"/>
        <v>33.97</v>
      </c>
      <c r="L67" s="77">
        <f t="shared" si="11"/>
        <v>24.5</v>
      </c>
      <c r="M67" s="77">
        <f>ROUND(AVERAGE(B47:M47),2)</f>
        <v>29.8</v>
      </c>
    </row>
    <row r="68" spans="1:14" s="70" customFormat="1" ht="12.75" customHeight="1" x14ac:dyDescent="0.2">
      <c r="A68" s="113">
        <f t="shared" si="5"/>
        <v>2016</v>
      </c>
      <c r="C68" s="77">
        <f t="shared" si="6"/>
        <v>29.92</v>
      </c>
      <c r="D68" s="77">
        <f t="shared" si="7"/>
        <v>23.13</v>
      </c>
      <c r="E68" s="77">
        <f t="shared" ref="E68:E78" si="12">ROUND(AVERAGE(B48:F48,K48:M48),2)</f>
        <v>26.93</v>
      </c>
      <c r="G68" s="103">
        <f t="shared" si="8"/>
        <v>33.770000000000003</v>
      </c>
      <c r="H68" s="103">
        <f t="shared" si="9"/>
        <v>21.3</v>
      </c>
      <c r="I68" s="103">
        <f t="shared" ref="I68:I78" si="13">ROUND(AVERAGE(G48:J48),2)</f>
        <v>28.28</v>
      </c>
      <c r="K68" s="77">
        <f t="shared" si="10"/>
        <v>31.2</v>
      </c>
      <c r="L68" s="77">
        <f t="shared" si="11"/>
        <v>22.52</v>
      </c>
      <c r="M68" s="77">
        <f t="shared" ref="M68:M78" si="14">ROUND(AVERAGE(B48:M48),2)</f>
        <v>27.38</v>
      </c>
    </row>
    <row r="69" spans="1:14" s="70" customFormat="1" ht="12.75" customHeight="1" x14ac:dyDescent="0.2">
      <c r="A69" s="113">
        <f t="shared" si="5"/>
        <v>2017</v>
      </c>
      <c r="C69" s="77">
        <f t="shared" si="6"/>
        <v>30.62</v>
      </c>
      <c r="D69" s="77">
        <f t="shared" si="7"/>
        <v>23.76</v>
      </c>
      <c r="E69" s="77">
        <f t="shared" si="12"/>
        <v>27.6</v>
      </c>
      <c r="G69" s="103">
        <f t="shared" si="8"/>
        <v>36.119999999999997</v>
      </c>
      <c r="H69" s="103">
        <f t="shared" si="9"/>
        <v>23.25</v>
      </c>
      <c r="I69" s="103">
        <f t="shared" si="13"/>
        <v>30.46</v>
      </c>
      <c r="K69" s="77">
        <f t="shared" si="10"/>
        <v>32.450000000000003</v>
      </c>
      <c r="L69" s="77">
        <f t="shared" si="11"/>
        <v>23.59</v>
      </c>
      <c r="M69" s="77">
        <f t="shared" si="14"/>
        <v>28.55</v>
      </c>
    </row>
    <row r="70" spans="1:14" s="70" customFormat="1" ht="12.75" customHeight="1" x14ac:dyDescent="0.2">
      <c r="A70" s="113">
        <f t="shared" si="5"/>
        <v>2018</v>
      </c>
      <c r="C70" s="77">
        <f t="shared" si="6"/>
        <v>33.450000000000003</v>
      </c>
      <c r="D70" s="77">
        <f t="shared" si="7"/>
        <v>25.99</v>
      </c>
      <c r="E70" s="77">
        <f t="shared" si="12"/>
        <v>30.17</v>
      </c>
      <c r="G70" s="103">
        <f t="shared" si="8"/>
        <v>38.53</v>
      </c>
      <c r="H70" s="103">
        <f t="shared" si="9"/>
        <v>25.11</v>
      </c>
      <c r="I70" s="103">
        <f t="shared" si="13"/>
        <v>32.619999999999997</v>
      </c>
      <c r="K70" s="77">
        <f t="shared" si="10"/>
        <v>35.14</v>
      </c>
      <c r="L70" s="77">
        <f t="shared" si="11"/>
        <v>25.69</v>
      </c>
      <c r="M70" s="77">
        <f t="shared" si="14"/>
        <v>30.99</v>
      </c>
    </row>
    <row r="71" spans="1:14" s="70" customFormat="1" ht="12.75" customHeight="1" x14ac:dyDescent="0.2">
      <c r="A71" s="113">
        <f t="shared" si="5"/>
        <v>2019</v>
      </c>
      <c r="C71" s="77">
        <f t="shared" si="6"/>
        <v>34.880000000000003</v>
      </c>
      <c r="D71" s="77">
        <f t="shared" si="7"/>
        <v>27.48</v>
      </c>
      <c r="E71" s="77">
        <f t="shared" si="12"/>
        <v>31.62</v>
      </c>
      <c r="G71" s="103">
        <f t="shared" si="8"/>
        <v>40.590000000000003</v>
      </c>
      <c r="H71" s="103">
        <f t="shared" si="9"/>
        <v>27.08</v>
      </c>
      <c r="I71" s="103">
        <f t="shared" si="13"/>
        <v>34.64</v>
      </c>
      <c r="K71" s="77">
        <f t="shared" si="10"/>
        <v>36.78</v>
      </c>
      <c r="L71" s="77">
        <f t="shared" si="11"/>
        <v>27.34</v>
      </c>
      <c r="M71" s="77">
        <f t="shared" si="14"/>
        <v>32.630000000000003</v>
      </c>
    </row>
    <row r="72" spans="1:14" s="70" customFormat="1" ht="12.75" customHeight="1" x14ac:dyDescent="0.2">
      <c r="A72" s="113">
        <f t="shared" si="5"/>
        <v>2020</v>
      </c>
      <c r="C72" s="77">
        <f t="shared" si="6"/>
        <v>37.229999999999997</v>
      </c>
      <c r="D72" s="77">
        <f t="shared" si="7"/>
        <v>30.83</v>
      </c>
      <c r="E72" s="77">
        <f t="shared" si="12"/>
        <v>34.409999999999997</v>
      </c>
      <c r="G72" s="103">
        <f t="shared" si="8"/>
        <v>43.67</v>
      </c>
      <c r="H72" s="103">
        <f t="shared" si="9"/>
        <v>34.22</v>
      </c>
      <c r="I72" s="103">
        <f t="shared" si="13"/>
        <v>39.51</v>
      </c>
      <c r="K72" s="77">
        <f t="shared" si="10"/>
        <v>39.380000000000003</v>
      </c>
      <c r="L72" s="77">
        <f t="shared" si="11"/>
        <v>31.96</v>
      </c>
      <c r="M72" s="77">
        <f t="shared" si="14"/>
        <v>36.11</v>
      </c>
    </row>
    <row r="73" spans="1:14" s="70" customFormat="1" ht="12.75" customHeight="1" x14ac:dyDescent="0.2">
      <c r="A73" s="113">
        <f t="shared" si="5"/>
        <v>2021</v>
      </c>
      <c r="C73" s="77">
        <f t="shared" si="6"/>
        <v>40.020000000000003</v>
      </c>
      <c r="D73" s="77">
        <f t="shared" si="7"/>
        <v>36.520000000000003</v>
      </c>
      <c r="E73" s="77">
        <f t="shared" si="12"/>
        <v>38.479999999999997</v>
      </c>
      <c r="G73" s="103">
        <f t="shared" si="8"/>
        <v>43.29</v>
      </c>
      <c r="H73" s="103">
        <f t="shared" si="9"/>
        <v>38.65</v>
      </c>
      <c r="I73" s="103">
        <f t="shared" si="13"/>
        <v>41.25</v>
      </c>
      <c r="K73" s="77">
        <f t="shared" si="10"/>
        <v>41.11</v>
      </c>
      <c r="L73" s="77">
        <f t="shared" si="11"/>
        <v>37.229999999999997</v>
      </c>
      <c r="M73" s="77">
        <f t="shared" si="14"/>
        <v>39.4</v>
      </c>
    </row>
    <row r="74" spans="1:14" s="70" customFormat="1" ht="12.75" customHeight="1" x14ac:dyDescent="0.2">
      <c r="A74" s="113">
        <f t="shared" si="5"/>
        <v>2022</v>
      </c>
      <c r="C74" s="77">
        <f t="shared" si="6"/>
        <v>39.869999999999997</v>
      </c>
      <c r="D74" s="77">
        <f t="shared" si="7"/>
        <v>37.99</v>
      </c>
      <c r="E74" s="77">
        <f t="shared" si="12"/>
        <v>39.04</v>
      </c>
      <c r="G74" s="103">
        <f t="shared" si="8"/>
        <v>44.82</v>
      </c>
      <c r="H74" s="103">
        <f t="shared" si="9"/>
        <v>39.43</v>
      </c>
      <c r="I74" s="103">
        <f t="shared" si="13"/>
        <v>42.45</v>
      </c>
      <c r="K74" s="77">
        <f t="shared" si="10"/>
        <v>41.52</v>
      </c>
      <c r="L74" s="77">
        <f t="shared" si="11"/>
        <v>38.47</v>
      </c>
      <c r="M74" s="77">
        <f t="shared" si="14"/>
        <v>40.18</v>
      </c>
    </row>
    <row r="75" spans="1:14" s="70" customFormat="1" ht="12.75" customHeight="1" x14ac:dyDescent="0.2">
      <c r="A75" s="113">
        <f t="shared" si="5"/>
        <v>2023</v>
      </c>
      <c r="C75" s="77">
        <f t="shared" si="6"/>
        <v>41.61</v>
      </c>
      <c r="D75" s="77">
        <f t="shared" si="7"/>
        <v>39.83</v>
      </c>
      <c r="E75" s="77">
        <f t="shared" si="12"/>
        <v>40.83</v>
      </c>
      <c r="G75" s="103">
        <f t="shared" si="8"/>
        <v>45.72</v>
      </c>
      <c r="H75" s="103">
        <f t="shared" si="9"/>
        <v>40.29</v>
      </c>
      <c r="I75" s="103">
        <f t="shared" si="13"/>
        <v>43.33</v>
      </c>
      <c r="K75" s="77">
        <f t="shared" si="10"/>
        <v>42.98</v>
      </c>
      <c r="L75" s="77">
        <f t="shared" si="11"/>
        <v>39.979999999999997</v>
      </c>
      <c r="M75" s="77">
        <f t="shared" si="14"/>
        <v>41.66</v>
      </c>
    </row>
    <row r="76" spans="1:14" s="70" customFormat="1" ht="12.75" customHeight="1" x14ac:dyDescent="0.2">
      <c r="A76" s="113">
        <f t="shared" si="5"/>
        <v>2024</v>
      </c>
      <c r="C76" s="77">
        <f t="shared" si="6"/>
        <v>43.38</v>
      </c>
      <c r="D76" s="77">
        <f t="shared" si="7"/>
        <v>41.55</v>
      </c>
      <c r="E76" s="77">
        <f t="shared" si="12"/>
        <v>42.57</v>
      </c>
      <c r="G76" s="103">
        <f t="shared" si="8"/>
        <v>48.58</v>
      </c>
      <c r="H76" s="103">
        <f t="shared" si="9"/>
        <v>42.48</v>
      </c>
      <c r="I76" s="103">
        <f t="shared" si="13"/>
        <v>45.9</v>
      </c>
      <c r="K76" s="77">
        <f t="shared" si="10"/>
        <v>45.11</v>
      </c>
      <c r="L76" s="77">
        <f t="shared" si="11"/>
        <v>41.86</v>
      </c>
      <c r="M76" s="77">
        <f t="shared" si="14"/>
        <v>43.68</v>
      </c>
    </row>
    <row r="77" spans="1:14" s="70" customFormat="1" ht="12.75" customHeight="1" x14ac:dyDescent="0.2">
      <c r="A77" s="113">
        <f t="shared" si="5"/>
        <v>2025</v>
      </c>
      <c r="C77" s="77">
        <f t="shared" si="6"/>
        <v>45.59</v>
      </c>
      <c r="D77" s="77">
        <f t="shared" si="7"/>
        <v>43.62</v>
      </c>
      <c r="E77" s="77">
        <f t="shared" si="12"/>
        <v>44.72</v>
      </c>
      <c r="G77" s="103">
        <f t="shared" si="8"/>
        <v>52.04</v>
      </c>
      <c r="H77" s="103">
        <f t="shared" si="9"/>
        <v>45.23</v>
      </c>
      <c r="I77" s="103">
        <f t="shared" si="13"/>
        <v>49.04</v>
      </c>
      <c r="K77" s="77">
        <f t="shared" si="10"/>
        <v>47.74</v>
      </c>
      <c r="L77" s="77">
        <f t="shared" si="11"/>
        <v>44.16</v>
      </c>
      <c r="M77" s="77">
        <f t="shared" si="14"/>
        <v>46.16</v>
      </c>
    </row>
    <row r="78" spans="1:14" s="70" customFormat="1" ht="12.75" customHeight="1" x14ac:dyDescent="0.2">
      <c r="A78" s="113">
        <f t="shared" si="5"/>
        <v>2026</v>
      </c>
      <c r="C78" s="77">
        <f t="shared" si="6"/>
        <v>47.48</v>
      </c>
      <c r="D78" s="77">
        <f t="shared" si="7"/>
        <v>45.73</v>
      </c>
      <c r="E78" s="77">
        <f t="shared" si="12"/>
        <v>46.71</v>
      </c>
      <c r="G78" s="103">
        <f t="shared" si="8"/>
        <v>54.79</v>
      </c>
      <c r="H78" s="103">
        <f t="shared" si="9"/>
        <v>47.72</v>
      </c>
      <c r="I78" s="103">
        <f t="shared" si="13"/>
        <v>51.68</v>
      </c>
      <c r="K78" s="77">
        <f t="shared" si="10"/>
        <v>49.91</v>
      </c>
      <c r="L78" s="77">
        <f t="shared" si="11"/>
        <v>46.39</v>
      </c>
      <c r="M78" s="77">
        <f t="shared" si="14"/>
        <v>48.36</v>
      </c>
    </row>
    <row r="79" spans="1:14" s="70" customFormat="1" ht="12.75" customHeight="1" x14ac:dyDescent="0.2">
      <c r="A79" s="113"/>
      <c r="C79" s="77"/>
      <c r="D79" s="77"/>
      <c r="E79" s="77"/>
      <c r="G79" s="103"/>
      <c r="H79" s="103"/>
      <c r="I79" s="103"/>
      <c r="K79" s="77"/>
      <c r="L79" s="77"/>
      <c r="M79" s="77"/>
    </row>
    <row r="80" spans="1:14" s="70" customFormat="1" ht="12.75" customHeight="1" x14ac:dyDescent="0.2">
      <c r="A80" s="60" t="s">
        <v>83</v>
      </c>
      <c r="D80" s="77"/>
      <c r="E80" s="103"/>
      <c r="F80" s="103"/>
      <c r="G80" s="103"/>
      <c r="J80" s="103"/>
      <c r="K80" s="103"/>
    </row>
    <row r="81" spans="1:17" ht="12.75" customHeight="1" x14ac:dyDescent="0.2">
      <c r="A81" s="60" t="s">
        <v>322</v>
      </c>
      <c r="C81" s="115"/>
      <c r="D81" s="77"/>
      <c r="E81" s="103"/>
      <c r="F81" s="103"/>
      <c r="G81" s="103"/>
      <c r="H81" s="70"/>
      <c r="N81" s="70"/>
      <c r="O81" s="70"/>
      <c r="P81" s="70"/>
    </row>
    <row r="82" spans="1:17" ht="12.75" customHeight="1" x14ac:dyDescent="0.2">
      <c r="A82" s="60" t="s">
        <v>324</v>
      </c>
      <c r="C82" s="115"/>
      <c r="D82" s="77"/>
      <c r="E82" s="103"/>
      <c r="F82" s="103"/>
      <c r="G82" s="103"/>
      <c r="H82" s="70"/>
      <c r="N82" s="70"/>
      <c r="O82" s="70"/>
      <c r="P82" s="70"/>
    </row>
    <row r="83" spans="1:17" ht="12.75" customHeight="1" x14ac:dyDescent="0.2">
      <c r="A83" s="60" t="s">
        <v>323</v>
      </c>
      <c r="C83" s="115"/>
      <c r="D83" s="77"/>
      <c r="E83" s="103"/>
      <c r="F83" s="103"/>
      <c r="G83" s="103"/>
      <c r="H83" s="70"/>
      <c r="N83" s="70"/>
      <c r="O83" s="70"/>
      <c r="P83" s="70"/>
    </row>
    <row r="84" spans="1:17" ht="12.75" customHeight="1" x14ac:dyDescent="0.2">
      <c r="A84" s="378"/>
      <c r="C84" s="115"/>
      <c r="D84" s="77"/>
      <c r="E84" s="103"/>
      <c r="F84" s="103"/>
      <c r="G84" s="103"/>
      <c r="H84" s="70"/>
      <c r="N84" s="70"/>
      <c r="O84" s="70"/>
      <c r="P84" s="70"/>
    </row>
    <row r="85" spans="1:17" ht="12.75" customHeight="1" x14ac:dyDescent="0.2">
      <c r="C85" s="60" t="s">
        <v>153</v>
      </c>
      <c r="D85" s="70"/>
      <c r="E85" s="70"/>
      <c r="F85" s="70"/>
      <c r="G85" s="70"/>
    </row>
    <row r="86" spans="1:17" ht="6.75" customHeight="1" x14ac:dyDescent="0.2"/>
    <row r="87" spans="1:17" x14ac:dyDescent="0.2">
      <c r="C87" s="60" t="s">
        <v>154</v>
      </c>
    </row>
    <row r="88" spans="1:17" x14ac:dyDescent="0.2">
      <c r="C88" s="60" t="s">
        <v>169</v>
      </c>
      <c r="F88" s="246">
        <v>0.68</v>
      </c>
    </row>
    <row r="90" spans="1:17" x14ac:dyDescent="0.2">
      <c r="Q90" s="246"/>
    </row>
    <row r="91" spans="1:17" x14ac:dyDescent="0.2">
      <c r="Q91" s="66"/>
    </row>
    <row r="106" ht="24.75" customHeight="1" x14ac:dyDescent="0.2"/>
  </sheetData>
  <printOptions horizontalCentered="1"/>
  <pageMargins left="0.25" right="0.25" top="0.75" bottom="0.75" header="0.3" footer="0.3"/>
  <pageSetup scale="60" fitToWidth="0"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view="pageBreakPreview" zoomScale="60" zoomScaleNormal="100" workbookViewId="0">
      <selection activeCell="U77" sqref="U77"/>
    </sheetView>
  </sheetViews>
  <sheetFormatPr defaultRowHeight="12.75" x14ac:dyDescent="0.2"/>
  <cols>
    <col min="1" max="1" width="9.33203125" style="60"/>
    <col min="2" max="10" width="8.5" style="60" customWidth="1"/>
    <col min="11" max="11" width="8.5" style="70" customWidth="1"/>
    <col min="12" max="13" width="8.5" style="60" customWidth="1"/>
    <col min="14" max="14" width="11.6640625" style="60" customWidth="1"/>
    <col min="15" max="15" width="10.83203125" style="60" customWidth="1"/>
    <col min="16" max="16" width="9.83203125" style="60" customWidth="1"/>
    <col min="17" max="17" width="7.5" style="60" customWidth="1"/>
    <col min="18" max="21" width="15.33203125" style="60" customWidth="1"/>
    <col min="22" max="16384" width="9.33203125" style="60"/>
  </cols>
  <sheetData>
    <row r="1" spans="1:13" s="5" customFormat="1" ht="15.75" x14ac:dyDescent="0.25">
      <c r="A1" s="1" t="s">
        <v>182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</row>
    <row r="2" spans="1:13" s="7" customFormat="1" ht="15" x14ac:dyDescent="0.25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</row>
    <row r="3" spans="1:13" s="7" customFormat="1" ht="15" x14ac:dyDescent="0.25">
      <c r="A3" s="3" t="str">
        <f>"Avoided Resource ("&amp;A10&amp;" through "&amp;MAX(A10:A27)&amp;")"</f>
        <v>Avoided Resource (2014 through 2026)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</row>
    <row r="4" spans="1:13" ht="15" x14ac:dyDescent="0.25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13" x14ac:dyDescent="0.2">
      <c r="B5" s="88"/>
      <c r="C5" s="88"/>
      <c r="D5" s="88"/>
      <c r="E5" s="4"/>
      <c r="F5" s="4"/>
      <c r="G5" s="4"/>
      <c r="H5" s="4"/>
      <c r="I5" s="4"/>
      <c r="J5" s="4"/>
      <c r="K5" s="17"/>
    </row>
    <row r="6" spans="1:13" x14ac:dyDescent="0.2">
      <c r="A6" s="89" t="s">
        <v>2</v>
      </c>
      <c r="B6" s="90" t="s">
        <v>60</v>
      </c>
      <c r="C6" s="91"/>
      <c r="D6" s="91"/>
      <c r="E6" s="90"/>
      <c r="F6" s="90"/>
      <c r="G6" s="90" t="s">
        <v>61</v>
      </c>
      <c r="H6" s="90"/>
      <c r="I6" s="90"/>
      <c r="J6" s="90"/>
      <c r="K6" s="90" t="s">
        <v>60</v>
      </c>
      <c r="L6" s="90"/>
      <c r="M6" s="90"/>
    </row>
    <row r="7" spans="1:13" x14ac:dyDescent="0.2">
      <c r="A7" s="92"/>
      <c r="B7" s="93" t="s">
        <v>48</v>
      </c>
      <c r="C7" s="93" t="s">
        <v>49</v>
      </c>
      <c r="D7" s="93" t="s">
        <v>50</v>
      </c>
      <c r="E7" s="93" t="s">
        <v>51</v>
      </c>
      <c r="F7" s="94" t="s">
        <v>52</v>
      </c>
      <c r="G7" s="93" t="s">
        <v>53</v>
      </c>
      <c r="H7" s="93" t="s">
        <v>54</v>
      </c>
      <c r="I7" s="93" t="s">
        <v>55</v>
      </c>
      <c r="J7" s="94" t="s">
        <v>56</v>
      </c>
      <c r="K7" s="93" t="s">
        <v>57</v>
      </c>
      <c r="L7" s="93" t="s">
        <v>58</v>
      </c>
      <c r="M7" s="94" t="s">
        <v>59</v>
      </c>
    </row>
    <row r="8" spans="1:13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2.75" customHeight="1" x14ac:dyDescent="0.2">
      <c r="A9" s="13" t="str">
        <f>'Table 2A BaseLoad'!A9</f>
        <v>On-Peak (1)</v>
      </c>
      <c r="C9" s="88"/>
      <c r="D9" s="88"/>
      <c r="E9" s="88"/>
      <c r="F9" s="88"/>
      <c r="G9" s="88"/>
      <c r="H9" s="88"/>
      <c r="I9" s="88"/>
      <c r="J9" s="88"/>
      <c r="K9" s="96"/>
      <c r="L9" s="70"/>
      <c r="M9" s="70"/>
    </row>
    <row r="10" spans="1:13" ht="12.75" customHeight="1" x14ac:dyDescent="0.2">
      <c r="A10" s="97">
        <f>'Tables 3 to 6'!$B$13</f>
        <v>2014</v>
      </c>
      <c r="B10" s="98"/>
      <c r="C10" s="99"/>
      <c r="D10" s="99"/>
      <c r="E10" s="99"/>
      <c r="F10" s="100"/>
      <c r="G10" s="99"/>
      <c r="H10" s="99">
        <f>'Table 2A BaseLoad'!H10-Solar_Tracking_integr_cost</f>
        <v>33.01263120267464</v>
      </c>
      <c r="I10" s="99">
        <f>'Table 2A BaseLoad'!I10-Solar_Tracking_integr_cost</f>
        <v>43.286987818036899</v>
      </c>
      <c r="J10" s="100">
        <f>'Table 2A BaseLoad'!J10-Solar_Tracking_integr_cost</f>
        <v>31.414554569778353</v>
      </c>
      <c r="K10" s="99">
        <f>'Table 2A BaseLoad'!K10-Solar_Tracking_integr_cost</f>
        <v>27.137210537981435</v>
      </c>
      <c r="L10" s="99">
        <f>'Table 2A BaseLoad'!L10-Solar_Tracking_integr_cost</f>
        <v>30.809394873117007</v>
      </c>
      <c r="M10" s="100">
        <f>'Table 2A BaseLoad'!M10-Solar_Tracking_integr_cost</f>
        <v>27.271240571916874</v>
      </c>
    </row>
    <row r="11" spans="1:13" ht="12.75" customHeight="1" x14ac:dyDescent="0.2">
      <c r="A11" s="101">
        <f t="shared" ref="A11:A22" si="0">A10+1</f>
        <v>2015</v>
      </c>
      <c r="B11" s="102">
        <f>'Table 2A BaseLoad'!B11-Solar_Tracking_integr_cost</f>
        <v>37.187419329871027</v>
      </c>
      <c r="C11" s="103">
        <f>'Table 2A BaseLoad'!C11-Solar_Tracking_integr_cost</f>
        <v>37.562166985775931</v>
      </c>
      <c r="D11" s="103">
        <f>'Table 2A BaseLoad'!D11-Solar_Tracking_integr_cost</f>
        <v>43.898388742088471</v>
      </c>
      <c r="E11" s="103">
        <f>'Table 2A BaseLoad'!E11-Solar_Tracking_integr_cost</f>
        <v>27.603316275242133</v>
      </c>
      <c r="F11" s="104">
        <f>'Table 2A BaseLoad'!F11-Solar_Tracking_integr_cost</f>
        <v>26.93603443280341</v>
      </c>
      <c r="G11" s="103">
        <f>'Table 2A BaseLoad'!G11-Solar_Tracking_integr_cost</f>
        <v>28.83241956727171</v>
      </c>
      <c r="H11" s="103">
        <f>'Table 2A BaseLoad'!H11-Solar_Tracking_integr_cost</f>
        <v>39.120698130967376</v>
      </c>
      <c r="I11" s="103">
        <f>'Table 2A BaseLoad'!I11-Solar_Tracking_integr_cost</f>
        <v>41.594867560030359</v>
      </c>
      <c r="J11" s="104">
        <f>'Table 2A BaseLoad'!J11-Solar_Tracking_integr_cost</f>
        <v>34.124413628971723</v>
      </c>
      <c r="K11" s="103">
        <f>'Table 2A BaseLoad'!K11-Solar_Tracking_integr_cost</f>
        <v>29.868826849764133</v>
      </c>
      <c r="L11" s="103">
        <f>'Table 2A BaseLoad'!L11-Solar_Tracking_integr_cost</f>
        <v>32.400586257785832</v>
      </c>
      <c r="M11" s="104">
        <f>'Table 2A BaseLoad'!M11-Solar_Tracking_integr_cost</f>
        <v>36.251273067628034</v>
      </c>
    </row>
    <row r="12" spans="1:13" ht="12.75" customHeight="1" x14ac:dyDescent="0.2">
      <c r="A12" s="101">
        <f t="shared" si="0"/>
        <v>2016</v>
      </c>
      <c r="B12" s="102">
        <f>'Table 2A BaseLoad'!B12-Solar_Tracking_integr_cost</f>
        <v>31.121407097148023</v>
      </c>
      <c r="C12" s="103">
        <f>'Table 2A BaseLoad'!C12-Solar_Tracking_integr_cost</f>
        <v>33.888300149987224</v>
      </c>
      <c r="D12" s="103">
        <f>'Table 2A BaseLoad'!D12-Solar_Tracking_integr_cost</f>
        <v>35.442409181161985</v>
      </c>
      <c r="E12" s="103">
        <f>'Table 2A BaseLoad'!E12-Solar_Tracking_integr_cost</f>
        <v>28.819862910045067</v>
      </c>
      <c r="F12" s="104">
        <f>'Table 2A BaseLoad'!F12-Solar_Tracking_integr_cost</f>
        <v>27.118204730321146</v>
      </c>
      <c r="G12" s="103">
        <f>'Table 2A BaseLoad'!G12-Solar_Tracking_integr_cost</f>
        <v>26.86953688989777</v>
      </c>
      <c r="H12" s="103">
        <f>'Table 2A BaseLoad'!H12-Solar_Tracking_integr_cost</f>
        <v>37.996987867462593</v>
      </c>
      <c r="I12" s="103">
        <f>'Table 2A BaseLoad'!I12-Solar_Tracking_integr_cost</f>
        <v>40.788533174402602</v>
      </c>
      <c r="J12" s="104">
        <f>'Table 2A BaseLoad'!J12-Solar_Tracking_integr_cost</f>
        <v>32.017028227434523</v>
      </c>
      <c r="K12" s="103">
        <f>'Table 2A BaseLoad'!K12-Solar_Tracking_integr_cost</f>
        <v>29.878112459970858</v>
      </c>
      <c r="L12" s="103">
        <f>'Table 2A BaseLoad'!L12-Solar_Tracking_integr_cost</f>
        <v>25.696264580628704</v>
      </c>
      <c r="M12" s="104">
        <f>'Table 2A BaseLoad'!M12-Solar_Tracking_integr_cost</f>
        <v>32.587051156533022</v>
      </c>
    </row>
    <row r="13" spans="1:13" ht="12.75" customHeight="1" x14ac:dyDescent="0.2">
      <c r="A13" s="101">
        <f t="shared" si="0"/>
        <v>2017</v>
      </c>
      <c r="B13" s="102">
        <f>'Table 2A BaseLoad'!B13-Solar_Tracking_integr_cost</f>
        <v>30.377763877796745</v>
      </c>
      <c r="C13" s="103">
        <f>'Table 2A BaseLoad'!C13-Solar_Tracking_integr_cost</f>
        <v>33.817181733447896</v>
      </c>
      <c r="D13" s="103">
        <f>'Table 2A BaseLoad'!D13-Solar_Tracking_integr_cost</f>
        <v>34.87893293158762</v>
      </c>
      <c r="E13" s="103">
        <f>'Table 2A BaseLoad'!E13-Solar_Tracking_integr_cost</f>
        <v>28.704471175742551</v>
      </c>
      <c r="F13" s="104">
        <f>'Table 2A BaseLoad'!F13-Solar_Tracking_integr_cost</f>
        <v>28.842136394143935</v>
      </c>
      <c r="G13" s="103">
        <f>'Table 2A BaseLoad'!G13-Solar_Tracking_integr_cost</f>
        <v>28.179711286682601</v>
      </c>
      <c r="H13" s="103">
        <f>'Table 2A BaseLoad'!H13-Solar_Tracking_integr_cost</f>
        <v>40.094676258474856</v>
      </c>
      <c r="I13" s="103">
        <f>'Table 2A BaseLoad'!I13-Solar_Tracking_integr_cost</f>
        <v>43.074898549233922</v>
      </c>
      <c r="J13" s="104">
        <f>'Table 2A BaseLoad'!J13-Solar_Tracking_integr_cost</f>
        <v>35.742529390240648</v>
      </c>
      <c r="K13" s="103">
        <f>'Table 2A BaseLoad'!K13-Solar_Tracking_integr_cost</f>
        <v>30.735232500826264</v>
      </c>
      <c r="L13" s="103">
        <f>'Table 2A BaseLoad'!L13-Solar_Tracking_integr_cost</f>
        <v>31.469689203282471</v>
      </c>
      <c r="M13" s="104">
        <f>'Table 2A BaseLoad'!M13-Solar_Tracking_integr_cost</f>
        <v>31.320144713633077</v>
      </c>
    </row>
    <row r="14" spans="1:13" ht="12.75" customHeight="1" x14ac:dyDescent="0.2">
      <c r="A14" s="101">
        <f t="shared" si="0"/>
        <v>2018</v>
      </c>
      <c r="B14" s="102">
        <f>'Table 2A BaseLoad'!B14-Solar_Tracking_integr_cost</f>
        <v>31.556578544046232</v>
      </c>
      <c r="C14" s="103">
        <f>'Table 2A BaseLoad'!C14-Solar_Tracking_integr_cost</f>
        <v>32.429358323217052</v>
      </c>
      <c r="D14" s="103">
        <f>'Table 2A BaseLoad'!D14-Solar_Tracking_integr_cost</f>
        <v>36.387817072268625</v>
      </c>
      <c r="E14" s="103">
        <f>'Table 2A BaseLoad'!E14-Solar_Tracking_integr_cost</f>
        <v>31.85426568598475</v>
      </c>
      <c r="F14" s="104">
        <f>'Table 2A BaseLoad'!F14-Solar_Tracking_integr_cost</f>
        <v>31.056765904007456</v>
      </c>
      <c r="G14" s="103">
        <f>'Table 2A BaseLoad'!G14-Solar_Tracking_integr_cost</f>
        <v>30.986126140173837</v>
      </c>
      <c r="H14" s="103">
        <f>'Table 2A BaseLoad'!H14-Solar_Tracking_integr_cost</f>
        <v>43.275361596333269</v>
      </c>
      <c r="I14" s="103">
        <f>'Table 2A BaseLoad'!I14-Solar_Tracking_integr_cost</f>
        <v>46.112584571854534</v>
      </c>
      <c r="J14" s="104">
        <f>'Table 2A BaseLoad'!J14-Solar_Tracking_integr_cost</f>
        <v>36.348919866699347</v>
      </c>
      <c r="K14" s="103">
        <f>'Table 2A BaseLoad'!K14-Solar_Tracking_integr_cost</f>
        <v>34.714484919841972</v>
      </c>
      <c r="L14" s="103">
        <f>'Table 2A BaseLoad'!L14-Solar_Tracking_integr_cost</f>
        <v>41.478426163313515</v>
      </c>
      <c r="M14" s="104">
        <f>'Table 2A BaseLoad'!M14-Solar_Tracking_integr_cost</f>
        <v>33.321980805268552</v>
      </c>
    </row>
    <row r="15" spans="1:13" ht="12.75" customHeight="1" x14ac:dyDescent="0.2">
      <c r="A15" s="101">
        <f t="shared" si="0"/>
        <v>2019</v>
      </c>
      <c r="B15" s="102">
        <f>'Table 2A BaseLoad'!B15-Solar_Tracking_integr_cost</f>
        <v>33.639790789398702</v>
      </c>
      <c r="C15" s="103">
        <f>'Table 2A BaseLoad'!C15-Solar_Tracking_integr_cost</f>
        <v>34.599816729552465</v>
      </c>
      <c r="D15" s="103">
        <f>'Table 2A BaseLoad'!D15-Solar_Tracking_integr_cost</f>
        <v>37.251261076707152</v>
      </c>
      <c r="E15" s="103">
        <f>'Table 2A BaseLoad'!E15-Solar_Tracking_integr_cost</f>
        <v>35.470173541867553</v>
      </c>
      <c r="F15" s="104">
        <f>'Table 2A BaseLoad'!F15-Solar_Tracking_integr_cost</f>
        <v>32.890857770086058</v>
      </c>
      <c r="G15" s="103">
        <f>'Table 2A BaseLoad'!G15-Solar_Tracking_integr_cost</f>
        <v>32.894433119025869</v>
      </c>
      <c r="H15" s="103">
        <f>'Table 2A BaseLoad'!H15-Solar_Tracking_integr_cost</f>
        <v>44.903488074540569</v>
      </c>
      <c r="I15" s="103">
        <f>'Table 2A BaseLoad'!I15-Solar_Tracking_integr_cost</f>
        <v>48.246148349888401</v>
      </c>
      <c r="J15" s="104">
        <f>'Table 2A BaseLoad'!J15-Solar_Tracking_integr_cost</f>
        <v>38.896891959186895</v>
      </c>
      <c r="K15" s="103">
        <f>'Table 2A BaseLoad'!K15-Solar_Tracking_integr_cost</f>
        <v>37.908886944664253</v>
      </c>
      <c r="L15" s="103">
        <f>'Table 2A BaseLoad'!L15-Solar_Tracking_integr_cost</f>
        <v>36.474820968899586</v>
      </c>
      <c r="M15" s="104">
        <f>'Table 2A BaseLoad'!M15-Solar_Tracking_integr_cost</f>
        <v>36.002719585161103</v>
      </c>
    </row>
    <row r="16" spans="1:13" ht="12.75" customHeight="1" x14ac:dyDescent="0.2">
      <c r="A16" s="101">
        <f t="shared" si="0"/>
        <v>2020</v>
      </c>
      <c r="B16" s="102">
        <f>'Table 2A BaseLoad'!B16-Solar_Tracking_integr_cost</f>
        <v>39.686186181740361</v>
      </c>
      <c r="C16" s="103">
        <f>'Table 2A BaseLoad'!C16-Solar_Tracking_integr_cost</f>
        <v>37.558656503488244</v>
      </c>
      <c r="D16" s="103">
        <f>'Table 2A BaseLoad'!D16-Solar_Tracking_integr_cost</f>
        <v>39.473285007698379</v>
      </c>
      <c r="E16" s="103">
        <f>'Table 2A BaseLoad'!E16-Solar_Tracking_integr_cost</f>
        <v>39.09235996551174</v>
      </c>
      <c r="F16" s="104">
        <f>'Table 2A BaseLoad'!F16-Solar_Tracking_integr_cost</f>
        <v>35.237653877160142</v>
      </c>
      <c r="G16" s="103">
        <f>'Table 2A BaseLoad'!G16-Solar_Tracking_integr_cost</f>
        <v>37.460817824713018</v>
      </c>
      <c r="H16" s="103">
        <f>'Table 2A BaseLoad'!H16-Solar_Tracking_integr_cost</f>
        <v>49.314977328773203</v>
      </c>
      <c r="I16" s="103">
        <f>'Table 2A BaseLoad'!I16-Solar_Tracking_integr_cost</f>
        <v>48.927921111612342</v>
      </c>
      <c r="J16" s="104">
        <f>'Table 2A BaseLoad'!J16-Solar_Tracking_integr_cost</f>
        <v>41.575455012456594</v>
      </c>
      <c r="K16" s="103">
        <f>'Table 2A BaseLoad'!K16-Solar_Tracking_integr_cost</f>
        <v>37.619888230123593</v>
      </c>
      <c r="L16" s="103">
        <f>'Table 2A BaseLoad'!L16-Solar_Tracking_integr_cost</f>
        <v>38.174399057045598</v>
      </c>
      <c r="M16" s="104">
        <f>'Table 2A BaseLoad'!M16-Solar_Tracking_integr_cost</f>
        <v>36.186954981904641</v>
      </c>
    </row>
    <row r="17" spans="1:30" ht="12.75" customHeight="1" x14ac:dyDescent="0.2">
      <c r="A17" s="101">
        <f t="shared" si="0"/>
        <v>2021</v>
      </c>
      <c r="B17" s="102">
        <f>'Table 2A BaseLoad'!B17-Solar_Tracking_integr_cost</f>
        <v>39.765516362423647</v>
      </c>
      <c r="C17" s="103">
        <f>'Table 2A BaseLoad'!C17-Solar_Tracking_integr_cost</f>
        <v>41.431237102782504</v>
      </c>
      <c r="D17" s="103">
        <f>'Table 2A BaseLoad'!D17-Solar_Tracking_integr_cost</f>
        <v>40.482370896719971</v>
      </c>
      <c r="E17" s="103">
        <f>'Table 2A BaseLoad'!E17-Solar_Tracking_integr_cost</f>
        <v>39.59503668191563</v>
      </c>
      <c r="F17" s="104">
        <f>'Table 2A BaseLoad'!F17-Solar_Tracking_integr_cost</f>
        <v>36.786402490792284</v>
      </c>
      <c r="G17" s="103">
        <f>'Table 2A BaseLoad'!G17-Solar_Tracking_integr_cost</f>
        <v>38.955378248663699</v>
      </c>
      <c r="H17" s="103">
        <f>'Table 2A BaseLoad'!H17-Solar_Tracking_integr_cost</f>
        <v>47.212465363616893</v>
      </c>
      <c r="I17" s="103">
        <f>'Table 2A BaseLoad'!I17-Solar_Tracking_integr_cost</f>
        <v>47.358660732090257</v>
      </c>
      <c r="J17" s="104">
        <f>'Table 2A BaseLoad'!J17-Solar_Tracking_integr_cost</f>
        <v>42.239392180765023</v>
      </c>
      <c r="K17" s="103">
        <f>'Table 2A BaseLoad'!K17-Solar_Tracking_integr_cost</f>
        <v>40.406635331249532</v>
      </c>
      <c r="L17" s="103">
        <f>'Table 2A BaseLoad'!L17-Solar_Tracking_integr_cost</f>
        <v>43.614269572726052</v>
      </c>
      <c r="M17" s="104">
        <f>'Table 2A BaseLoad'!M17-Solar_Tracking_integr_cost</f>
        <v>43.257722164409302</v>
      </c>
    </row>
    <row r="18" spans="1:30" ht="12.75" customHeight="1" x14ac:dyDescent="0.2">
      <c r="A18" s="101">
        <f t="shared" si="0"/>
        <v>2022</v>
      </c>
      <c r="B18" s="102">
        <f>'Table 2A BaseLoad'!B18-Solar_Tracking_integr_cost</f>
        <v>41.35326895971702</v>
      </c>
      <c r="C18" s="103">
        <f>'Table 2A BaseLoad'!C18-Solar_Tracking_integr_cost</f>
        <v>40.228985152375863</v>
      </c>
      <c r="D18" s="103">
        <f>'Table 2A BaseLoad'!D18-Solar_Tracking_integr_cost</f>
        <v>41.128495548638746</v>
      </c>
      <c r="E18" s="103">
        <f>'Table 2A BaseLoad'!E18-Solar_Tracking_integr_cost</f>
        <v>37.820794133886601</v>
      </c>
      <c r="F18" s="104">
        <f>'Table 2A BaseLoad'!F18-Solar_Tracking_integr_cost</f>
        <v>37.363981748504635</v>
      </c>
      <c r="G18" s="103">
        <f>'Table 2A BaseLoad'!G18-Solar_Tracking_integr_cost</f>
        <v>41.539334833395671</v>
      </c>
      <c r="H18" s="103">
        <f>'Table 2A BaseLoad'!H18-Solar_Tracking_integr_cost</f>
        <v>49.221073748172472</v>
      </c>
      <c r="I18" s="103">
        <f>'Table 2A BaseLoad'!I18-Solar_Tracking_integr_cost</f>
        <v>48.377801196306542</v>
      </c>
      <c r="J18" s="104">
        <f>'Table 2A BaseLoad'!J18-Solar_Tracking_integr_cost</f>
        <v>42.745760535019528</v>
      </c>
      <c r="K18" s="103">
        <f>'Table 2A BaseLoad'!K18-Solar_Tracking_integr_cost</f>
        <v>41.170255791844774</v>
      </c>
      <c r="L18" s="103">
        <f>'Table 2A BaseLoad'!L18-Solar_Tracking_integr_cost</f>
        <v>41.504321584848022</v>
      </c>
      <c r="M18" s="104">
        <f>'Table 2A BaseLoad'!M18-Solar_Tracking_integr_cost</f>
        <v>43.578051410782884</v>
      </c>
    </row>
    <row r="19" spans="1:30" ht="12.75" customHeight="1" x14ac:dyDescent="0.2">
      <c r="A19" s="101">
        <f t="shared" si="0"/>
        <v>2023</v>
      </c>
      <c r="B19" s="102">
        <f>'Table 2A BaseLoad'!B19-Solar_Tracking_integr_cost</f>
        <v>42.404283302783504</v>
      </c>
      <c r="C19" s="103">
        <f>'Table 2A BaseLoad'!C19-Solar_Tracking_integr_cost</f>
        <v>41.727772740963552</v>
      </c>
      <c r="D19" s="103">
        <f>'Table 2A BaseLoad'!D19-Solar_Tracking_integr_cost</f>
        <v>41.483483539493292</v>
      </c>
      <c r="E19" s="103">
        <f>'Table 2A BaseLoad'!E19-Solar_Tracking_integr_cost</f>
        <v>39.616631367490186</v>
      </c>
      <c r="F19" s="104">
        <f>'Table 2A BaseLoad'!F19-Solar_Tracking_integr_cost</f>
        <v>39.176379189011008</v>
      </c>
      <c r="G19" s="103">
        <f>'Table 2A BaseLoad'!G19-Solar_Tracking_integr_cost</f>
        <v>42.492558627550039</v>
      </c>
      <c r="H19" s="103">
        <f>'Table 2A BaseLoad'!H19-Solar_Tracking_integr_cost</f>
        <v>50.888545333700392</v>
      </c>
      <c r="I19" s="103">
        <f>'Table 2A BaseLoad'!I19-Solar_Tracking_integr_cost</f>
        <v>49.933707789693131</v>
      </c>
      <c r="J19" s="104">
        <f>'Table 2A BaseLoad'!J19-Solar_Tracking_integr_cost</f>
        <v>42.182872169720298</v>
      </c>
      <c r="K19" s="103">
        <f>'Table 2A BaseLoad'!K19-Solar_Tracking_integr_cost</f>
        <v>42.845714796900509</v>
      </c>
      <c r="L19" s="103">
        <f>'Table 2A BaseLoad'!L19-Solar_Tracking_integr_cost</f>
        <v>44.270152115988587</v>
      </c>
      <c r="M19" s="104">
        <f>'Table 2A BaseLoad'!M19-Solar_Tracking_integr_cost</f>
        <v>46.567593000178697</v>
      </c>
    </row>
    <row r="20" spans="1:30" ht="12.75" customHeight="1" x14ac:dyDescent="0.2">
      <c r="A20" s="101">
        <f t="shared" si="0"/>
        <v>2024</v>
      </c>
      <c r="B20" s="102">
        <f>'Table 2A BaseLoad'!B20-Solar_Tracking_integr_cost</f>
        <v>44.867203910579299</v>
      </c>
      <c r="C20" s="103">
        <f>'Table 2A BaseLoad'!C20-Solar_Tracking_integr_cost</f>
        <v>44.091862486497213</v>
      </c>
      <c r="D20" s="103">
        <f>'Table 2A BaseLoad'!D20-Solar_Tracking_integr_cost</f>
        <v>43.533275263384532</v>
      </c>
      <c r="E20" s="103">
        <f>'Table 2A BaseLoad'!E20-Solar_Tracking_integr_cost</f>
        <v>41.665786154624683</v>
      </c>
      <c r="F20" s="104">
        <f>'Table 2A BaseLoad'!F20-Solar_Tracking_integr_cost</f>
        <v>39.937084608981827</v>
      </c>
      <c r="G20" s="103">
        <f>'Table 2A BaseLoad'!G20-Solar_Tracking_integr_cost</f>
        <v>43.759805974760084</v>
      </c>
      <c r="H20" s="103">
        <f>'Table 2A BaseLoad'!H20-Solar_Tracking_integr_cost</f>
        <v>53.315455422337216</v>
      </c>
      <c r="I20" s="103">
        <f>'Table 2A BaseLoad'!I20-Solar_Tracking_integr_cost</f>
        <v>54.265594049726452</v>
      </c>
      <c r="J20" s="104">
        <f>'Table 2A BaseLoad'!J20-Solar_Tracking_integr_cost</f>
        <v>45.590565191819508</v>
      </c>
      <c r="K20" s="103">
        <f>'Table 2A BaseLoad'!K20-Solar_Tracking_integr_cost</f>
        <v>45.190083438072058</v>
      </c>
      <c r="L20" s="103">
        <f>'Table 2A BaseLoad'!L20-Solar_Tracking_integr_cost</f>
        <v>45.942455598087562</v>
      </c>
      <c r="M20" s="104">
        <f>'Table 2A BaseLoad'!M20-Solar_Tracking_integr_cost</f>
        <v>46.977738824005947</v>
      </c>
    </row>
    <row r="21" spans="1:30" ht="12.75" customHeight="1" x14ac:dyDescent="0.2">
      <c r="A21" s="101">
        <f t="shared" si="0"/>
        <v>2025</v>
      </c>
      <c r="B21" s="102">
        <f>'Table 2A BaseLoad'!B21-Solar_Tracking_integr_cost</f>
        <v>48.359576799660786</v>
      </c>
      <c r="C21" s="103">
        <f>'Table 2A BaseLoad'!C21-Solar_Tracking_integr_cost</f>
        <v>46.995807264172974</v>
      </c>
      <c r="D21" s="103">
        <f>'Table 2A BaseLoad'!D21-Solar_Tracking_integr_cost</f>
        <v>45.472630929896525</v>
      </c>
      <c r="E21" s="103">
        <f>'Table 2A BaseLoad'!E21-Solar_Tracking_integr_cost</f>
        <v>42.67431533405226</v>
      </c>
      <c r="F21" s="104">
        <f>'Table 2A BaseLoad'!F21-Solar_Tracking_integr_cost</f>
        <v>42.219072718629228</v>
      </c>
      <c r="G21" s="103">
        <f>'Table 2A BaseLoad'!G21-Solar_Tracking_integr_cost</f>
        <v>46.827686618056042</v>
      </c>
      <c r="H21" s="103">
        <f>'Table 2A BaseLoad'!H21-Solar_Tracking_integr_cost</f>
        <v>56.565462090112611</v>
      </c>
      <c r="I21" s="103">
        <f>'Table 2A BaseLoad'!I21-Solar_Tracking_integr_cost</f>
        <v>57.884853195157199</v>
      </c>
      <c r="J21" s="104">
        <f>'Table 2A BaseLoad'!J21-Solar_Tracking_integr_cost</f>
        <v>49.462979818371494</v>
      </c>
      <c r="K21" s="103">
        <f>'Table 2A BaseLoad'!K21-Solar_Tracking_integr_cost</f>
        <v>46.692665423768467</v>
      </c>
      <c r="L21" s="103">
        <f>'Table 2A BaseLoad'!L21-Solar_Tracking_integr_cost</f>
        <v>48.155127792660053</v>
      </c>
      <c r="M21" s="104">
        <f>'Table 2A BaseLoad'!M21-Solar_Tracking_integr_cost</f>
        <v>49.338740853346607</v>
      </c>
    </row>
    <row r="22" spans="1:30" ht="12.75" customHeight="1" x14ac:dyDescent="0.2">
      <c r="A22" s="101">
        <f t="shared" si="0"/>
        <v>2026</v>
      </c>
      <c r="B22" s="102">
        <f>'Table 2A BaseLoad'!B22-Solar_Tracking_integr_cost</f>
        <v>49.875785714322312</v>
      </c>
      <c r="C22" s="103">
        <f>'Table 2A BaseLoad'!C22-Solar_Tracking_integr_cost</f>
        <v>48.520556492736347</v>
      </c>
      <c r="D22" s="103">
        <f>'Table 2A BaseLoad'!D22-Solar_Tracking_integr_cost</f>
        <v>46.840170336648683</v>
      </c>
      <c r="E22" s="103">
        <f>'Table 2A BaseLoad'!E22-Solar_Tracking_integr_cost</f>
        <v>44.988191407195444</v>
      </c>
      <c r="F22" s="104">
        <f>'Table 2A BaseLoad'!F22-Solar_Tracking_integr_cost</f>
        <v>43.958479038178432</v>
      </c>
      <c r="G22" s="103">
        <f>'Table 2A BaseLoad'!G22-Solar_Tracking_integr_cost</f>
        <v>49.512133965699789</v>
      </c>
      <c r="H22" s="103">
        <f>'Table 2A BaseLoad'!H22-Solar_Tracking_integr_cost</f>
        <v>59.417957891497473</v>
      </c>
      <c r="I22" s="103">
        <f>'Table 2A BaseLoad'!I22-Solar_Tracking_integr_cost</f>
        <v>60.935763496064006</v>
      </c>
      <c r="J22" s="104">
        <f>'Table 2A BaseLoad'!J22-Solar_Tracking_integr_cost</f>
        <v>51.881117628338835</v>
      </c>
      <c r="K22" s="103">
        <f>'Table 2A BaseLoad'!K22-Solar_Tracking_integr_cost</f>
        <v>48.610748679515666</v>
      </c>
      <c r="L22" s="103">
        <f>'Table 2A BaseLoad'!L22-Solar_Tracking_integr_cost</f>
        <v>50.11948226141805</v>
      </c>
      <c r="M22" s="104">
        <f>'Table 2A BaseLoad'!M22-Solar_Tracking_integr_cost</f>
        <v>52.107709675625415</v>
      </c>
    </row>
    <row r="23" spans="1:30" ht="12.75" hidden="1" customHeight="1" x14ac:dyDescent="0.2">
      <c r="A23" s="101"/>
      <c r="B23" s="102"/>
      <c r="C23" s="103"/>
      <c r="D23" s="103"/>
      <c r="E23" s="103"/>
      <c r="F23" s="104"/>
      <c r="G23" s="103"/>
      <c r="H23" s="103"/>
      <c r="I23" s="103"/>
      <c r="J23" s="104"/>
      <c r="K23" s="103"/>
      <c r="L23" s="103"/>
      <c r="M23" s="104"/>
    </row>
    <row r="24" spans="1:30" ht="12.75" hidden="1" customHeight="1" x14ac:dyDescent="0.2">
      <c r="A24" s="101"/>
      <c r="B24" s="102"/>
      <c r="C24" s="103"/>
      <c r="D24" s="103"/>
      <c r="E24" s="103"/>
      <c r="F24" s="104"/>
      <c r="G24" s="103"/>
      <c r="H24" s="103"/>
      <c r="I24" s="103"/>
      <c r="J24" s="104"/>
      <c r="K24" s="103"/>
      <c r="L24" s="103"/>
      <c r="M24" s="104"/>
    </row>
    <row r="25" spans="1:30" ht="12.75" hidden="1" customHeight="1" x14ac:dyDescent="0.2">
      <c r="A25" s="105"/>
      <c r="B25" s="106"/>
      <c r="C25" s="107"/>
      <c r="D25" s="107"/>
      <c r="E25" s="107"/>
      <c r="F25" s="108"/>
      <c r="G25" s="107"/>
      <c r="H25" s="107"/>
      <c r="I25" s="107"/>
      <c r="J25" s="108"/>
      <c r="K25" s="107"/>
      <c r="L25" s="107"/>
      <c r="M25" s="108"/>
    </row>
    <row r="26" spans="1:30" ht="12.75" customHeight="1" x14ac:dyDescent="0.2">
      <c r="A26" s="218"/>
      <c r="B26" s="216"/>
      <c r="C26" s="216"/>
      <c r="D26" s="216"/>
      <c r="E26" s="216"/>
      <c r="F26" s="215"/>
      <c r="G26" s="215"/>
      <c r="H26" s="215"/>
      <c r="I26" s="215"/>
      <c r="J26" s="217"/>
      <c r="K26" s="215"/>
      <c r="L26" s="215"/>
      <c r="M26" s="215"/>
    </row>
    <row r="27" spans="1:30" ht="12.75" customHeight="1" x14ac:dyDescent="0.2">
      <c r="A27" s="13" t="s">
        <v>315</v>
      </c>
      <c r="C27" s="88"/>
      <c r="D27" s="88"/>
      <c r="E27" s="88"/>
      <c r="G27" s="88"/>
      <c r="H27" s="88"/>
      <c r="I27" s="88"/>
      <c r="J27" s="96"/>
      <c r="L27" s="88"/>
      <c r="M27" s="70"/>
    </row>
    <row r="28" spans="1:30" ht="12.75" customHeight="1" x14ac:dyDescent="0.2">
      <c r="A28" s="97">
        <f>'Tables 3 to 6'!$B$13</f>
        <v>2014</v>
      </c>
      <c r="B28" s="98"/>
      <c r="C28" s="99"/>
      <c r="D28" s="99"/>
      <c r="E28" s="99"/>
      <c r="F28" s="100"/>
      <c r="G28" s="99"/>
      <c r="H28" s="99">
        <f>'Table 2A BaseLoad'!H28-Solar_Tracking_integr_cost</f>
        <v>21.918581269815075</v>
      </c>
      <c r="I28" s="99">
        <f>'Table 2A BaseLoad'!I28-Solar_Tracking_integr_cost</f>
        <v>27.474403808474793</v>
      </c>
      <c r="J28" s="100">
        <f>'Table 2A BaseLoad'!J28-Solar_Tracking_integr_cost</f>
        <v>21.32572803655016</v>
      </c>
      <c r="K28" s="98">
        <f>'Table 2A BaseLoad'!K28-Solar_Tracking_integr_cost</f>
        <v>21.46102406655589</v>
      </c>
      <c r="L28" s="99">
        <f>'Table 2A BaseLoad'!L28-Solar_Tracking_integr_cost</f>
        <v>24.956984834838885</v>
      </c>
      <c r="M28" s="100">
        <f>'Table 2A BaseLoad'!M28-Solar_Tracking_integr_cost</f>
        <v>21.804243819046071</v>
      </c>
      <c r="O28" s="67"/>
    </row>
    <row r="29" spans="1:30" ht="12.75" customHeight="1" x14ac:dyDescent="0.2">
      <c r="A29" s="101">
        <f t="shared" ref="A29:A40" si="1">A28+1</f>
        <v>2015</v>
      </c>
      <c r="B29" s="102">
        <f>'Table 2A BaseLoad'!B29-Solar_Tracking_integr_cost</f>
        <v>29.408228683848613</v>
      </c>
      <c r="C29" s="103">
        <f>'Table 2A BaseLoad'!C29-Solar_Tracking_integr_cost</f>
        <v>29.708924407748352</v>
      </c>
      <c r="D29" s="103">
        <f>'Table 2A BaseLoad'!D29-Solar_Tracking_integr_cost</f>
        <v>34.793078391855417</v>
      </c>
      <c r="E29" s="103">
        <f>'Table 2A BaseLoad'!E29-Solar_Tracking_integr_cost</f>
        <v>21.154869133645185</v>
      </c>
      <c r="F29" s="103">
        <f>'Table 2A BaseLoad'!F29-Solar_Tracking_integr_cost</f>
        <v>16.996969073360724</v>
      </c>
      <c r="G29" s="102">
        <f>'Table 2A BaseLoad'!G29-Solar_Tracking_integr_cost</f>
        <v>17.859695758171267</v>
      </c>
      <c r="H29" s="103">
        <f>'Table 2A BaseLoad'!H29-Solar_Tracking_integr_cost</f>
        <v>23.376325684611587</v>
      </c>
      <c r="I29" s="103">
        <f>'Table 2A BaseLoad'!I29-Solar_Tracking_integr_cost</f>
        <v>25.428218787860338</v>
      </c>
      <c r="J29" s="104">
        <f>'Table 2A BaseLoad'!J29-Solar_Tracking_integr_cost</f>
        <v>24.27841375588142</v>
      </c>
      <c r="K29" s="102">
        <f>'Table 2A BaseLoad'!K29-Solar_Tracking_integr_cost</f>
        <v>22.998881595049745</v>
      </c>
      <c r="L29" s="103">
        <f>'Table 2A BaseLoad'!L29-Solar_Tracking_integr_cost</f>
        <v>24.971796948368318</v>
      </c>
      <c r="M29" s="104">
        <f>'Table 2A BaseLoad'!M29-Solar_Tracking_integr_cost</f>
        <v>30.862677625168672</v>
      </c>
      <c r="O29" s="67"/>
    </row>
    <row r="30" spans="1:30" ht="12.75" customHeight="1" x14ac:dyDescent="0.2">
      <c r="A30" s="101">
        <f t="shared" si="1"/>
        <v>2016</v>
      </c>
      <c r="B30" s="102">
        <f>'Table 2A BaseLoad'!B30-Solar_Tracking_integr_cost</f>
        <v>25.117040771707863</v>
      </c>
      <c r="C30" s="103">
        <f>'Table 2A BaseLoad'!C30-Solar_Tracking_integr_cost</f>
        <v>27.391525588809401</v>
      </c>
      <c r="D30" s="103">
        <f>'Table 2A BaseLoad'!D30-Solar_Tracking_integr_cost</f>
        <v>28.672595139713952</v>
      </c>
      <c r="E30" s="103">
        <f>'Table 2A BaseLoad'!E30-Solar_Tracking_integr_cost</f>
        <v>22.299730952279873</v>
      </c>
      <c r="F30" s="103">
        <f>'Table 2A BaseLoad'!F30-Solar_Tracking_integr_cost</f>
        <v>17.316261134149755</v>
      </c>
      <c r="G30" s="102">
        <f>'Table 2A BaseLoad'!G30-Solar_Tracking_integr_cost</f>
        <v>16.810887721899153</v>
      </c>
      <c r="H30" s="103">
        <f>'Table 2A BaseLoad'!H30-Solar_Tracking_integr_cost</f>
        <v>22.884767233200947</v>
      </c>
      <c r="I30" s="103">
        <f>'Table 2A BaseLoad'!I30-Solar_Tracking_integr_cost</f>
        <v>25.141803042036397</v>
      </c>
      <c r="J30" s="104">
        <f>'Table 2A BaseLoad'!J30-Solar_Tracking_integr_cost</f>
        <v>22.946848697577337</v>
      </c>
      <c r="K30" s="102">
        <f>'Table 2A BaseLoad'!K30-Solar_Tracking_integr_cost</f>
        <v>22.688490366904738</v>
      </c>
      <c r="L30" s="103">
        <f>'Table 2A BaseLoad'!L30-Solar_Tracking_integr_cost</f>
        <v>19.426255996328344</v>
      </c>
      <c r="M30" s="104">
        <f>'Table 2A BaseLoad'!M30-Solar_Tracking_integr_cost</f>
        <v>27.308062723760361</v>
      </c>
      <c r="N30" s="246"/>
      <c r="O30" s="67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30" ht="12.75" customHeight="1" x14ac:dyDescent="0.2">
      <c r="A31" s="101">
        <f t="shared" si="1"/>
        <v>2017</v>
      </c>
      <c r="B31" s="102">
        <f>'Table 2A BaseLoad'!B31-Solar_Tracking_integr_cost</f>
        <v>24.591878962969449</v>
      </c>
      <c r="C31" s="103">
        <f>'Table 2A BaseLoad'!C31-Solar_Tracking_integr_cost</f>
        <v>27.427149473072532</v>
      </c>
      <c r="D31" s="103">
        <f>'Table 2A BaseLoad'!D31-Solar_Tracking_integr_cost</f>
        <v>28.307854582934027</v>
      </c>
      <c r="E31" s="103">
        <f>'Table 2A BaseLoad'!E31-Solar_Tracking_integr_cost</f>
        <v>22.332842797058127</v>
      </c>
      <c r="F31" s="103">
        <f>'Table 2A BaseLoad'!F31-Solar_Tracking_integr_cost</f>
        <v>18.798969915059139</v>
      </c>
      <c r="G31" s="102">
        <f>'Table 2A BaseLoad'!G31-Solar_Tracking_integr_cost</f>
        <v>18.0504305644473</v>
      </c>
      <c r="H31" s="103">
        <f>'Table 2A BaseLoad'!H31-Solar_Tracking_integr_cost</f>
        <v>24.607424028084083</v>
      </c>
      <c r="I31" s="103">
        <f>'Table 2A BaseLoad'!I31-Solar_Tracking_integr_cost</f>
        <v>27.025405139994096</v>
      </c>
      <c r="J31" s="104">
        <f>'Table 2A BaseLoad'!J31-Solar_Tracking_integr_cost</f>
        <v>25.92677776927756</v>
      </c>
      <c r="K31" s="102">
        <f>'Table 2A BaseLoad'!K31-Solar_Tracking_integr_cost</f>
        <v>23.510323157465262</v>
      </c>
      <c r="L31" s="103">
        <f>'Table 2A BaseLoad'!L31-Solar_Tracking_integr_cost</f>
        <v>24.065605191943774</v>
      </c>
      <c r="M31" s="104">
        <f>'Table 2A BaseLoad'!M31-Solar_Tracking_integr_cost</f>
        <v>26.279653468239083</v>
      </c>
      <c r="N31" s="246"/>
      <c r="O31" s="67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</row>
    <row r="32" spans="1:30" ht="12.75" customHeight="1" x14ac:dyDescent="0.2">
      <c r="A32" s="101">
        <f t="shared" si="1"/>
        <v>2018</v>
      </c>
      <c r="B32" s="102">
        <f>'Table 2A BaseLoad'!B32-Solar_Tracking_integr_cost</f>
        <v>25.519585217378754</v>
      </c>
      <c r="C32" s="103">
        <f>'Table 2A BaseLoad'!C32-Solar_Tracking_integr_cost</f>
        <v>26.24221046655255</v>
      </c>
      <c r="D32" s="103">
        <f>'Table 2A BaseLoad'!D32-Solar_Tracking_integr_cost</f>
        <v>29.499852448805321</v>
      </c>
      <c r="E32" s="103">
        <f>'Table 2A BaseLoad'!E32-Solar_Tracking_integr_cost</f>
        <v>24.844759992950269</v>
      </c>
      <c r="F32" s="103">
        <f>'Table 2A BaseLoad'!F32-Solar_Tracking_integr_cost</f>
        <v>20.545890480546184</v>
      </c>
      <c r="G32" s="102">
        <f>'Table 2A BaseLoad'!G32-Solar_Tracking_integr_cost</f>
        <v>20.215410126189237</v>
      </c>
      <c r="H32" s="103">
        <f>'Table 2A BaseLoad'!H32-Solar_Tracking_integr_cost</f>
        <v>26.974303310531656</v>
      </c>
      <c r="I32" s="103">
        <f>'Table 2A BaseLoad'!I32-Solar_Tracking_integr_cost</f>
        <v>29.338996740994727</v>
      </c>
      <c r="J32" s="104">
        <f>'Table 2A BaseLoad'!J32-Solar_Tracking_integr_cost</f>
        <v>26.498484043174273</v>
      </c>
      <c r="K32" s="102">
        <f>'Table 2A BaseLoad'!K32-Solar_Tracking_integr_cost</f>
        <v>26.656876523211331</v>
      </c>
      <c r="L32" s="103">
        <f>'Table 2A BaseLoad'!L32-Solar_Tracking_integr_cost</f>
        <v>31.922484337111072</v>
      </c>
      <c r="M32" s="104">
        <f>'Table 2A BaseLoad'!M32-Solar_Tracking_integr_cost</f>
        <v>27.874292574180458</v>
      </c>
      <c r="N32" s="246"/>
      <c r="O32" s="67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2.75" customHeight="1" x14ac:dyDescent="0.2">
      <c r="A33" s="101">
        <f t="shared" si="1"/>
        <v>2019</v>
      </c>
      <c r="B33" s="102">
        <f>'Table 2A BaseLoad'!B33-Solar_Tracking_integr_cost</f>
        <v>27.501804696107456</v>
      </c>
      <c r="C33" s="103">
        <f>'Table 2A BaseLoad'!C33-Solar_Tracking_integr_cost</f>
        <v>28.305944348024777</v>
      </c>
      <c r="D33" s="103">
        <f>'Table 2A BaseLoad'!D33-Solar_Tracking_integr_cost</f>
        <v>30.51307493145643</v>
      </c>
      <c r="E33" s="103">
        <f>'Table 2A BaseLoad'!E33-Solar_Tracking_integr_cost</f>
        <v>28.046449925540873</v>
      </c>
      <c r="F33" s="103">
        <f>'Table 2A BaseLoad'!F33-Solar_Tracking_integr_cost</f>
        <v>22.312838357120214</v>
      </c>
      <c r="G33" s="102">
        <f>'Table 2A BaseLoad'!G33-Solar_Tracking_integr_cost</f>
        <v>22.079631599508165</v>
      </c>
      <c r="H33" s="103">
        <f>'Table 2A BaseLoad'!H33-Solar_Tracking_integr_cost</f>
        <v>28.623859378396318</v>
      </c>
      <c r="I33" s="103">
        <f>'Table 2A BaseLoad'!I33-Solar_Tracking_integr_cost</f>
        <v>31.370025788751853</v>
      </c>
      <c r="J33" s="104">
        <f>'Table 2A BaseLoad'!J33-Solar_Tracking_integr_cost</f>
        <v>28.82944274064781</v>
      </c>
      <c r="K33" s="102">
        <f>'Table 2A BaseLoad'!K33-Solar_Tracking_integr_cost</f>
        <v>29.533142034682388</v>
      </c>
      <c r="L33" s="103">
        <f>'Table 2A BaseLoad'!L33-Solar_Tracking_integr_cost</f>
        <v>28.386951310466319</v>
      </c>
      <c r="M33" s="104">
        <f>'Table 2A BaseLoad'!M33-Solar_Tracking_integr_cost</f>
        <v>30.413183932917534</v>
      </c>
      <c r="N33" s="246"/>
      <c r="O33" s="67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2.75" customHeight="1" x14ac:dyDescent="0.2">
      <c r="A34" s="101">
        <f t="shared" si="1"/>
        <v>2020</v>
      </c>
      <c r="B34" s="102">
        <f>'Table 2A BaseLoad'!B34-Solar_Tracking_integr_cost</f>
        <v>32.106585125366081</v>
      </c>
      <c r="C34" s="103">
        <f>'Table 2A BaseLoad'!C34-Solar_Tracking_integr_cost</f>
        <v>30.369753819440113</v>
      </c>
      <c r="D34" s="103">
        <f>'Table 2A BaseLoad'!D34-Solar_Tracking_integr_cost</f>
        <v>31.943904395401205</v>
      </c>
      <c r="E34" s="103">
        <f>'Table 2A BaseLoad'!E34-Solar_Tracking_integr_cost</f>
        <v>30.616749138342804</v>
      </c>
      <c r="F34" s="103">
        <f>'Table 2A BaseLoad'!F34-Solar_Tracking_integr_cost</f>
        <v>28.459546820323609</v>
      </c>
      <c r="G34" s="102">
        <f>'Table 2A BaseLoad'!G34-Solar_Tracking_integr_cost</f>
        <v>30.089028322333171</v>
      </c>
      <c r="H34" s="103">
        <f>'Table 2A BaseLoad'!H34-Solar_Tracking_integr_cost</f>
        <v>37.118962694037386</v>
      </c>
      <c r="I34" s="103">
        <f>'Table 2A BaseLoad'!I34-Solar_Tracking_integr_cost</f>
        <v>37.412094425975205</v>
      </c>
      <c r="J34" s="104">
        <f>'Table 2A BaseLoad'!J34-Solar_Tracking_integr_cost</f>
        <v>34.844259210702617</v>
      </c>
      <c r="K34" s="102">
        <f>'Table 2A BaseLoad'!K34-Solar_Tracking_integr_cost</f>
        <v>32.427002977040921</v>
      </c>
      <c r="L34" s="103">
        <f>'Table 2A BaseLoad'!L34-Solar_Tracking_integr_cost</f>
        <v>32.984021089896025</v>
      </c>
      <c r="M34" s="104">
        <f>'Table 2A BaseLoad'!M34-Solar_Tracking_integr_cost</f>
        <v>32.961789476269054</v>
      </c>
      <c r="N34" s="246"/>
      <c r="O34" s="67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12.75" customHeight="1" x14ac:dyDescent="0.2">
      <c r="A35" s="101">
        <f t="shared" si="1"/>
        <v>2021</v>
      </c>
      <c r="B35" s="102">
        <f>'Table 2A BaseLoad'!B35-Solar_Tracking_integr_cost</f>
        <v>35.141769392877421</v>
      </c>
      <c r="C35" s="103">
        <f>'Table 2A BaseLoad'!C35-Solar_Tracking_integr_cost</f>
        <v>36.938709545079824</v>
      </c>
      <c r="D35" s="103">
        <f>'Table 2A BaseLoad'!D35-Solar_Tracking_integr_cost</f>
        <v>35.60699265611494</v>
      </c>
      <c r="E35" s="103">
        <f>'Table 2A BaseLoad'!E35-Solar_Tracking_integr_cost</f>
        <v>34.1005777338097</v>
      </c>
      <c r="F35" s="103">
        <f>'Table 2A BaseLoad'!F35-Solar_Tracking_integr_cost</f>
        <v>34.310114686978764</v>
      </c>
      <c r="G35" s="102">
        <f>'Table 2A BaseLoad'!G35-Solar_Tracking_integr_cost</f>
        <v>35.416426862051686</v>
      </c>
      <c r="H35" s="103">
        <f>'Table 2A BaseLoad'!H35-Solar_Tracking_integr_cost</f>
        <v>41.000284598639773</v>
      </c>
      <c r="I35" s="103">
        <f>'Table 2A BaseLoad'!I35-Solar_Tracking_integr_cost</f>
        <v>41.520683022590958</v>
      </c>
      <c r="J35" s="104">
        <f>'Table 2A BaseLoad'!J35-Solar_Tracking_integr_cost</f>
        <v>39.280195667108089</v>
      </c>
      <c r="K35" s="102">
        <f>'Table 2A BaseLoad'!K35-Solar_Tracking_integr_cost</f>
        <v>38.09987226804914</v>
      </c>
      <c r="L35" s="103">
        <f>'Table 2A BaseLoad'!L35-Solar_Tracking_integr_cost</f>
        <v>41.21237099887103</v>
      </c>
      <c r="M35" s="104">
        <f>'Table 2A BaseLoad'!M35-Solar_Tracking_integr_cost</f>
        <v>41.938227228028474</v>
      </c>
      <c r="N35" s="246"/>
      <c r="O35" s="67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2.75" customHeight="1" x14ac:dyDescent="0.2">
      <c r="A36" s="101">
        <f t="shared" si="1"/>
        <v>2022</v>
      </c>
      <c r="B36" s="102">
        <f>'Table 2A BaseLoad'!B36-Solar_Tracking_integr_cost</f>
        <v>39.660636437662284</v>
      </c>
      <c r="C36" s="103">
        <f>'Table 2A BaseLoad'!C36-Solar_Tracking_integr_cost</f>
        <v>39.214389831842681</v>
      </c>
      <c r="D36" s="103">
        <f>'Table 2A BaseLoad'!D36-Solar_Tracking_integr_cost</f>
        <v>39.259171770368262</v>
      </c>
      <c r="E36" s="103">
        <f>'Table 2A BaseLoad'!E36-Solar_Tracking_integr_cost</f>
        <v>35.783731637167442</v>
      </c>
      <c r="F36" s="103">
        <f>'Table 2A BaseLoad'!F36-Solar_Tracking_integr_cost</f>
        <v>35.42143748370404</v>
      </c>
      <c r="G36" s="102">
        <f>'Table 2A BaseLoad'!G36-Solar_Tracking_integr_cost</f>
        <v>36.994649976742785</v>
      </c>
      <c r="H36" s="103">
        <f>'Table 2A BaseLoad'!H36-Solar_Tracking_integr_cost</f>
        <v>42.466493805510432</v>
      </c>
      <c r="I36" s="103">
        <f>'Table 2A BaseLoad'!I36-Solar_Tracking_integr_cost</f>
        <v>41.551593390941413</v>
      </c>
      <c r="J36" s="104">
        <f>'Table 2A BaseLoad'!J36-Solar_Tracking_integr_cost</f>
        <v>39.317797778561847</v>
      </c>
      <c r="K36" s="102">
        <f>'Table 2A BaseLoad'!K36-Solar_Tracking_integr_cost</f>
        <v>38.582553587826119</v>
      </c>
      <c r="L36" s="103">
        <f>'Table 2A BaseLoad'!L36-Solar_Tracking_integr_cost</f>
        <v>39.395442171446675</v>
      </c>
      <c r="M36" s="104">
        <f>'Table 2A BaseLoad'!M36-Solar_Tracking_integr_cost</f>
        <v>41.793211253807179</v>
      </c>
      <c r="N36" s="246"/>
      <c r="O36" s="67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2.75" customHeight="1" x14ac:dyDescent="0.2">
      <c r="A37" s="101">
        <f t="shared" si="1"/>
        <v>2023</v>
      </c>
      <c r="B37" s="102">
        <f>'Table 2A BaseLoad'!B37-Solar_Tracking_integr_cost</f>
        <v>40.896611033749636</v>
      </c>
      <c r="C37" s="103">
        <f>'Table 2A BaseLoad'!C37-Solar_Tracking_integr_cost</f>
        <v>40.566101302206903</v>
      </c>
      <c r="D37" s="103">
        <f>'Table 2A BaseLoad'!D37-Solar_Tracking_integr_cost</f>
        <v>40.3156249255427</v>
      </c>
      <c r="E37" s="103">
        <f>'Table 2A BaseLoad'!E37-Solar_Tracking_integr_cost</f>
        <v>38.52305295903173</v>
      </c>
      <c r="F37" s="103">
        <f>'Table 2A BaseLoad'!F37-Solar_Tracking_integr_cost</f>
        <v>36.67898402237163</v>
      </c>
      <c r="G37" s="102">
        <f>'Table 2A BaseLoad'!G37-Solar_Tracking_integr_cost</f>
        <v>37.586071014007956</v>
      </c>
      <c r="H37" s="103">
        <f>'Table 2A BaseLoad'!H37-Solar_Tracking_integr_cost</f>
        <v>43.578597142143046</v>
      </c>
      <c r="I37" s="103">
        <f>'Table 2A BaseLoad'!I37-Solar_Tracking_integr_cost</f>
        <v>42.871005485256568</v>
      </c>
      <c r="J37" s="104">
        <f>'Table 2A BaseLoad'!J37-Solar_Tracking_integr_cost</f>
        <v>39.722971397235156</v>
      </c>
      <c r="K37" s="102">
        <f>'Table 2A BaseLoad'!K37-Solar_Tracking_integr_cost</f>
        <v>40.009303169175922</v>
      </c>
      <c r="L37" s="103">
        <f>'Table 2A BaseLoad'!L37-Solar_Tracking_integr_cost</f>
        <v>42.179032819577806</v>
      </c>
      <c r="M37" s="104">
        <f>'Table 2A BaseLoad'!M37-Solar_Tracking_integr_cost</f>
        <v>44.682934302116827</v>
      </c>
      <c r="N37" s="246"/>
      <c r="O37" s="67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12.75" customHeight="1" x14ac:dyDescent="0.2">
      <c r="A38" s="101">
        <f t="shared" si="1"/>
        <v>2024</v>
      </c>
      <c r="B38" s="102">
        <f>'Table 2A BaseLoad'!B38-Solar_Tracking_integr_cost</f>
        <v>43.285527479269739</v>
      </c>
      <c r="C38" s="103">
        <f>'Table 2A BaseLoad'!C38-Solar_Tracking_integr_cost</f>
        <v>43.150227095945006</v>
      </c>
      <c r="D38" s="103">
        <f>'Table 2A BaseLoad'!D38-Solar_Tracking_integr_cost</f>
        <v>42.599759588936706</v>
      </c>
      <c r="E38" s="103">
        <f>'Table 2A BaseLoad'!E38-Solar_Tracking_integr_cost</f>
        <v>39.345256781834074</v>
      </c>
      <c r="F38" s="103">
        <f>'Table 2A BaseLoad'!F38-Solar_Tracking_integr_cost</f>
        <v>37.832965569096721</v>
      </c>
      <c r="G38" s="102">
        <f>'Table 2A BaseLoad'!G38-Solar_Tracking_integr_cost</f>
        <v>39.517101000313424</v>
      </c>
      <c r="H38" s="103">
        <f>'Table 2A BaseLoad'!H38-Solar_Tracking_integr_cost</f>
        <v>45.566735958265852</v>
      </c>
      <c r="I38" s="103">
        <f>'Table 2A BaseLoad'!I38-Solar_Tracking_integr_cost</f>
        <v>46.124668700382003</v>
      </c>
      <c r="J38" s="103">
        <f>'Table 2A BaseLoad'!J38-Solar_Tracking_integr_cost</f>
        <v>41.294563164716116</v>
      </c>
      <c r="K38" s="102">
        <f>'Table 2A BaseLoad'!K38-Solar_Tracking_integr_cost</f>
        <v>42.710862922296556</v>
      </c>
      <c r="L38" s="103">
        <f>'Table 2A BaseLoad'!L38-Solar_Tracking_integr_cost</f>
        <v>43.487895571558056</v>
      </c>
      <c r="M38" s="104">
        <f>'Table 2A BaseLoad'!M38-Solar_Tracking_integr_cost</f>
        <v>45.189763169762777</v>
      </c>
      <c r="N38" s="246"/>
      <c r="O38" s="6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</row>
    <row r="39" spans="1:26" ht="12.75" customHeight="1" x14ac:dyDescent="0.2">
      <c r="A39" s="101">
        <f t="shared" si="1"/>
        <v>2025</v>
      </c>
      <c r="B39" s="102">
        <f>'Table 2A BaseLoad'!B39-Solar_Tracking_integr_cost</f>
        <v>46.401462028474874</v>
      </c>
      <c r="C39" s="103">
        <f>'Table 2A BaseLoad'!C39-Solar_Tracking_integr_cost</f>
        <v>45.634577189443178</v>
      </c>
      <c r="D39" s="103">
        <f>'Table 2A BaseLoad'!D39-Solar_Tracking_integr_cost</f>
        <v>43.950877912568259</v>
      </c>
      <c r="E39" s="103">
        <f>'Table 2A BaseLoad'!E39-Solar_Tracking_integr_cost</f>
        <v>40.821780628409634</v>
      </c>
      <c r="F39" s="103">
        <f>'Table 2A BaseLoad'!F39-Solar_Tracking_integr_cost</f>
        <v>40.131050125154715</v>
      </c>
      <c r="G39" s="102">
        <f>'Table 2A BaseLoad'!G39-Solar_Tracking_integr_cost</f>
        <v>41.761402852437598</v>
      </c>
      <c r="H39" s="103">
        <f>'Table 2A BaseLoad'!H39-Solar_Tracking_integr_cost</f>
        <v>48.006205635693668</v>
      </c>
      <c r="I39" s="103">
        <f>'Table 2A BaseLoad'!I39-Solar_Tracking_integr_cost</f>
        <v>49.333094465890298</v>
      </c>
      <c r="J39" s="103">
        <f>'Table 2A BaseLoad'!J39-Solar_Tracking_integr_cost</f>
        <v>44.425249155157481</v>
      </c>
      <c r="K39" s="102">
        <f>'Table 2A BaseLoad'!K39-Solar_Tracking_integr_cost</f>
        <v>44.247358406849493</v>
      </c>
      <c r="L39" s="103">
        <f>'Table 2A BaseLoad'!L39-Solar_Tracking_integr_cost</f>
        <v>45.679155742657414</v>
      </c>
      <c r="M39" s="104">
        <f>'Table 2A BaseLoad'!M39-Solar_Tracking_integr_cost</f>
        <v>47.289260161613178</v>
      </c>
      <c r="N39" s="246"/>
      <c r="O39" s="67"/>
    </row>
    <row r="40" spans="1:26" ht="12.75" customHeight="1" x14ac:dyDescent="0.2">
      <c r="A40" s="101">
        <f t="shared" si="1"/>
        <v>2026</v>
      </c>
      <c r="B40" s="102">
        <f>'Table 2A BaseLoad'!B40-Solar_Tracking_integr_cost</f>
        <v>48.320767737332226</v>
      </c>
      <c r="C40" s="103">
        <f>'Table 2A BaseLoad'!C40-Solar_Tracking_integr_cost</f>
        <v>47.737617898578314</v>
      </c>
      <c r="D40" s="103">
        <f>'Table 2A BaseLoad'!D40-Solar_Tracking_integr_cost</f>
        <v>45.604597628881145</v>
      </c>
      <c r="E40" s="103">
        <f>'Table 2A BaseLoad'!E40-Solar_Tracking_integr_cost</f>
        <v>44.122874650006104</v>
      </c>
      <c r="F40" s="103">
        <f>'Table 2A BaseLoad'!F40-Solar_Tracking_integr_cost</f>
        <v>41.829012147464269</v>
      </c>
      <c r="G40" s="102">
        <f>'Table 2A BaseLoad'!G40-Solar_Tracking_integr_cost</f>
        <v>44.008979889042976</v>
      </c>
      <c r="H40" s="103">
        <f>'Table 2A BaseLoad'!H40-Solar_Tracking_integr_cost</f>
        <v>50.192610604082304</v>
      </c>
      <c r="I40" s="103">
        <f>'Table 2A BaseLoad'!I40-Solar_Tracking_integr_cost</f>
        <v>51.846690831197741</v>
      </c>
      <c r="J40" s="103">
        <f>'Table 2A BaseLoad'!J40-Solar_Tracking_integr_cost</f>
        <v>47.424431152079386</v>
      </c>
      <c r="K40" s="102">
        <f>'Table 2A BaseLoad'!K40-Solar_Tracking_integr_cost</f>
        <v>45.815286837972124</v>
      </c>
      <c r="L40" s="103">
        <f>'Table 2A BaseLoad'!L40-Solar_Tracking_integr_cost</f>
        <v>47.59472588021427</v>
      </c>
      <c r="M40" s="104">
        <f>'Table 2A BaseLoad'!M40-Solar_Tracking_integr_cost</f>
        <v>49.975628265063364</v>
      </c>
      <c r="N40" s="246"/>
      <c r="O40" s="67"/>
    </row>
    <row r="41" spans="1:26" ht="12.75" hidden="1" customHeight="1" x14ac:dyDescent="0.2">
      <c r="A41" s="101"/>
      <c r="B41" s="102"/>
      <c r="C41" s="103"/>
      <c r="D41" s="103"/>
      <c r="E41" s="103"/>
      <c r="F41" s="103"/>
      <c r="G41" s="102"/>
      <c r="H41" s="103"/>
      <c r="I41" s="103"/>
      <c r="J41" s="103"/>
      <c r="K41" s="102"/>
      <c r="L41" s="103"/>
      <c r="M41" s="104"/>
    </row>
    <row r="42" spans="1:26" ht="12.75" hidden="1" customHeight="1" x14ac:dyDescent="0.2">
      <c r="A42" s="101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26" ht="12.75" hidden="1" customHeight="1" x14ac:dyDescent="0.2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26" ht="12.75" customHeight="1" x14ac:dyDescent="0.2">
      <c r="A44" s="218"/>
      <c r="B44" s="216"/>
      <c r="C44" s="216"/>
      <c r="D44" s="216"/>
      <c r="E44" s="216"/>
      <c r="F44" s="215"/>
      <c r="G44" s="215"/>
      <c r="H44" s="215"/>
      <c r="I44" s="215"/>
      <c r="J44" s="217"/>
      <c r="K44" s="215"/>
      <c r="L44" s="215"/>
      <c r="M44" s="215"/>
    </row>
    <row r="45" spans="1:26" ht="12.75" customHeight="1" x14ac:dyDescent="0.2">
      <c r="A45" s="13" t="s">
        <v>316</v>
      </c>
      <c r="C45" s="88"/>
      <c r="D45" s="88"/>
      <c r="E45" s="88"/>
      <c r="G45" s="88"/>
      <c r="H45" s="88"/>
      <c r="I45" s="88"/>
      <c r="J45" s="96"/>
      <c r="L45" s="88"/>
      <c r="M45" s="70"/>
    </row>
    <row r="46" spans="1:26" ht="12.75" customHeight="1" x14ac:dyDescent="0.2">
      <c r="A46" s="97">
        <f>'Tables 3 to 6'!$B$13</f>
        <v>2014</v>
      </c>
      <c r="B46" s="98"/>
      <c r="C46" s="99"/>
      <c r="D46" s="99"/>
      <c r="E46" s="99"/>
      <c r="F46" s="99"/>
      <c r="G46" s="98"/>
      <c r="H46" s="99">
        <f>H10*0.56+H28*0.44</f>
        <v>28.131249232216433</v>
      </c>
      <c r="I46" s="99">
        <f t="shared" ref="I46:M46" si="2">I10*0.56+I28*0.44</f>
        <v>36.329450853829577</v>
      </c>
      <c r="J46" s="99">
        <f t="shared" si="2"/>
        <v>26.975470895157947</v>
      </c>
      <c r="K46" s="98">
        <f t="shared" si="2"/>
        <v>24.639688490554196</v>
      </c>
      <c r="L46" s="99">
        <f t="shared" si="2"/>
        <v>28.234334456274635</v>
      </c>
      <c r="M46" s="100">
        <f t="shared" si="2"/>
        <v>24.865762000653724</v>
      </c>
    </row>
    <row r="47" spans="1:26" ht="12.75" customHeight="1" x14ac:dyDescent="0.2">
      <c r="A47" s="101">
        <f t="shared" ref="A47:A58" si="3">A46+1</f>
        <v>2015</v>
      </c>
      <c r="B47" s="102">
        <f>B11*0.56+B29*0.44</f>
        <v>33.764575445621162</v>
      </c>
      <c r="C47" s="103">
        <f t="shared" ref="C47:M47" si="4">C11*0.56+C29*0.44</f>
        <v>34.106740251443796</v>
      </c>
      <c r="D47" s="103">
        <f t="shared" si="4"/>
        <v>39.892052187985925</v>
      </c>
      <c r="E47" s="103">
        <f t="shared" si="4"/>
        <v>24.765999532939478</v>
      </c>
      <c r="F47" s="103">
        <f t="shared" si="4"/>
        <v>22.562845674648628</v>
      </c>
      <c r="G47" s="102">
        <f t="shared" si="4"/>
        <v>24.004421091267517</v>
      </c>
      <c r="H47" s="103">
        <f t="shared" si="4"/>
        <v>32.193174254570827</v>
      </c>
      <c r="I47" s="103">
        <f t="shared" si="4"/>
        <v>34.481542100275554</v>
      </c>
      <c r="J47" s="103">
        <f t="shared" si="4"/>
        <v>29.792173684811992</v>
      </c>
      <c r="K47" s="102">
        <f t="shared" si="4"/>
        <v>26.846050937689803</v>
      </c>
      <c r="L47" s="103">
        <f t="shared" si="4"/>
        <v>29.131918961642128</v>
      </c>
      <c r="M47" s="104">
        <f t="shared" si="4"/>
        <v>33.880291072945916</v>
      </c>
    </row>
    <row r="48" spans="1:26" ht="12.75" customHeight="1" x14ac:dyDescent="0.2">
      <c r="A48" s="101">
        <f t="shared" si="3"/>
        <v>2016</v>
      </c>
      <c r="B48" s="102">
        <f t="shared" ref="B48:M58" si="5">B12*0.56+B30*0.44</f>
        <v>28.479485913954356</v>
      </c>
      <c r="C48" s="103">
        <f t="shared" si="5"/>
        <v>31.029719343068983</v>
      </c>
      <c r="D48" s="103">
        <f t="shared" si="5"/>
        <v>32.463691002924854</v>
      </c>
      <c r="E48" s="103">
        <f t="shared" si="5"/>
        <v>25.951004848628379</v>
      </c>
      <c r="F48" s="103">
        <f t="shared" si="5"/>
        <v>22.805349548005736</v>
      </c>
      <c r="G48" s="102">
        <f t="shared" si="5"/>
        <v>22.443731255978378</v>
      </c>
      <c r="H48" s="103">
        <f t="shared" si="5"/>
        <v>31.34761078838747</v>
      </c>
      <c r="I48" s="103">
        <f t="shared" si="5"/>
        <v>33.903971916161474</v>
      </c>
      <c r="J48" s="103">
        <f t="shared" si="5"/>
        <v>28.026149234297364</v>
      </c>
      <c r="K48" s="102">
        <f t="shared" si="5"/>
        <v>26.714678739021767</v>
      </c>
      <c r="L48" s="103">
        <f t="shared" si="5"/>
        <v>22.937460803536545</v>
      </c>
      <c r="M48" s="104">
        <f t="shared" si="5"/>
        <v>30.264296246113055</v>
      </c>
    </row>
    <row r="49" spans="1:13" ht="12.75" customHeight="1" x14ac:dyDescent="0.2">
      <c r="A49" s="101">
        <f t="shared" si="3"/>
        <v>2017</v>
      </c>
      <c r="B49" s="102">
        <f t="shared" si="5"/>
        <v>27.831974515272734</v>
      </c>
      <c r="C49" s="103">
        <f t="shared" si="5"/>
        <v>31.005567538882737</v>
      </c>
      <c r="D49" s="103">
        <f t="shared" si="5"/>
        <v>31.987658458180043</v>
      </c>
      <c r="E49" s="103">
        <f t="shared" si="5"/>
        <v>25.900954689121406</v>
      </c>
      <c r="F49" s="103">
        <f t="shared" si="5"/>
        <v>24.423143143346628</v>
      </c>
      <c r="G49" s="102">
        <f t="shared" si="5"/>
        <v>23.722827768899069</v>
      </c>
      <c r="H49" s="103">
        <f t="shared" si="5"/>
        <v>33.280285277102919</v>
      </c>
      <c r="I49" s="103">
        <f t="shared" si="5"/>
        <v>36.013121449168402</v>
      </c>
      <c r="J49" s="103">
        <f t="shared" si="5"/>
        <v>31.423598677016891</v>
      </c>
      <c r="K49" s="102">
        <f t="shared" si="5"/>
        <v>27.556272389747427</v>
      </c>
      <c r="L49" s="103">
        <f t="shared" si="5"/>
        <v>28.211892238293444</v>
      </c>
      <c r="M49" s="104">
        <f t="shared" si="5"/>
        <v>29.102328565659718</v>
      </c>
    </row>
    <row r="50" spans="1:13" ht="12.75" customHeight="1" x14ac:dyDescent="0.2">
      <c r="A50" s="101">
        <f t="shared" si="3"/>
        <v>2018</v>
      </c>
      <c r="B50" s="102">
        <f t="shared" si="5"/>
        <v>28.900301480312542</v>
      </c>
      <c r="C50" s="103">
        <f t="shared" si="5"/>
        <v>29.707013266284676</v>
      </c>
      <c r="D50" s="103">
        <f t="shared" si="5"/>
        <v>33.357112637944773</v>
      </c>
      <c r="E50" s="103">
        <f t="shared" si="5"/>
        <v>28.770083181049579</v>
      </c>
      <c r="F50" s="103">
        <f t="shared" si="5"/>
        <v>26.431980717684496</v>
      </c>
      <c r="G50" s="102">
        <f t="shared" si="5"/>
        <v>26.247011094020614</v>
      </c>
      <c r="H50" s="103">
        <f t="shared" si="5"/>
        <v>36.10289595058056</v>
      </c>
      <c r="I50" s="103">
        <f t="shared" si="5"/>
        <v>38.732205926276222</v>
      </c>
      <c r="J50" s="103">
        <f t="shared" si="5"/>
        <v>32.014728104348322</v>
      </c>
      <c r="K50" s="102">
        <f t="shared" si="5"/>
        <v>31.169137225324491</v>
      </c>
      <c r="L50" s="103">
        <f t="shared" si="5"/>
        <v>37.273811759784444</v>
      </c>
      <c r="M50" s="104">
        <f t="shared" si="5"/>
        <v>30.92499798358979</v>
      </c>
    </row>
    <row r="51" spans="1:13" ht="12.75" customHeight="1" x14ac:dyDescent="0.2">
      <c r="A51" s="101">
        <f t="shared" si="3"/>
        <v>2019</v>
      </c>
      <c r="B51" s="102">
        <f t="shared" si="5"/>
        <v>30.939076908350557</v>
      </c>
      <c r="C51" s="103">
        <f t="shared" si="5"/>
        <v>31.830512881680285</v>
      </c>
      <c r="D51" s="103">
        <f t="shared" si="5"/>
        <v>34.286459172796839</v>
      </c>
      <c r="E51" s="103">
        <f t="shared" si="5"/>
        <v>32.203735150683812</v>
      </c>
      <c r="F51" s="103">
        <f t="shared" si="5"/>
        <v>28.236529228381087</v>
      </c>
      <c r="G51" s="102">
        <f t="shared" si="5"/>
        <v>28.135920450438082</v>
      </c>
      <c r="H51" s="103">
        <f t="shared" si="5"/>
        <v>37.740451448237103</v>
      </c>
      <c r="I51" s="103">
        <f t="shared" si="5"/>
        <v>40.820654422988319</v>
      </c>
      <c r="J51" s="103">
        <f t="shared" si="5"/>
        <v>34.467214303029699</v>
      </c>
      <c r="K51" s="102">
        <f t="shared" si="5"/>
        <v>34.223559184272233</v>
      </c>
      <c r="L51" s="103">
        <f t="shared" si="5"/>
        <v>32.916158319188952</v>
      </c>
      <c r="M51" s="104">
        <f t="shared" si="5"/>
        <v>33.543323898173938</v>
      </c>
    </row>
    <row r="52" spans="1:13" ht="12.75" customHeight="1" x14ac:dyDescent="0.2">
      <c r="A52" s="101">
        <f t="shared" si="3"/>
        <v>2020</v>
      </c>
      <c r="B52" s="102">
        <f t="shared" si="5"/>
        <v>36.351161716935678</v>
      </c>
      <c r="C52" s="103">
        <f t="shared" si="5"/>
        <v>34.395539322507069</v>
      </c>
      <c r="D52" s="103">
        <f t="shared" si="5"/>
        <v>36.160357538287627</v>
      </c>
      <c r="E52" s="103">
        <f t="shared" si="5"/>
        <v>35.36309120155741</v>
      </c>
      <c r="F52" s="103">
        <f t="shared" si="5"/>
        <v>32.255286772152068</v>
      </c>
      <c r="G52" s="102">
        <f t="shared" si="5"/>
        <v>34.217230443665883</v>
      </c>
      <c r="H52" s="103">
        <f t="shared" si="5"/>
        <v>43.948730889489447</v>
      </c>
      <c r="I52" s="103">
        <f t="shared" si="5"/>
        <v>43.860957369932009</v>
      </c>
      <c r="J52" s="103">
        <f t="shared" si="5"/>
        <v>38.613728859684841</v>
      </c>
      <c r="K52" s="102">
        <f t="shared" si="5"/>
        <v>35.335018718767216</v>
      </c>
      <c r="L52" s="103">
        <f t="shared" si="5"/>
        <v>35.890632751499787</v>
      </c>
      <c r="M52" s="104">
        <f t="shared" si="5"/>
        <v>34.767882159424985</v>
      </c>
    </row>
    <row r="53" spans="1:13" ht="12.75" customHeight="1" x14ac:dyDescent="0.2">
      <c r="A53" s="101">
        <f t="shared" si="3"/>
        <v>2021</v>
      </c>
      <c r="B53" s="102">
        <f t="shared" si="5"/>
        <v>37.731067695823313</v>
      </c>
      <c r="C53" s="103">
        <f t="shared" si="5"/>
        <v>39.454524977393326</v>
      </c>
      <c r="D53" s="103">
        <f t="shared" si="5"/>
        <v>38.337204470853763</v>
      </c>
      <c r="E53" s="103">
        <f t="shared" si="5"/>
        <v>37.17747474474902</v>
      </c>
      <c r="F53" s="103">
        <f t="shared" si="5"/>
        <v>35.696835857114337</v>
      </c>
      <c r="G53" s="102">
        <f t="shared" si="5"/>
        <v>37.398239638554415</v>
      </c>
      <c r="H53" s="103">
        <f t="shared" si="5"/>
        <v>44.479105827026963</v>
      </c>
      <c r="I53" s="103">
        <f t="shared" si="5"/>
        <v>44.789950539910571</v>
      </c>
      <c r="J53" s="103">
        <f t="shared" si="5"/>
        <v>40.937345714755978</v>
      </c>
      <c r="K53" s="102">
        <f t="shared" si="5"/>
        <v>39.391659583441367</v>
      </c>
      <c r="L53" s="103">
        <f t="shared" si="5"/>
        <v>42.557434200229849</v>
      </c>
      <c r="M53" s="104">
        <f t="shared" si="5"/>
        <v>42.677144392401743</v>
      </c>
    </row>
    <row r="54" spans="1:13" ht="12.75" customHeight="1" x14ac:dyDescent="0.2">
      <c r="A54" s="101">
        <f t="shared" si="3"/>
        <v>2022</v>
      </c>
      <c r="B54" s="102">
        <f t="shared" si="5"/>
        <v>40.608510650012938</v>
      </c>
      <c r="C54" s="103">
        <f t="shared" si="5"/>
        <v>39.782563211341269</v>
      </c>
      <c r="D54" s="103">
        <f t="shared" si="5"/>
        <v>40.305993086199734</v>
      </c>
      <c r="E54" s="103">
        <f t="shared" si="5"/>
        <v>36.924486635330169</v>
      </c>
      <c r="F54" s="103">
        <f t="shared" si="5"/>
        <v>36.509262271992377</v>
      </c>
      <c r="G54" s="102">
        <f t="shared" si="5"/>
        <v>39.539673496468403</v>
      </c>
      <c r="H54" s="103">
        <f t="shared" si="5"/>
        <v>46.249058573401172</v>
      </c>
      <c r="I54" s="103">
        <f t="shared" si="5"/>
        <v>45.374269761945889</v>
      </c>
      <c r="J54" s="103">
        <f t="shared" si="5"/>
        <v>41.237456922178154</v>
      </c>
      <c r="K54" s="102">
        <f t="shared" si="5"/>
        <v>40.031666822076566</v>
      </c>
      <c r="L54" s="103">
        <f t="shared" si="5"/>
        <v>40.576414642951434</v>
      </c>
      <c r="M54" s="104">
        <f t="shared" si="5"/>
        <v>42.792721741713578</v>
      </c>
    </row>
    <row r="55" spans="1:13" ht="12.75" customHeight="1" x14ac:dyDescent="0.2">
      <c r="A55" s="101">
        <f t="shared" si="3"/>
        <v>2023</v>
      </c>
      <c r="B55" s="102">
        <f t="shared" si="5"/>
        <v>41.740907504408604</v>
      </c>
      <c r="C55" s="103">
        <f t="shared" si="5"/>
        <v>41.216637307910631</v>
      </c>
      <c r="D55" s="103">
        <f t="shared" si="5"/>
        <v>40.969625749355032</v>
      </c>
      <c r="E55" s="103">
        <f t="shared" si="5"/>
        <v>39.135456867768468</v>
      </c>
      <c r="F55" s="103">
        <f t="shared" si="5"/>
        <v>38.077525315689684</v>
      </c>
      <c r="G55" s="102">
        <f t="shared" si="5"/>
        <v>40.333704077591527</v>
      </c>
      <c r="H55" s="103">
        <f t="shared" si="5"/>
        <v>47.672168129415169</v>
      </c>
      <c r="I55" s="103">
        <f t="shared" si="5"/>
        <v>46.826118775741044</v>
      </c>
      <c r="J55" s="103">
        <f t="shared" si="5"/>
        <v>41.10051582982684</v>
      </c>
      <c r="K55" s="102">
        <f t="shared" si="5"/>
        <v>41.597693680701695</v>
      </c>
      <c r="L55" s="103">
        <f t="shared" si="5"/>
        <v>43.350059625567852</v>
      </c>
      <c r="M55" s="104">
        <f t="shared" si="5"/>
        <v>45.738343173031481</v>
      </c>
    </row>
    <row r="56" spans="1:13" ht="12.75" customHeight="1" x14ac:dyDescent="0.2">
      <c r="A56" s="101">
        <f t="shared" si="3"/>
        <v>2024</v>
      </c>
      <c r="B56" s="102">
        <f t="shared" si="5"/>
        <v>44.171266280803096</v>
      </c>
      <c r="C56" s="103">
        <f t="shared" si="5"/>
        <v>43.677542914654246</v>
      </c>
      <c r="D56" s="103">
        <f t="shared" si="5"/>
        <v>43.122528366627492</v>
      </c>
      <c r="E56" s="103">
        <f t="shared" si="5"/>
        <v>40.64475323059682</v>
      </c>
      <c r="F56" s="103">
        <f t="shared" si="5"/>
        <v>39.011272231432386</v>
      </c>
      <c r="G56" s="102">
        <f t="shared" si="5"/>
        <v>41.893015786003559</v>
      </c>
      <c r="H56" s="103">
        <f t="shared" si="5"/>
        <v>49.906018858145821</v>
      </c>
      <c r="I56" s="103">
        <f t="shared" si="5"/>
        <v>50.683586896014901</v>
      </c>
      <c r="J56" s="103">
        <f t="shared" si="5"/>
        <v>43.700324299894021</v>
      </c>
      <c r="K56" s="102">
        <f t="shared" si="5"/>
        <v>44.099226411130843</v>
      </c>
      <c r="L56" s="103">
        <f t="shared" si="5"/>
        <v>44.86244918641458</v>
      </c>
      <c r="M56" s="104">
        <f t="shared" si="5"/>
        <v>46.191029536138956</v>
      </c>
    </row>
    <row r="57" spans="1:13" ht="12.75" customHeight="1" x14ac:dyDescent="0.2">
      <c r="A57" s="101">
        <f t="shared" si="3"/>
        <v>2025</v>
      </c>
      <c r="B57" s="102">
        <f t="shared" si="5"/>
        <v>47.498006300338986</v>
      </c>
      <c r="C57" s="103">
        <f t="shared" si="5"/>
        <v>46.396866031291864</v>
      </c>
      <c r="D57" s="103">
        <f t="shared" si="5"/>
        <v>44.803059602272086</v>
      </c>
      <c r="E57" s="103">
        <f t="shared" si="5"/>
        <v>41.859200063569503</v>
      </c>
      <c r="F57" s="103">
        <f t="shared" si="5"/>
        <v>41.300342777500447</v>
      </c>
      <c r="G57" s="102">
        <f t="shared" si="5"/>
        <v>44.598521761183932</v>
      </c>
      <c r="H57" s="103">
        <f t="shared" si="5"/>
        <v>52.799389250168275</v>
      </c>
      <c r="I57" s="103">
        <f t="shared" si="5"/>
        <v>54.122079354279762</v>
      </c>
      <c r="J57" s="103">
        <f t="shared" si="5"/>
        <v>47.246378326557334</v>
      </c>
      <c r="K57" s="102">
        <f t="shared" si="5"/>
        <v>45.616730336324125</v>
      </c>
      <c r="L57" s="103">
        <f t="shared" si="5"/>
        <v>47.065700090658893</v>
      </c>
      <c r="M57" s="104">
        <f t="shared" si="5"/>
        <v>48.436969348983901</v>
      </c>
    </row>
    <row r="58" spans="1:13" ht="12.75" customHeight="1" x14ac:dyDescent="0.2">
      <c r="A58" s="101">
        <f t="shared" si="3"/>
        <v>2026</v>
      </c>
      <c r="B58" s="102">
        <f t="shared" si="5"/>
        <v>49.19157780444668</v>
      </c>
      <c r="C58" s="103">
        <f t="shared" si="5"/>
        <v>48.176063511306815</v>
      </c>
      <c r="D58" s="103">
        <f t="shared" si="5"/>
        <v>46.296518345230972</v>
      </c>
      <c r="E58" s="103">
        <f t="shared" si="5"/>
        <v>44.607452034032136</v>
      </c>
      <c r="F58" s="103">
        <f t="shared" si="5"/>
        <v>43.021513606264207</v>
      </c>
      <c r="G58" s="102">
        <f t="shared" si="5"/>
        <v>47.090746171970792</v>
      </c>
      <c r="H58" s="103">
        <f t="shared" si="5"/>
        <v>55.358805085034803</v>
      </c>
      <c r="I58" s="103">
        <f t="shared" si="5"/>
        <v>56.936571523522858</v>
      </c>
      <c r="J58" s="103">
        <f t="shared" si="5"/>
        <v>49.920175578784679</v>
      </c>
      <c r="K58" s="102">
        <f t="shared" si="5"/>
        <v>47.380745469236508</v>
      </c>
      <c r="L58" s="103">
        <f t="shared" si="5"/>
        <v>49.008589453688387</v>
      </c>
      <c r="M58" s="104">
        <f t="shared" si="5"/>
        <v>51.169593854978118</v>
      </c>
    </row>
    <row r="59" spans="1:13" ht="12.75" hidden="1" customHeight="1" x14ac:dyDescent="0.2">
      <c r="A59" s="101"/>
      <c r="B59" s="102"/>
      <c r="C59" s="103"/>
      <c r="D59" s="103"/>
      <c r="E59" s="103"/>
      <c r="F59" s="103"/>
      <c r="G59" s="102"/>
      <c r="H59" s="103"/>
      <c r="I59" s="103"/>
      <c r="J59" s="103"/>
      <c r="K59" s="102"/>
      <c r="L59" s="103"/>
      <c r="M59" s="104"/>
    </row>
    <row r="60" spans="1:13" ht="12.75" hidden="1" customHeight="1" x14ac:dyDescent="0.2">
      <c r="A60" s="101"/>
      <c r="B60" s="102"/>
      <c r="C60" s="103"/>
      <c r="D60" s="103"/>
      <c r="E60" s="103"/>
      <c r="F60" s="103"/>
      <c r="G60" s="102"/>
      <c r="H60" s="103"/>
      <c r="I60" s="103"/>
      <c r="J60" s="103"/>
      <c r="K60" s="102"/>
      <c r="L60" s="103"/>
      <c r="M60" s="104"/>
    </row>
    <row r="61" spans="1:13" ht="12.75" hidden="1" customHeight="1" x14ac:dyDescent="0.2">
      <c r="A61" s="105"/>
      <c r="B61" s="106"/>
      <c r="C61" s="107"/>
      <c r="D61" s="107"/>
      <c r="E61" s="107"/>
      <c r="F61" s="107"/>
      <c r="G61" s="106"/>
      <c r="H61" s="107"/>
      <c r="I61" s="107"/>
      <c r="J61" s="107"/>
      <c r="K61" s="106"/>
      <c r="L61" s="107"/>
      <c r="M61" s="108"/>
    </row>
    <row r="62" spans="1:13" ht="12.75" customHeight="1" x14ac:dyDescent="0.2">
      <c r="A62" s="215"/>
      <c r="B62" s="216"/>
      <c r="C62" s="216"/>
      <c r="D62" s="216"/>
      <c r="E62" s="215"/>
      <c r="F62" s="215"/>
      <c r="G62" s="215"/>
      <c r="H62" s="215"/>
      <c r="I62" s="215"/>
      <c r="J62" s="215"/>
      <c r="K62" s="217"/>
      <c r="L62" s="215"/>
      <c r="M62" s="215"/>
    </row>
    <row r="63" spans="1:13" ht="12.75" customHeight="1" x14ac:dyDescent="0.2">
      <c r="A63" s="13" t="s">
        <v>69</v>
      </c>
      <c r="C63" s="110"/>
      <c r="D63" s="110"/>
      <c r="K63" s="109"/>
    </row>
    <row r="64" spans="1:13" ht="12.75" customHeight="1" x14ac:dyDescent="0.2">
      <c r="A64" s="111" t="s">
        <v>2</v>
      </c>
      <c r="C64" s="112" t="s">
        <v>60</v>
      </c>
      <c r="D64" s="58"/>
      <c r="E64" s="59"/>
      <c r="F64" s="70"/>
      <c r="G64" s="112" t="s">
        <v>61</v>
      </c>
      <c r="H64" s="58"/>
      <c r="I64" s="59"/>
      <c r="J64" s="70"/>
      <c r="K64" s="112" t="s">
        <v>70</v>
      </c>
      <c r="L64" s="58"/>
      <c r="M64" s="59"/>
    </row>
    <row r="65" spans="1:14" s="70" customFormat="1" ht="12.75" customHeight="1" x14ac:dyDescent="0.2">
      <c r="A65" s="95"/>
      <c r="C65" s="21" t="s">
        <v>82</v>
      </c>
      <c r="D65" s="22" t="s">
        <v>1</v>
      </c>
      <c r="E65" s="22" t="s">
        <v>10</v>
      </c>
      <c r="F65" s="95"/>
      <c r="G65" s="21" t="s">
        <v>82</v>
      </c>
      <c r="H65" s="22" t="s">
        <v>1</v>
      </c>
      <c r="I65" s="22" t="s">
        <v>10</v>
      </c>
      <c r="J65" s="95"/>
      <c r="K65" s="21" t="s">
        <v>82</v>
      </c>
      <c r="L65" s="22" t="s">
        <v>1</v>
      </c>
      <c r="M65" s="22" t="s">
        <v>10</v>
      </c>
      <c r="N65" s="88"/>
    </row>
    <row r="66" spans="1:14" s="70" customFormat="1" ht="12.75" customHeight="1" x14ac:dyDescent="0.2">
      <c r="A66" s="113">
        <f t="shared" ref="A66:A78" si="6">A10</f>
        <v>2014</v>
      </c>
      <c r="C66" s="77">
        <f>ROUND(AVERAGE(B10:F10,K10:M10),2)</f>
        <v>28.41</v>
      </c>
      <c r="D66" s="77">
        <f t="shared" ref="D66:D78" si="7">ROUND(AVERAGE(B28:F28,K28:M28),2)</f>
        <v>22.74</v>
      </c>
      <c r="E66" s="77">
        <f>ROUND(AVERAGE(B46:F46,K46:M46),2)</f>
        <v>25.91</v>
      </c>
      <c r="G66" s="103">
        <f t="shared" ref="G66:G78" si="8">ROUND(AVERAGE(G10:J10),2)</f>
        <v>35.9</v>
      </c>
      <c r="H66" s="103">
        <f t="shared" ref="H66:H78" si="9">ROUND(AVERAGE(G28:J28),2)</f>
        <v>23.57</v>
      </c>
      <c r="I66" s="103">
        <f>ROUND(AVERAGE(G46:J46),2)</f>
        <v>30.48</v>
      </c>
      <c r="K66" s="77">
        <f t="shared" ref="K66:K78" si="10">ROUND(AVERAGE(B10:M10),2)</f>
        <v>32.159999999999997</v>
      </c>
      <c r="L66" s="77">
        <f t="shared" ref="L66:L78" si="11">ROUND(AVERAGE(B28:M28),2)</f>
        <v>23.16</v>
      </c>
      <c r="M66" s="77">
        <f>ROUND(AVERAGE(B46:M46),2)</f>
        <v>28.2</v>
      </c>
    </row>
    <row r="67" spans="1:14" s="70" customFormat="1" ht="12.75" customHeight="1" x14ac:dyDescent="0.2">
      <c r="A67" s="113">
        <f t="shared" si="6"/>
        <v>2015</v>
      </c>
      <c r="C67" s="77">
        <f t="shared" ref="C67:C78" si="12">ROUND(AVERAGE(B11:F11,K11:M11),2)</f>
        <v>33.96</v>
      </c>
      <c r="D67" s="77">
        <f t="shared" si="7"/>
        <v>26.36</v>
      </c>
      <c r="E67" s="77">
        <f>ROUND(AVERAGE(B47:F47,K47:M47),2)</f>
        <v>30.62</v>
      </c>
      <c r="G67" s="103">
        <f t="shared" si="8"/>
        <v>35.92</v>
      </c>
      <c r="H67" s="103">
        <f t="shared" si="9"/>
        <v>22.74</v>
      </c>
      <c r="I67" s="103">
        <f>ROUND(AVERAGE(G47:J47),2)</f>
        <v>30.12</v>
      </c>
      <c r="K67" s="77">
        <f t="shared" si="10"/>
        <v>34.619999999999997</v>
      </c>
      <c r="L67" s="77">
        <f t="shared" si="11"/>
        <v>25.15</v>
      </c>
      <c r="M67" s="77">
        <f>ROUND(AVERAGE(B47:M47),2)</f>
        <v>30.45</v>
      </c>
    </row>
    <row r="68" spans="1:14" s="70" customFormat="1" ht="12.75" customHeight="1" x14ac:dyDescent="0.2">
      <c r="A68" s="113">
        <f t="shared" si="6"/>
        <v>2016</v>
      </c>
      <c r="C68" s="77">
        <f>ROUND(AVERAGE(B12:F12,K12:M12),2)</f>
        <v>30.57</v>
      </c>
      <c r="D68" s="77">
        <f t="shared" si="7"/>
        <v>23.78</v>
      </c>
      <c r="E68" s="77">
        <f t="shared" ref="E68:E78" si="13">ROUND(AVERAGE(B48:F48,K48:M48),2)</f>
        <v>27.58</v>
      </c>
      <c r="G68" s="103">
        <f t="shared" si="8"/>
        <v>34.42</v>
      </c>
      <c r="H68" s="103">
        <f t="shared" si="9"/>
        <v>21.95</v>
      </c>
      <c r="I68" s="103">
        <f t="shared" ref="I68:I78" si="14">ROUND(AVERAGE(G48:J48),2)</f>
        <v>28.93</v>
      </c>
      <c r="K68" s="77">
        <f t="shared" si="10"/>
        <v>31.85</v>
      </c>
      <c r="L68" s="77">
        <f t="shared" si="11"/>
        <v>23.17</v>
      </c>
      <c r="M68" s="77">
        <f t="shared" ref="M68:M78" si="15">ROUND(AVERAGE(B48:M48),2)</f>
        <v>28.03</v>
      </c>
    </row>
    <row r="69" spans="1:14" s="70" customFormat="1" ht="12.75" customHeight="1" x14ac:dyDescent="0.2">
      <c r="A69" s="113">
        <f t="shared" si="6"/>
        <v>2017</v>
      </c>
      <c r="C69" s="77">
        <f t="shared" si="12"/>
        <v>31.27</v>
      </c>
      <c r="D69" s="77">
        <f t="shared" si="7"/>
        <v>24.41</v>
      </c>
      <c r="E69" s="77">
        <f t="shared" si="13"/>
        <v>28.25</v>
      </c>
      <c r="G69" s="103">
        <f t="shared" si="8"/>
        <v>36.770000000000003</v>
      </c>
      <c r="H69" s="103">
        <f t="shared" si="9"/>
        <v>23.9</v>
      </c>
      <c r="I69" s="103">
        <f t="shared" si="14"/>
        <v>31.11</v>
      </c>
      <c r="K69" s="77">
        <f t="shared" si="10"/>
        <v>33.1</v>
      </c>
      <c r="L69" s="77">
        <f t="shared" si="11"/>
        <v>24.24</v>
      </c>
      <c r="M69" s="77">
        <f t="shared" si="15"/>
        <v>29.2</v>
      </c>
    </row>
    <row r="70" spans="1:14" s="70" customFormat="1" ht="12.75" customHeight="1" x14ac:dyDescent="0.2">
      <c r="A70" s="113">
        <f t="shared" si="6"/>
        <v>2018</v>
      </c>
      <c r="C70" s="77">
        <f t="shared" si="12"/>
        <v>34.1</v>
      </c>
      <c r="D70" s="77">
        <f t="shared" si="7"/>
        <v>26.64</v>
      </c>
      <c r="E70" s="77">
        <f t="shared" si="13"/>
        <v>30.82</v>
      </c>
      <c r="G70" s="103">
        <f t="shared" si="8"/>
        <v>39.18</v>
      </c>
      <c r="H70" s="103">
        <f t="shared" si="9"/>
        <v>25.76</v>
      </c>
      <c r="I70" s="103">
        <f t="shared" si="14"/>
        <v>33.270000000000003</v>
      </c>
      <c r="K70" s="77">
        <f t="shared" si="10"/>
        <v>35.79</v>
      </c>
      <c r="L70" s="77">
        <f t="shared" si="11"/>
        <v>26.34</v>
      </c>
      <c r="M70" s="77">
        <f t="shared" si="15"/>
        <v>31.64</v>
      </c>
    </row>
    <row r="71" spans="1:14" s="70" customFormat="1" ht="12.75" customHeight="1" x14ac:dyDescent="0.2">
      <c r="A71" s="113">
        <f t="shared" si="6"/>
        <v>2019</v>
      </c>
      <c r="C71" s="77">
        <f t="shared" si="12"/>
        <v>35.53</v>
      </c>
      <c r="D71" s="77">
        <f t="shared" si="7"/>
        <v>28.13</v>
      </c>
      <c r="E71" s="77">
        <f t="shared" si="13"/>
        <v>32.270000000000003</v>
      </c>
      <c r="G71" s="103">
        <f t="shared" si="8"/>
        <v>41.24</v>
      </c>
      <c r="H71" s="103">
        <f t="shared" si="9"/>
        <v>27.73</v>
      </c>
      <c r="I71" s="103">
        <f t="shared" si="14"/>
        <v>35.29</v>
      </c>
      <c r="K71" s="77">
        <f t="shared" si="10"/>
        <v>37.43</v>
      </c>
      <c r="L71" s="77">
        <f t="shared" si="11"/>
        <v>27.99</v>
      </c>
      <c r="M71" s="77">
        <f t="shared" si="15"/>
        <v>33.28</v>
      </c>
    </row>
    <row r="72" spans="1:14" s="70" customFormat="1" ht="12.75" customHeight="1" x14ac:dyDescent="0.2">
      <c r="A72" s="113">
        <f t="shared" si="6"/>
        <v>2020</v>
      </c>
      <c r="C72" s="77">
        <f t="shared" si="12"/>
        <v>37.880000000000003</v>
      </c>
      <c r="D72" s="77">
        <f t="shared" si="7"/>
        <v>31.48</v>
      </c>
      <c r="E72" s="77">
        <f t="shared" si="13"/>
        <v>35.06</v>
      </c>
      <c r="G72" s="103">
        <f t="shared" si="8"/>
        <v>44.32</v>
      </c>
      <c r="H72" s="103">
        <f t="shared" si="9"/>
        <v>34.869999999999997</v>
      </c>
      <c r="I72" s="103">
        <f t="shared" si="14"/>
        <v>40.159999999999997</v>
      </c>
      <c r="K72" s="77">
        <f t="shared" si="10"/>
        <v>40.03</v>
      </c>
      <c r="L72" s="77">
        <f t="shared" si="11"/>
        <v>32.61</v>
      </c>
      <c r="M72" s="77">
        <f t="shared" si="15"/>
        <v>36.76</v>
      </c>
    </row>
    <row r="73" spans="1:14" s="70" customFormat="1" ht="12.75" customHeight="1" x14ac:dyDescent="0.2">
      <c r="A73" s="113">
        <f t="shared" si="6"/>
        <v>2021</v>
      </c>
      <c r="C73" s="77">
        <f t="shared" si="12"/>
        <v>40.67</v>
      </c>
      <c r="D73" s="77">
        <f t="shared" si="7"/>
        <v>37.17</v>
      </c>
      <c r="E73" s="77">
        <f t="shared" si="13"/>
        <v>39.130000000000003</v>
      </c>
      <c r="G73" s="103">
        <f t="shared" si="8"/>
        <v>43.94</v>
      </c>
      <c r="H73" s="103">
        <f t="shared" si="9"/>
        <v>39.299999999999997</v>
      </c>
      <c r="I73" s="103">
        <f t="shared" si="14"/>
        <v>41.9</v>
      </c>
      <c r="K73" s="77">
        <f t="shared" si="10"/>
        <v>41.76</v>
      </c>
      <c r="L73" s="77">
        <f t="shared" si="11"/>
        <v>37.880000000000003</v>
      </c>
      <c r="M73" s="77">
        <f t="shared" si="15"/>
        <v>40.049999999999997</v>
      </c>
    </row>
    <row r="74" spans="1:14" s="70" customFormat="1" ht="12.75" customHeight="1" x14ac:dyDescent="0.2">
      <c r="A74" s="113">
        <f t="shared" si="6"/>
        <v>2022</v>
      </c>
      <c r="C74" s="77">
        <f t="shared" si="12"/>
        <v>40.520000000000003</v>
      </c>
      <c r="D74" s="77">
        <f t="shared" si="7"/>
        <v>38.64</v>
      </c>
      <c r="E74" s="77">
        <f t="shared" si="13"/>
        <v>39.69</v>
      </c>
      <c r="G74" s="103">
        <f t="shared" si="8"/>
        <v>45.47</v>
      </c>
      <c r="H74" s="103">
        <f t="shared" si="9"/>
        <v>40.08</v>
      </c>
      <c r="I74" s="103">
        <f t="shared" si="14"/>
        <v>43.1</v>
      </c>
      <c r="K74" s="77">
        <f t="shared" si="10"/>
        <v>42.17</v>
      </c>
      <c r="L74" s="77">
        <f t="shared" si="11"/>
        <v>39.119999999999997</v>
      </c>
      <c r="M74" s="77">
        <f t="shared" si="15"/>
        <v>40.83</v>
      </c>
    </row>
    <row r="75" spans="1:14" s="70" customFormat="1" ht="12.75" customHeight="1" x14ac:dyDescent="0.2">
      <c r="A75" s="113">
        <f t="shared" si="6"/>
        <v>2023</v>
      </c>
      <c r="C75" s="77">
        <f t="shared" si="12"/>
        <v>42.26</v>
      </c>
      <c r="D75" s="77">
        <f t="shared" si="7"/>
        <v>40.479999999999997</v>
      </c>
      <c r="E75" s="77">
        <f t="shared" si="13"/>
        <v>41.48</v>
      </c>
      <c r="G75" s="103">
        <f t="shared" si="8"/>
        <v>46.37</v>
      </c>
      <c r="H75" s="103">
        <f t="shared" si="9"/>
        <v>40.94</v>
      </c>
      <c r="I75" s="103">
        <f t="shared" si="14"/>
        <v>43.98</v>
      </c>
      <c r="K75" s="77">
        <f t="shared" si="10"/>
        <v>43.63</v>
      </c>
      <c r="L75" s="77">
        <f t="shared" si="11"/>
        <v>40.630000000000003</v>
      </c>
      <c r="M75" s="77">
        <f t="shared" si="15"/>
        <v>42.31</v>
      </c>
    </row>
    <row r="76" spans="1:14" s="70" customFormat="1" ht="12.75" customHeight="1" x14ac:dyDescent="0.2">
      <c r="A76" s="113">
        <f t="shared" si="6"/>
        <v>2024</v>
      </c>
      <c r="C76" s="77">
        <f t="shared" si="12"/>
        <v>44.03</v>
      </c>
      <c r="D76" s="77">
        <f t="shared" si="7"/>
        <v>42.2</v>
      </c>
      <c r="E76" s="77">
        <f t="shared" si="13"/>
        <v>43.22</v>
      </c>
      <c r="G76" s="103">
        <f t="shared" si="8"/>
        <v>49.23</v>
      </c>
      <c r="H76" s="103">
        <f t="shared" si="9"/>
        <v>43.13</v>
      </c>
      <c r="I76" s="103">
        <f t="shared" si="14"/>
        <v>46.55</v>
      </c>
      <c r="K76" s="77">
        <f t="shared" si="10"/>
        <v>45.76</v>
      </c>
      <c r="L76" s="77">
        <f t="shared" si="11"/>
        <v>42.51</v>
      </c>
      <c r="M76" s="77">
        <f t="shared" si="15"/>
        <v>44.33</v>
      </c>
    </row>
    <row r="77" spans="1:14" s="70" customFormat="1" ht="12.75" customHeight="1" x14ac:dyDescent="0.2">
      <c r="A77" s="113">
        <f t="shared" si="6"/>
        <v>2025</v>
      </c>
      <c r="C77" s="77">
        <f t="shared" si="12"/>
        <v>46.24</v>
      </c>
      <c r="D77" s="77">
        <f t="shared" si="7"/>
        <v>44.27</v>
      </c>
      <c r="E77" s="77">
        <f t="shared" si="13"/>
        <v>45.37</v>
      </c>
      <c r="G77" s="103">
        <f t="shared" si="8"/>
        <v>52.69</v>
      </c>
      <c r="H77" s="103">
        <f t="shared" si="9"/>
        <v>45.88</v>
      </c>
      <c r="I77" s="103">
        <f t="shared" si="14"/>
        <v>49.69</v>
      </c>
      <c r="K77" s="77">
        <f t="shared" si="10"/>
        <v>48.39</v>
      </c>
      <c r="L77" s="77">
        <f t="shared" si="11"/>
        <v>44.81</v>
      </c>
      <c r="M77" s="77">
        <f t="shared" si="15"/>
        <v>46.81</v>
      </c>
    </row>
    <row r="78" spans="1:14" s="70" customFormat="1" ht="12.75" customHeight="1" x14ac:dyDescent="0.2">
      <c r="A78" s="113">
        <f t="shared" si="6"/>
        <v>2026</v>
      </c>
      <c r="C78" s="77">
        <f t="shared" si="12"/>
        <v>48.13</v>
      </c>
      <c r="D78" s="77">
        <f t="shared" si="7"/>
        <v>46.38</v>
      </c>
      <c r="E78" s="77">
        <f t="shared" si="13"/>
        <v>47.36</v>
      </c>
      <c r="G78" s="103">
        <f t="shared" si="8"/>
        <v>55.44</v>
      </c>
      <c r="H78" s="103">
        <f t="shared" si="9"/>
        <v>48.37</v>
      </c>
      <c r="I78" s="103">
        <f t="shared" si="14"/>
        <v>52.33</v>
      </c>
      <c r="K78" s="77">
        <f t="shared" si="10"/>
        <v>50.56</v>
      </c>
      <c r="L78" s="77">
        <f t="shared" si="11"/>
        <v>47.04</v>
      </c>
      <c r="M78" s="77">
        <f t="shared" si="15"/>
        <v>49.01</v>
      </c>
    </row>
    <row r="79" spans="1:14" s="70" customFormat="1" ht="12.75" customHeight="1" x14ac:dyDescent="0.2">
      <c r="A79" s="113"/>
      <c r="C79" s="77"/>
      <c r="D79" s="77"/>
      <c r="E79" s="77"/>
      <c r="G79" s="103"/>
      <c r="H79" s="103"/>
      <c r="I79" s="103"/>
      <c r="K79" s="77"/>
      <c r="L79" s="77"/>
      <c r="M79" s="77"/>
    </row>
    <row r="80" spans="1:14" s="70" customFormat="1" ht="12.75" customHeight="1" x14ac:dyDescent="0.2">
      <c r="A80" s="60" t="s">
        <v>83</v>
      </c>
      <c r="D80" s="77"/>
      <c r="E80" s="103"/>
      <c r="F80" s="103"/>
      <c r="G80" s="103"/>
      <c r="J80" s="103"/>
      <c r="K80" s="103"/>
    </row>
    <row r="81" spans="1:17" ht="12.75" customHeight="1" x14ac:dyDescent="0.2">
      <c r="A81" s="60" t="s">
        <v>322</v>
      </c>
      <c r="C81" s="115" t="s">
        <v>149</v>
      </c>
      <c r="D81" s="77"/>
      <c r="E81" s="103"/>
      <c r="F81" s="103"/>
      <c r="G81" s="103"/>
      <c r="H81" s="70"/>
      <c r="N81" s="70"/>
      <c r="O81" s="70"/>
      <c r="P81" s="70"/>
    </row>
    <row r="82" spans="1:17" ht="12.75" customHeight="1" x14ac:dyDescent="0.2">
      <c r="A82" s="60" t="s">
        <v>324</v>
      </c>
      <c r="C82" s="115"/>
      <c r="D82" s="77"/>
      <c r="E82" s="103"/>
      <c r="F82" s="103"/>
      <c r="G82" s="103"/>
      <c r="H82" s="70"/>
      <c r="N82" s="70"/>
      <c r="O82" s="70"/>
      <c r="P82" s="70"/>
    </row>
    <row r="83" spans="1:17" ht="12.75" customHeight="1" x14ac:dyDescent="0.2">
      <c r="A83" s="60" t="s">
        <v>323</v>
      </c>
      <c r="C83" s="115"/>
      <c r="D83" s="77"/>
      <c r="E83" s="103"/>
      <c r="F83" s="103"/>
      <c r="G83" s="103"/>
      <c r="H83" s="70"/>
      <c r="N83" s="70"/>
      <c r="O83" s="70"/>
      <c r="P83" s="70"/>
    </row>
    <row r="84" spans="1:17" ht="12.75" customHeight="1" x14ac:dyDescent="0.2">
      <c r="A84" s="378"/>
      <c r="C84" s="115"/>
      <c r="D84" s="77"/>
      <c r="E84" s="103"/>
      <c r="F84" s="103"/>
      <c r="G84" s="103"/>
      <c r="H84" s="70"/>
      <c r="N84" s="70"/>
      <c r="O84" s="70"/>
      <c r="P84" s="70"/>
    </row>
    <row r="85" spans="1:17" ht="12.75" customHeight="1" x14ac:dyDescent="0.2">
      <c r="D85" s="70"/>
      <c r="E85" s="70"/>
      <c r="F85" s="70"/>
      <c r="G85" s="70"/>
    </row>
    <row r="86" spans="1:17" ht="9" customHeight="1" x14ac:dyDescent="0.2"/>
    <row r="87" spans="1:17" x14ac:dyDescent="0.2">
      <c r="C87" s="60" t="s">
        <v>154</v>
      </c>
    </row>
    <row r="88" spans="1:17" x14ac:dyDescent="0.2">
      <c r="C88" s="60" t="s">
        <v>170</v>
      </c>
      <c r="F88" s="246">
        <v>0.84</v>
      </c>
    </row>
    <row r="91" spans="1:17" x14ac:dyDescent="0.2">
      <c r="Q91" s="66"/>
    </row>
    <row r="106" ht="24.75" customHeight="1" x14ac:dyDescent="0.2"/>
  </sheetData>
  <printOptions horizontalCentered="1"/>
  <pageMargins left="0.25" right="0.25" top="0.75" bottom="0.75" header="0.3" footer="0.3"/>
  <pageSetup scale="55" fitToWidth="0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Z53"/>
  <sheetViews>
    <sheetView view="pageBreakPreview" topLeftCell="Z1" zoomScale="60" zoomScaleNormal="90" workbookViewId="0">
      <selection activeCell="U77" sqref="U77"/>
    </sheetView>
  </sheetViews>
  <sheetFormatPr defaultRowHeight="12.75" x14ac:dyDescent="0.2"/>
  <cols>
    <col min="1" max="1" width="1.6640625" style="60" customWidth="1"/>
    <col min="2" max="2" width="12.1640625" style="60" customWidth="1"/>
    <col min="3" max="6" width="20" style="60" customWidth="1"/>
    <col min="7" max="7" width="1.6640625" style="70" customWidth="1"/>
    <col min="8" max="8" width="12.1640625" style="60" customWidth="1"/>
    <col min="9" max="12" width="20" style="60" customWidth="1"/>
    <col min="13" max="13" width="1.83203125" style="70" customWidth="1"/>
    <col min="14" max="14" width="10.5" style="60" customWidth="1"/>
    <col min="15" max="19" width="16" style="60" customWidth="1"/>
    <col min="20" max="20" width="1.6640625" style="70" customWidth="1"/>
    <col min="21" max="21" width="11.1640625" style="60" customWidth="1"/>
    <col min="22" max="22" width="16" style="60" customWidth="1"/>
    <col min="23" max="24" width="16.5" style="60" customWidth="1"/>
    <col min="25" max="25" width="14" style="60" customWidth="1"/>
    <col min="26" max="27" width="14.83203125" style="60" customWidth="1"/>
    <col min="28" max="28" width="1.6640625" style="70" customWidth="1"/>
    <col min="29" max="29" width="11.1640625" style="60" customWidth="1"/>
    <col min="30" max="30" width="16.5" style="60" customWidth="1"/>
    <col min="31" max="32" width="13.6640625" style="60" customWidth="1"/>
    <col min="33" max="33" width="14" style="60" customWidth="1"/>
    <col min="34" max="35" width="14.83203125" style="60" customWidth="1"/>
    <col min="36" max="36" width="1.6640625" style="70" customWidth="1"/>
    <col min="37" max="37" width="11.1640625" style="60" customWidth="1"/>
    <col min="38" max="39" width="16.5" style="60" customWidth="1"/>
    <col min="40" max="40" width="13.6640625" style="60" customWidth="1"/>
    <col min="41" max="41" width="14" style="60" customWidth="1"/>
    <col min="42" max="43" width="14.83203125" style="60" customWidth="1"/>
    <col min="44" max="44" width="1.6640625" style="70" customWidth="1"/>
    <col min="45" max="45" width="11.1640625" style="60" customWidth="1"/>
    <col min="46" max="47" width="16.5" style="60" customWidth="1"/>
    <col min="48" max="48" width="13.6640625" style="60" customWidth="1"/>
    <col min="49" max="49" width="14" style="60" customWidth="1"/>
    <col min="50" max="51" width="14.83203125" style="60" customWidth="1"/>
    <col min="52" max="52" width="5" style="60" customWidth="1"/>
    <col min="53" max="16384" width="9.33203125" style="60"/>
  </cols>
  <sheetData>
    <row r="1" spans="2:52" s="5" customFormat="1" ht="15.75" x14ac:dyDescent="0.25">
      <c r="B1" s="1" t="s">
        <v>34</v>
      </c>
      <c r="C1" s="1"/>
      <c r="D1" s="1"/>
      <c r="E1" s="1"/>
      <c r="F1" s="1"/>
      <c r="G1" s="8"/>
      <c r="H1" s="1" t="s">
        <v>35</v>
      </c>
      <c r="I1" s="1"/>
      <c r="J1" s="1"/>
      <c r="K1" s="1"/>
      <c r="L1" s="1"/>
      <c r="M1" s="9"/>
      <c r="N1" s="1" t="s">
        <v>36</v>
      </c>
      <c r="O1" s="6"/>
      <c r="P1" s="1"/>
      <c r="Q1" s="1"/>
      <c r="R1" s="1"/>
      <c r="S1" s="1"/>
      <c r="T1" s="9"/>
      <c r="U1" s="261" t="s">
        <v>183</v>
      </c>
      <c r="V1" s="262"/>
      <c r="W1" s="262"/>
      <c r="X1" s="262"/>
      <c r="Y1" s="262"/>
      <c r="Z1" s="262"/>
      <c r="AA1" s="262"/>
      <c r="AB1" s="262"/>
      <c r="AC1" s="261" t="s">
        <v>184</v>
      </c>
      <c r="AD1" s="262"/>
      <c r="AE1" s="262"/>
      <c r="AF1" s="262"/>
      <c r="AG1" s="262"/>
      <c r="AH1" s="262"/>
      <c r="AI1" s="264"/>
      <c r="AJ1" s="256"/>
      <c r="AK1" s="261" t="s">
        <v>187</v>
      </c>
      <c r="AL1" s="261"/>
      <c r="AM1" s="261"/>
      <c r="AN1" s="262"/>
      <c r="AO1" s="262"/>
      <c r="AP1" s="262"/>
      <c r="AQ1" s="262"/>
      <c r="AR1" s="256"/>
      <c r="AS1" s="261" t="s">
        <v>189</v>
      </c>
      <c r="AT1" s="262"/>
      <c r="AU1" s="262"/>
      <c r="AV1" s="262"/>
      <c r="AW1" s="262"/>
      <c r="AX1" s="262"/>
      <c r="AY1" s="262"/>
      <c r="AZ1" s="256"/>
    </row>
    <row r="2" spans="2:52" s="7" customFormat="1" ht="15" x14ac:dyDescent="0.25">
      <c r="B2" s="3" t="s">
        <v>16</v>
      </c>
      <c r="C2" s="3"/>
      <c r="D2" s="3"/>
      <c r="E2" s="3"/>
      <c r="F2" s="3"/>
      <c r="G2" s="9"/>
      <c r="H2" s="3" t="s">
        <v>17</v>
      </c>
      <c r="I2" s="3"/>
      <c r="J2" s="3"/>
      <c r="K2" s="3"/>
      <c r="L2" s="3"/>
      <c r="M2" s="9"/>
      <c r="N2" s="3" t="s">
        <v>20</v>
      </c>
      <c r="O2" s="3"/>
      <c r="P2" s="3"/>
      <c r="Q2" s="3"/>
      <c r="R2" s="3"/>
      <c r="S2" s="3"/>
      <c r="T2" s="9"/>
      <c r="U2" s="263" t="s">
        <v>185</v>
      </c>
      <c r="V2" s="262"/>
      <c r="W2" s="262"/>
      <c r="X2" s="262"/>
      <c r="Y2" s="262"/>
      <c r="Z2" s="262"/>
      <c r="AA2" s="262"/>
      <c r="AB2" s="262"/>
      <c r="AC2" s="263" t="s">
        <v>186</v>
      </c>
      <c r="AD2" s="262"/>
      <c r="AE2" s="262"/>
      <c r="AF2" s="262"/>
      <c r="AG2" s="262"/>
      <c r="AH2" s="262"/>
      <c r="AI2" s="265"/>
      <c r="AJ2" s="257"/>
      <c r="AK2" s="263" t="s">
        <v>188</v>
      </c>
      <c r="AL2" s="263"/>
      <c r="AM2" s="263"/>
      <c r="AN2" s="262"/>
      <c r="AO2" s="262"/>
      <c r="AP2" s="262"/>
      <c r="AQ2" s="262"/>
      <c r="AR2" s="262"/>
      <c r="AS2" s="263" t="s">
        <v>190</v>
      </c>
      <c r="AT2" s="262"/>
      <c r="AU2" s="262"/>
      <c r="AV2" s="262"/>
      <c r="AW2" s="262"/>
      <c r="AX2" s="262"/>
      <c r="AY2" s="262"/>
      <c r="AZ2" s="257"/>
    </row>
    <row r="3" spans="2:52" s="7" customFormat="1" ht="15" x14ac:dyDescent="0.25">
      <c r="B3" s="3"/>
      <c r="C3" s="3"/>
      <c r="D3" s="463"/>
      <c r="E3" s="3"/>
      <c r="F3" s="3"/>
      <c r="G3" s="9"/>
      <c r="H3" s="3"/>
      <c r="I3" s="3"/>
      <c r="J3" s="3"/>
      <c r="K3" s="3"/>
      <c r="L3" s="3"/>
      <c r="M3" s="9"/>
      <c r="N3" s="3"/>
      <c r="O3" s="3"/>
      <c r="P3" s="3"/>
      <c r="Q3" s="3"/>
      <c r="R3" s="3"/>
      <c r="S3" s="3"/>
      <c r="T3" s="9"/>
      <c r="U3" s="3"/>
      <c r="V3" s="3"/>
      <c r="W3" s="3"/>
      <c r="X3" s="3"/>
      <c r="Y3" s="3"/>
      <c r="Z3" s="3"/>
      <c r="AA3" s="3"/>
      <c r="AB3" s="9"/>
      <c r="AC3" s="3"/>
      <c r="AD3" s="3"/>
      <c r="AE3" s="3"/>
      <c r="AF3" s="3"/>
      <c r="AG3" s="3"/>
      <c r="AH3" s="3"/>
      <c r="AI3" s="3"/>
      <c r="AJ3" s="9"/>
      <c r="AK3" s="3"/>
      <c r="AL3" s="3"/>
      <c r="AM3" s="3"/>
      <c r="AN3" s="3"/>
      <c r="AO3" s="3"/>
      <c r="AP3" s="3"/>
      <c r="AQ3" s="3"/>
      <c r="AR3" s="9"/>
      <c r="AS3" s="3"/>
      <c r="AT3" s="3"/>
      <c r="AU3" s="3"/>
      <c r="AV3" s="3"/>
      <c r="AW3" s="3"/>
      <c r="AX3" s="3"/>
      <c r="AY3" s="3"/>
    </row>
    <row r="4" spans="2:52" x14ac:dyDescent="0.2">
      <c r="G4" s="95"/>
      <c r="M4" s="95"/>
      <c r="T4" s="95"/>
      <c r="U4" s="254"/>
      <c r="V4" s="255"/>
      <c r="W4" s="505" t="s">
        <v>167</v>
      </c>
      <c r="X4" s="506"/>
      <c r="Y4" s="506"/>
      <c r="Z4" s="506"/>
      <c r="AA4" s="507"/>
      <c r="AB4" s="95"/>
      <c r="AC4" s="254"/>
      <c r="AD4" s="505" t="s">
        <v>168</v>
      </c>
      <c r="AE4" s="506"/>
      <c r="AF4" s="506"/>
      <c r="AG4" s="506"/>
      <c r="AH4" s="506"/>
      <c r="AI4" s="507"/>
      <c r="AJ4" s="95"/>
      <c r="AK4" s="254"/>
      <c r="AL4" s="505" t="s">
        <v>169</v>
      </c>
      <c r="AM4" s="506"/>
      <c r="AN4" s="506"/>
      <c r="AO4" s="506"/>
      <c r="AP4" s="506"/>
      <c r="AQ4" s="507"/>
      <c r="AR4" s="95"/>
      <c r="AS4" s="254"/>
      <c r="AT4" s="505" t="s">
        <v>170</v>
      </c>
      <c r="AU4" s="506"/>
      <c r="AV4" s="506"/>
      <c r="AW4" s="506"/>
      <c r="AX4" s="506"/>
      <c r="AY4" s="507"/>
    </row>
    <row r="5" spans="2:52" x14ac:dyDescent="0.2">
      <c r="B5" s="172"/>
      <c r="C5" s="186" t="s">
        <v>104</v>
      </c>
      <c r="D5" s="175" t="s">
        <v>3</v>
      </c>
      <c r="E5" s="89"/>
      <c r="F5" s="187" t="s">
        <v>9</v>
      </c>
      <c r="G5" s="95"/>
      <c r="H5" s="188"/>
      <c r="I5" s="173"/>
      <c r="J5" s="173"/>
      <c r="K5" s="187" t="s">
        <v>9</v>
      </c>
      <c r="L5" s="173" t="s">
        <v>15</v>
      </c>
      <c r="M5" s="95"/>
      <c r="N5" s="172"/>
      <c r="O5" s="89" t="s">
        <v>27</v>
      </c>
      <c r="P5" s="175" t="s">
        <v>15</v>
      </c>
      <c r="Q5" s="173" t="s">
        <v>18</v>
      </c>
      <c r="R5" s="173"/>
      <c r="S5" s="173"/>
      <c r="T5" s="95"/>
      <c r="U5" s="172"/>
      <c r="V5" s="186" t="s">
        <v>27</v>
      </c>
      <c r="W5" s="89" t="s">
        <v>29</v>
      </c>
      <c r="X5" s="175" t="s">
        <v>15</v>
      </c>
      <c r="Y5" s="175" t="s">
        <v>15</v>
      </c>
      <c r="Z5" s="89" t="s">
        <v>171</v>
      </c>
      <c r="AA5" s="89" t="s">
        <v>172</v>
      </c>
      <c r="AB5" s="95"/>
      <c r="AC5" s="172"/>
      <c r="AD5" s="89" t="s">
        <v>29</v>
      </c>
      <c r="AE5" s="175" t="s">
        <v>15</v>
      </c>
      <c r="AF5" s="175" t="s">
        <v>15</v>
      </c>
      <c r="AG5" s="186" t="s">
        <v>155</v>
      </c>
      <c r="AH5" s="89" t="s">
        <v>171</v>
      </c>
      <c r="AI5" s="89" t="s">
        <v>172</v>
      </c>
      <c r="AJ5" s="95"/>
      <c r="AK5" s="172"/>
      <c r="AL5" s="89" t="s">
        <v>29</v>
      </c>
      <c r="AM5" s="175" t="s">
        <v>15</v>
      </c>
      <c r="AN5" s="175" t="s">
        <v>15</v>
      </c>
      <c r="AO5" s="186" t="s">
        <v>175</v>
      </c>
      <c r="AP5" s="89" t="s">
        <v>171</v>
      </c>
      <c r="AQ5" s="89" t="s">
        <v>172</v>
      </c>
      <c r="AR5" s="95"/>
      <c r="AS5" s="172"/>
      <c r="AT5" s="89" t="s">
        <v>29</v>
      </c>
      <c r="AU5" s="175" t="s">
        <v>15</v>
      </c>
      <c r="AV5" s="175" t="s">
        <v>15</v>
      </c>
      <c r="AW5" s="186" t="s">
        <v>175</v>
      </c>
      <c r="AX5" s="89" t="s">
        <v>171</v>
      </c>
      <c r="AY5" s="89" t="s">
        <v>172</v>
      </c>
    </row>
    <row r="6" spans="2:52" x14ac:dyDescent="0.2">
      <c r="B6" s="177" t="s">
        <v>2</v>
      </c>
      <c r="C6" s="189" t="s">
        <v>11</v>
      </c>
      <c r="D6" s="189" t="s">
        <v>11</v>
      </c>
      <c r="E6" s="177" t="s">
        <v>6</v>
      </c>
      <c r="F6" s="176" t="s">
        <v>7</v>
      </c>
      <c r="G6" s="95"/>
      <c r="H6" s="174" t="s">
        <v>2</v>
      </c>
      <c r="I6" s="177" t="s">
        <v>102</v>
      </c>
      <c r="J6" s="177" t="s">
        <v>13</v>
      </c>
      <c r="K6" s="176" t="s">
        <v>7</v>
      </c>
      <c r="L6" s="190" t="s">
        <v>14</v>
      </c>
      <c r="M6" s="95"/>
      <c r="N6" s="177" t="s">
        <v>2</v>
      </c>
      <c r="O6" s="177" t="s">
        <v>28</v>
      </c>
      <c r="P6" s="189" t="s">
        <v>14</v>
      </c>
      <c r="Q6" s="179" t="s">
        <v>19</v>
      </c>
      <c r="R6" s="191"/>
      <c r="S6" s="180"/>
      <c r="T6" s="95"/>
      <c r="U6" s="177" t="s">
        <v>2</v>
      </c>
      <c r="V6" s="174" t="s">
        <v>28</v>
      </c>
      <c r="W6" s="177" t="s">
        <v>30</v>
      </c>
      <c r="X6" s="189" t="s">
        <v>14</v>
      </c>
      <c r="Y6" s="189" t="s">
        <v>14</v>
      </c>
      <c r="Z6" s="177" t="str">
        <f>TEXT((0.56*8760),"0,000")&amp;" Hours"</f>
        <v>4,906 Hours</v>
      </c>
      <c r="AA6" s="177" t="str">
        <f>TEXT((0.44*8760),"0,000")&amp;" Hours"</f>
        <v>3,854 Hours</v>
      </c>
      <c r="AB6" s="95"/>
      <c r="AC6" s="177" t="s">
        <v>2</v>
      </c>
      <c r="AD6" s="177" t="s">
        <v>30</v>
      </c>
      <c r="AE6" s="189" t="s">
        <v>14</v>
      </c>
      <c r="AF6" s="189" t="s">
        <v>14</v>
      </c>
      <c r="AG6" s="174" t="s">
        <v>174</v>
      </c>
      <c r="AH6" s="177" t="str">
        <f>TEXT((0.56*8760),"0,000")&amp;" Hours"</f>
        <v>4,906 Hours</v>
      </c>
      <c r="AI6" s="177" t="str">
        <f>TEXT((0.44*8760),"0,000")&amp;" Hours"</f>
        <v>3,854 Hours</v>
      </c>
      <c r="AJ6" s="95"/>
      <c r="AK6" s="177" t="s">
        <v>2</v>
      </c>
      <c r="AL6" s="177" t="s">
        <v>30</v>
      </c>
      <c r="AM6" s="189" t="s">
        <v>14</v>
      </c>
      <c r="AN6" s="189" t="s">
        <v>14</v>
      </c>
      <c r="AO6" s="174" t="s">
        <v>174</v>
      </c>
      <c r="AP6" s="177" t="str">
        <f>TEXT((0.56*8760),"0,000")&amp;" Hours"</f>
        <v>4,906 Hours</v>
      </c>
      <c r="AQ6" s="177" t="str">
        <f>TEXT((0.44*8760),"0,000")&amp;" Hours"</f>
        <v>3,854 Hours</v>
      </c>
      <c r="AR6" s="95"/>
      <c r="AS6" s="177" t="s">
        <v>2</v>
      </c>
      <c r="AT6" s="177" t="s">
        <v>30</v>
      </c>
      <c r="AU6" s="189" t="s">
        <v>14</v>
      </c>
      <c r="AV6" s="189" t="s">
        <v>14</v>
      </c>
      <c r="AW6" s="174" t="s">
        <v>174</v>
      </c>
      <c r="AX6" s="177" t="str">
        <f>TEXT((0.56*8760),"0,000")&amp;" Hours"</f>
        <v>4,906 Hours</v>
      </c>
      <c r="AY6" s="177" t="str">
        <f>TEXT((0.44*8760),"0,000")&amp;" Hours"</f>
        <v>3,854 Hours</v>
      </c>
    </row>
    <row r="7" spans="2:52" ht="25.5" x14ac:dyDescent="0.2">
      <c r="B7" s="192"/>
      <c r="C7" s="174" t="s">
        <v>4</v>
      </c>
      <c r="D7" s="189" t="s">
        <v>4</v>
      </c>
      <c r="E7" s="177" t="s">
        <v>7</v>
      </c>
      <c r="F7" s="193" t="str">
        <f>TEXT('Table 8'!$D$128,"0.0%")&amp;" CF"</f>
        <v>51.9% CF</v>
      </c>
      <c r="G7" s="88"/>
      <c r="H7" s="178"/>
      <c r="I7" s="92" t="s">
        <v>103</v>
      </c>
      <c r="J7" s="51"/>
      <c r="K7" s="193" t="str">
        <f>F7</f>
        <v>51.9% CF</v>
      </c>
      <c r="L7" s="190" t="s">
        <v>13</v>
      </c>
      <c r="M7" s="88"/>
      <c r="N7" s="192"/>
      <c r="O7" s="177" t="s">
        <v>8</v>
      </c>
      <c r="P7" s="189" t="s">
        <v>13</v>
      </c>
      <c r="Q7" s="194">
        <v>0.75</v>
      </c>
      <c r="R7" s="194">
        <v>0.85</v>
      </c>
      <c r="S7" s="194">
        <v>0.95</v>
      </c>
      <c r="T7" s="88"/>
      <c r="U7" s="192"/>
      <c r="V7" s="174" t="s">
        <v>8</v>
      </c>
      <c r="W7" s="177" t="s">
        <v>0</v>
      </c>
      <c r="X7" s="468" t="s">
        <v>325</v>
      </c>
      <c r="Y7" s="468" t="s">
        <v>326</v>
      </c>
      <c r="Z7" s="177"/>
      <c r="AA7" s="177"/>
      <c r="AB7" s="88"/>
      <c r="AC7" s="192"/>
      <c r="AD7" s="177" t="s">
        <v>0</v>
      </c>
      <c r="AE7" s="468" t="s">
        <v>325</v>
      </c>
      <c r="AF7" s="468" t="s">
        <v>326</v>
      </c>
      <c r="AG7" s="174" t="s">
        <v>173</v>
      </c>
      <c r="AH7" s="177"/>
      <c r="AI7" s="177"/>
      <c r="AJ7" s="88"/>
      <c r="AK7" s="192"/>
      <c r="AL7" s="177" t="s">
        <v>0</v>
      </c>
      <c r="AM7" s="468" t="s">
        <v>325</v>
      </c>
      <c r="AN7" s="468" t="s">
        <v>326</v>
      </c>
      <c r="AO7" s="174" t="s">
        <v>173</v>
      </c>
      <c r="AP7" s="177"/>
      <c r="AQ7" s="177"/>
      <c r="AR7" s="88"/>
      <c r="AS7" s="192"/>
      <c r="AT7" s="177" t="s">
        <v>0</v>
      </c>
      <c r="AU7" s="468" t="s">
        <v>325</v>
      </c>
      <c r="AV7" s="468" t="s">
        <v>326</v>
      </c>
      <c r="AW7" s="174" t="s">
        <v>173</v>
      </c>
      <c r="AX7" s="177"/>
      <c r="AY7" s="177"/>
    </row>
    <row r="8" spans="2:52" x14ac:dyDescent="0.2">
      <c r="B8" s="195"/>
      <c r="C8" s="91" t="s">
        <v>5</v>
      </c>
      <c r="D8" s="197" t="s">
        <v>5</v>
      </c>
      <c r="E8" s="91" t="s">
        <v>5</v>
      </c>
      <c r="F8" s="210" t="s">
        <v>107</v>
      </c>
      <c r="G8" s="88"/>
      <c r="H8" s="195"/>
      <c r="I8" s="196" t="s">
        <v>12</v>
      </c>
      <c r="J8" s="92" t="s">
        <v>107</v>
      </c>
      <c r="K8" s="111" t="s">
        <v>107</v>
      </c>
      <c r="L8" s="90" t="s">
        <v>107</v>
      </c>
      <c r="M8" s="88"/>
      <c r="N8" s="195"/>
      <c r="O8" s="91" t="s">
        <v>5</v>
      </c>
      <c r="P8" s="112" t="s">
        <v>107</v>
      </c>
      <c r="Q8" s="111" t="s">
        <v>107</v>
      </c>
      <c r="R8" s="111" t="s">
        <v>107</v>
      </c>
      <c r="S8" s="111" t="s">
        <v>107</v>
      </c>
      <c r="T8" s="88"/>
      <c r="U8" s="195"/>
      <c r="V8" s="197" t="s">
        <v>5</v>
      </c>
      <c r="W8" s="111" t="s">
        <v>107</v>
      </c>
      <c r="X8" s="112" t="s">
        <v>107</v>
      </c>
      <c r="Y8" s="112" t="s">
        <v>107</v>
      </c>
      <c r="Z8" s="111" t="s">
        <v>107</v>
      </c>
      <c r="AA8" s="111" t="s">
        <v>107</v>
      </c>
      <c r="AB8" s="88"/>
      <c r="AC8" s="195"/>
      <c r="AD8" s="111" t="s">
        <v>107</v>
      </c>
      <c r="AE8" s="112" t="s">
        <v>107</v>
      </c>
      <c r="AF8" s="112" t="s">
        <v>107</v>
      </c>
      <c r="AG8" s="112" t="s">
        <v>107</v>
      </c>
      <c r="AH8" s="111" t="s">
        <v>107</v>
      </c>
      <c r="AI8" s="111" t="s">
        <v>107</v>
      </c>
      <c r="AJ8" s="88"/>
      <c r="AK8" s="195"/>
      <c r="AL8" s="111" t="s">
        <v>107</v>
      </c>
      <c r="AM8" s="112" t="s">
        <v>107</v>
      </c>
      <c r="AN8" s="112" t="s">
        <v>107</v>
      </c>
      <c r="AO8" s="112" t="s">
        <v>107</v>
      </c>
      <c r="AP8" s="111" t="s">
        <v>107</v>
      </c>
      <c r="AQ8" s="111" t="s">
        <v>107</v>
      </c>
      <c r="AR8" s="88"/>
      <c r="AS8" s="195"/>
      <c r="AT8" s="111" t="s">
        <v>107</v>
      </c>
      <c r="AU8" s="112" t="s">
        <v>107</v>
      </c>
      <c r="AV8" s="112" t="s">
        <v>107</v>
      </c>
      <c r="AW8" s="112" t="s">
        <v>107</v>
      </c>
      <c r="AX8" s="111" t="s">
        <v>107</v>
      </c>
      <c r="AY8" s="111" t="s">
        <v>107</v>
      </c>
    </row>
    <row r="9" spans="2:52" x14ac:dyDescent="0.2">
      <c r="C9" s="88" t="s">
        <v>22</v>
      </c>
      <c r="D9" s="181" t="s">
        <v>23</v>
      </c>
      <c r="E9" s="88" t="s">
        <v>24</v>
      </c>
      <c r="F9" s="88" t="s">
        <v>25</v>
      </c>
      <c r="I9" s="88" t="s">
        <v>22</v>
      </c>
      <c r="J9" s="88" t="s">
        <v>23</v>
      </c>
      <c r="K9" s="88" t="s">
        <v>24</v>
      </c>
      <c r="L9" s="181" t="s">
        <v>25</v>
      </c>
      <c r="O9" s="88" t="s">
        <v>22</v>
      </c>
      <c r="P9" s="181" t="s">
        <v>23</v>
      </c>
      <c r="Q9" s="88" t="s">
        <v>24</v>
      </c>
      <c r="R9" s="88" t="s">
        <v>25</v>
      </c>
      <c r="S9" s="88" t="s">
        <v>26</v>
      </c>
      <c r="V9" s="88" t="s">
        <v>22</v>
      </c>
      <c r="W9" s="88" t="s">
        <v>23</v>
      </c>
      <c r="X9" s="88" t="s">
        <v>24</v>
      </c>
      <c r="Y9" s="88" t="s">
        <v>25</v>
      </c>
      <c r="Z9" s="88" t="s">
        <v>26</v>
      </c>
      <c r="AA9" s="88" t="s">
        <v>32</v>
      </c>
      <c r="AD9" s="88" t="s">
        <v>22</v>
      </c>
      <c r="AE9" s="88" t="s">
        <v>23</v>
      </c>
      <c r="AF9" s="88" t="s">
        <v>24</v>
      </c>
      <c r="AG9" s="88" t="s">
        <v>25</v>
      </c>
      <c r="AH9" s="88" t="s">
        <v>26</v>
      </c>
      <c r="AI9" s="88" t="s">
        <v>32</v>
      </c>
      <c r="AL9" s="88" t="s">
        <v>22</v>
      </c>
      <c r="AM9" s="88" t="s">
        <v>23</v>
      </c>
      <c r="AN9" s="88" t="s">
        <v>24</v>
      </c>
      <c r="AO9" s="88" t="s">
        <v>25</v>
      </c>
      <c r="AP9" s="88" t="s">
        <v>26</v>
      </c>
      <c r="AQ9" s="88" t="s">
        <v>32</v>
      </c>
      <c r="AT9" s="88" t="s">
        <v>22</v>
      </c>
      <c r="AU9" s="88" t="s">
        <v>23</v>
      </c>
      <c r="AV9" s="88" t="s">
        <v>24</v>
      </c>
      <c r="AW9" s="88" t="s">
        <v>25</v>
      </c>
      <c r="AX9" s="88" t="s">
        <v>26</v>
      </c>
      <c r="AY9" s="88" t="s">
        <v>32</v>
      </c>
      <c r="AZ9" s="88"/>
    </row>
    <row r="10" spans="2:52" x14ac:dyDescent="0.2">
      <c r="C10" s="88"/>
      <c r="D10" s="88"/>
      <c r="E10" s="4" t="str">
        <f>"("&amp;C9&amp;" - "&amp;D9&amp;") x 50%)"</f>
        <v>((a) - (b)) x 50%)</v>
      </c>
      <c r="F10" s="4" t="str">
        <f>E9&amp;"/(8.760 x "&amp;TEXT('Table 8'!$D$128,"0.0%")&amp;")"</f>
        <v>(c)/(8.760 x 51.9%)</v>
      </c>
      <c r="I10" s="88"/>
      <c r="K10" s="88"/>
      <c r="L10" s="10" t="str">
        <f>J9&amp;" + "&amp;K9</f>
        <v>(b) + (c)</v>
      </c>
      <c r="O10" s="11"/>
      <c r="P10" s="88"/>
      <c r="Q10" s="12" t="str">
        <f>" "&amp;$P$9&amp;"+"&amp;$O$9&amp;"/(8.76 x "&amp;$Q$7&amp;")"</f>
        <v xml:space="preserve"> (b)+(a)/(8.76 x 0.75)</v>
      </c>
      <c r="R10" s="12" t="str">
        <f>" "&amp;$P$9&amp;"+"&amp;$O$9&amp;"/(8.76 x "&amp;$R$7&amp;")"</f>
        <v xml:space="preserve"> (b)+(a)/(8.76 x 0.85)</v>
      </c>
      <c r="S10" s="12" t="str">
        <f>" "&amp;$P$9&amp;"+"&amp;$O$9&amp;"/(8.76 x "&amp;$S$7&amp;")"</f>
        <v xml:space="preserve"> (b)+(a)/(8.76 x 0.95)</v>
      </c>
      <c r="V10" s="11"/>
      <c r="W10" s="4" t="str">
        <f>" "&amp;V9&amp;" /(8.76 x "&amp;TEXT('Table 8'!D129,"0.0%")&amp;" x 56%)"</f>
        <v xml:space="preserve"> (a) /(8.76 x 92.7% x 56%)</v>
      </c>
      <c r="X10" s="4"/>
      <c r="Y10" s="88"/>
      <c r="Z10" s="4" t="str">
        <f>W9&amp;" + "&amp;Y9</f>
        <v>(b) + (d)</v>
      </c>
      <c r="AA10" s="226" t="str">
        <f>Y9</f>
        <v>(d)</v>
      </c>
      <c r="AD10" s="4" t="str">
        <f>U1&amp;" "&amp;W9&amp;" *  "&amp;TEXT('Table 2B Wind'!Capacity_Contr_Wind,"0.0%")</f>
        <v>Table 6a (b) *  20.5%</v>
      </c>
      <c r="AE10" s="88"/>
      <c r="AF10" s="88"/>
      <c r="AG10" s="88"/>
      <c r="AH10" s="4" t="str">
        <f>AD9&amp;" + "&amp;AE9&amp;" - "&amp;AG9</f>
        <v>(a) + (b) - (d)</v>
      </c>
      <c r="AI10" s="4" t="str">
        <f>AF9&amp;"-"&amp;AG9</f>
        <v>(c)-(d)</v>
      </c>
      <c r="AL10" s="4" t="str">
        <f>U1&amp;" "&amp;W9&amp;" *  "&amp;TEXT('Table 2C SolarFixed'!Capacity_Contr_Solar_Fixed,"0.0%")</f>
        <v>Table 6a (b) *  68.0%</v>
      </c>
      <c r="AM10" s="4"/>
      <c r="AN10" s="88"/>
      <c r="AO10" s="88"/>
      <c r="AP10" s="4" t="str">
        <f>AL9&amp;" + "&amp;AM9&amp;" - "&amp;AO9</f>
        <v>(a) + (b) - (d)</v>
      </c>
      <c r="AQ10" s="4" t="str">
        <f>AN9&amp;"-"&amp;AO9</f>
        <v>(c)-(d)</v>
      </c>
      <c r="AT10" s="4" t="str">
        <f>U1&amp;" "&amp;W9&amp;" *  "&amp;TEXT('Table 2D SolarTracking'!Capacity_Contr_Solar_Tracking,"0.0%")</f>
        <v>Table 6a (b) *  84.0%</v>
      </c>
      <c r="AU10" s="4"/>
      <c r="AV10" s="88"/>
      <c r="AW10" s="88"/>
      <c r="AX10" s="4" t="str">
        <f>AT9&amp;" + "&amp;AU9&amp;" - "&amp;AW9</f>
        <v>(a) + (b) - (d)</v>
      </c>
      <c r="AY10" s="4" t="str">
        <f>AV9&amp;"-"&amp;AW9</f>
        <v>(c)-(d)</v>
      </c>
      <c r="AZ10" s="4" t="str">
        <f>AW9&amp;"-"&amp;AX9</f>
        <v>(d)-(e)</v>
      </c>
    </row>
    <row r="11" spans="2:52" ht="3.75" customHeight="1" x14ac:dyDescent="0.2">
      <c r="C11" s="110"/>
      <c r="D11" s="110"/>
    </row>
    <row r="12" spans="2:52" s="70" customFormat="1" x14ac:dyDescent="0.2">
      <c r="B12" s="13" t="s">
        <v>66</v>
      </c>
      <c r="C12" s="103"/>
      <c r="D12" s="48"/>
      <c r="E12" s="198"/>
      <c r="F12" s="103"/>
      <c r="G12" s="103"/>
      <c r="H12" s="13" t="s">
        <v>66</v>
      </c>
      <c r="I12" s="182"/>
      <c r="K12" s="182"/>
      <c r="L12" s="182"/>
      <c r="M12" s="103"/>
      <c r="N12" s="13" t="s">
        <v>66</v>
      </c>
      <c r="O12" s="103"/>
      <c r="P12" s="182"/>
      <c r="Q12" s="182"/>
      <c r="R12" s="182"/>
      <c r="S12" s="182"/>
      <c r="T12" s="103"/>
      <c r="U12" s="13" t="s">
        <v>66</v>
      </c>
      <c r="V12" s="103"/>
      <c r="W12" s="182"/>
      <c r="X12" s="182"/>
      <c r="Y12" s="182"/>
      <c r="Z12" s="182"/>
      <c r="AA12" s="182"/>
      <c r="AB12" s="103"/>
      <c r="AC12" s="13" t="s">
        <v>66</v>
      </c>
      <c r="AD12" s="182"/>
      <c r="AE12" s="182"/>
      <c r="AF12" s="182"/>
      <c r="AG12" s="182"/>
      <c r="AH12" s="182"/>
      <c r="AI12" s="182"/>
      <c r="AJ12" s="103"/>
      <c r="AK12" s="13" t="s">
        <v>66</v>
      </c>
      <c r="AL12" s="182"/>
      <c r="AM12" s="182"/>
      <c r="AN12" s="182"/>
      <c r="AO12" s="182"/>
      <c r="AP12" s="182"/>
      <c r="AQ12" s="182"/>
      <c r="AR12" s="103"/>
      <c r="AS12" s="13" t="s">
        <v>66</v>
      </c>
      <c r="AT12" s="182"/>
      <c r="AU12" s="182"/>
      <c r="AV12" s="182"/>
      <c r="AW12" s="182"/>
      <c r="AX12" s="182"/>
      <c r="AY12" s="182"/>
    </row>
    <row r="13" spans="2:52" s="70" customFormat="1" x14ac:dyDescent="0.2">
      <c r="B13" s="199">
        <v>2014</v>
      </c>
      <c r="C13" s="99"/>
      <c r="D13" s="99"/>
      <c r="E13" s="99"/>
      <c r="F13" s="100"/>
      <c r="G13" s="103"/>
      <c r="H13" s="199">
        <f>$B13</f>
        <v>2014</v>
      </c>
      <c r="I13" s="200"/>
      <c r="J13" s="200"/>
      <c r="K13" s="200"/>
      <c r="L13" s="201">
        <f>'Table 2A BaseLoad'!L66</f>
        <v>25.34</v>
      </c>
      <c r="M13" s="103"/>
      <c r="N13" s="199">
        <f>$B13</f>
        <v>2014</v>
      </c>
      <c r="O13" s="99">
        <f>D13</f>
        <v>0</v>
      </c>
      <c r="P13" s="200">
        <f>L13</f>
        <v>25.34</v>
      </c>
      <c r="Q13" s="200">
        <f>ROUND($P13+$O13/(4.416*Q$7),2)</f>
        <v>25.34</v>
      </c>
      <c r="R13" s="200">
        <f>ROUND($P13+$O13/(4.416*R$7),2)</f>
        <v>25.34</v>
      </c>
      <c r="S13" s="201">
        <f>ROUND($P13+$O13/(4.416*S$7),2)</f>
        <v>25.34</v>
      </c>
      <c r="T13" s="103"/>
      <c r="U13" s="199">
        <f>$B13</f>
        <v>2014</v>
      </c>
      <c r="V13" s="99">
        <f>D13</f>
        <v>0</v>
      </c>
      <c r="W13" s="200">
        <f>ROUND(V13/(4.416*'Table 8'!$D$129*0.56),2)</f>
        <v>0</v>
      </c>
      <c r="X13" s="469">
        <f>'Table 2A BaseLoad'!K66</f>
        <v>34.340000000000003</v>
      </c>
      <c r="Y13" s="200">
        <f t="shared" ref="Y13:Y25" si="0">L13</f>
        <v>25.34</v>
      </c>
      <c r="Z13" s="200">
        <f>W13+X13</f>
        <v>34.340000000000003</v>
      </c>
      <c r="AA13" s="201">
        <f>Y13</f>
        <v>25.34</v>
      </c>
      <c r="AB13" s="103"/>
      <c r="AC13" s="199">
        <f>$B13</f>
        <v>2014</v>
      </c>
      <c r="AD13" s="200">
        <f>W13*'Table 2B Wind'!Capacity_Contr_Wind</f>
        <v>0</v>
      </c>
      <c r="AE13" s="200">
        <f>X13</f>
        <v>34.340000000000003</v>
      </c>
      <c r="AF13" s="200">
        <f>Y13</f>
        <v>25.34</v>
      </c>
      <c r="AG13" s="200">
        <f>INDEX('Table 12'!$E:$E,MATCH($U13,'Table 12'!$B:$B,0))</f>
        <v>3.1999999999999997</v>
      </c>
      <c r="AH13" s="200">
        <f>AD13+AE13-AG13</f>
        <v>31.140000000000004</v>
      </c>
      <c r="AI13" s="201">
        <f>AF13-AG13</f>
        <v>22.14</v>
      </c>
      <c r="AJ13" s="103"/>
      <c r="AK13" s="199">
        <f>$B13</f>
        <v>2014</v>
      </c>
      <c r="AL13" s="200">
        <f>W13*'Table 2C SolarFixed'!Capacity_Contr_Solar_Fixed</f>
        <v>0</v>
      </c>
      <c r="AM13" s="200">
        <f>X13</f>
        <v>34.340000000000003</v>
      </c>
      <c r="AN13" s="200">
        <f>Y13</f>
        <v>25.34</v>
      </c>
      <c r="AO13" s="200">
        <f t="shared" ref="AO13:AO25" si="1">Solar_Fixed_integr_cost</f>
        <v>2.83</v>
      </c>
      <c r="AP13" s="200">
        <f>AL13+AM13-AO13</f>
        <v>31.510000000000005</v>
      </c>
      <c r="AQ13" s="201">
        <f>AN13-AO13</f>
        <v>22.509999999999998</v>
      </c>
      <c r="AR13" s="103"/>
      <c r="AS13" s="199">
        <f>$B13</f>
        <v>2014</v>
      </c>
      <c r="AT13" s="200">
        <f>W13*'Table 2D SolarTracking'!Capacity_Contr_Solar_Tracking</f>
        <v>0</v>
      </c>
      <c r="AU13" s="200">
        <f>X13</f>
        <v>34.340000000000003</v>
      </c>
      <c r="AV13" s="200">
        <f>Y13</f>
        <v>25.34</v>
      </c>
      <c r="AW13" s="200">
        <f t="shared" ref="AW13:AW25" si="2">Solar_Tracking_integr_cost</f>
        <v>2.1800000000000002</v>
      </c>
      <c r="AX13" s="200">
        <f>AT13+AU13-AW13</f>
        <v>32.160000000000004</v>
      </c>
      <c r="AY13" s="201">
        <f>AV13-AW13</f>
        <v>23.16</v>
      </c>
    </row>
    <row r="14" spans="2:52" s="70" customFormat="1" x14ac:dyDescent="0.2">
      <c r="B14" s="101">
        <f>B13+1</f>
        <v>2015</v>
      </c>
      <c r="C14" s="103"/>
      <c r="D14" s="103"/>
      <c r="E14" s="198"/>
      <c r="F14" s="104"/>
      <c r="G14" s="103"/>
      <c r="H14" s="101">
        <f>$B14</f>
        <v>2015</v>
      </c>
      <c r="I14" s="182"/>
      <c r="J14" s="182"/>
      <c r="K14" s="182"/>
      <c r="L14" s="202">
        <f>'Table 2A BaseLoad'!L67</f>
        <v>27.33</v>
      </c>
      <c r="M14" s="103"/>
      <c r="N14" s="101">
        <f>$B14</f>
        <v>2015</v>
      </c>
      <c r="O14" s="103">
        <f>D14</f>
        <v>0</v>
      </c>
      <c r="P14" s="182">
        <f>L14</f>
        <v>27.33</v>
      </c>
      <c r="Q14" s="182">
        <f t="shared" ref="Q14:S25" si="3">ROUND($P14+$O14/(8.76*Q$7),2)</f>
        <v>27.33</v>
      </c>
      <c r="R14" s="182">
        <f t="shared" si="3"/>
        <v>27.33</v>
      </c>
      <c r="S14" s="202">
        <f t="shared" si="3"/>
        <v>27.33</v>
      </c>
      <c r="T14" s="103"/>
      <c r="U14" s="101">
        <f t="shared" ref="U14:U25" si="4">$B14</f>
        <v>2015</v>
      </c>
      <c r="V14" s="103">
        <f t="shared" ref="V14" si="5">D14</f>
        <v>0</v>
      </c>
      <c r="W14" s="182">
        <f>ROUND(V14/(8.76*'Table 8'!$D$129*0.56),2)</f>
        <v>0</v>
      </c>
      <c r="X14" s="182">
        <f>'Table 2A BaseLoad'!K67</f>
        <v>36.799999999999997</v>
      </c>
      <c r="Y14" s="182">
        <f t="shared" si="0"/>
        <v>27.33</v>
      </c>
      <c r="Z14" s="182">
        <f t="shared" ref="Z14:Z25" si="6">W14+X14</f>
        <v>36.799999999999997</v>
      </c>
      <c r="AA14" s="202">
        <f t="shared" ref="AA14:AA25" si="7">Y14</f>
        <v>27.33</v>
      </c>
      <c r="AB14" s="103"/>
      <c r="AC14" s="101">
        <f t="shared" ref="AC14:AC25" si="8">$B14</f>
        <v>2015</v>
      </c>
      <c r="AD14" s="182">
        <f>W14*'Table 2B Wind'!Capacity_Contr_Wind</f>
        <v>0</v>
      </c>
      <c r="AE14" s="182">
        <f t="shared" ref="AE14:AE25" si="9">X14</f>
        <v>36.799999999999997</v>
      </c>
      <c r="AF14" s="182">
        <f t="shared" ref="AF14:AF25" si="10">Y14</f>
        <v>27.33</v>
      </c>
      <c r="AG14" s="182">
        <f>INDEX('Table 12'!$E:$E,MATCH($U14,'Table 12'!$B:$B,0))</f>
        <v>3.27</v>
      </c>
      <c r="AH14" s="182">
        <f t="shared" ref="AH14:AH25" si="11">AD14+AE14-AG14</f>
        <v>33.529999999999994</v>
      </c>
      <c r="AI14" s="202">
        <f t="shared" ref="AI14:AI25" si="12">AF14-AG14</f>
        <v>24.06</v>
      </c>
      <c r="AJ14" s="103"/>
      <c r="AK14" s="101">
        <f t="shared" ref="AK14:AK25" si="13">$B14</f>
        <v>2015</v>
      </c>
      <c r="AL14" s="182">
        <f>W14*'Table 2C SolarFixed'!Capacity_Contr_Solar_Fixed</f>
        <v>0</v>
      </c>
      <c r="AM14" s="182">
        <f t="shared" ref="AM14:AM25" si="14">X14</f>
        <v>36.799999999999997</v>
      </c>
      <c r="AN14" s="182">
        <f t="shared" ref="AN14:AN25" si="15">Y14</f>
        <v>27.33</v>
      </c>
      <c r="AO14" s="182">
        <f t="shared" si="1"/>
        <v>2.83</v>
      </c>
      <c r="AP14" s="182">
        <f t="shared" ref="AP14:AP25" si="16">AL14+AM14-AO14</f>
        <v>33.97</v>
      </c>
      <c r="AQ14" s="202">
        <f t="shared" ref="AQ14:AQ25" si="17">AN14-AO14</f>
        <v>24.5</v>
      </c>
      <c r="AR14" s="103"/>
      <c r="AS14" s="101">
        <f t="shared" ref="AS14:AS25" si="18">$B14</f>
        <v>2015</v>
      </c>
      <c r="AT14" s="182">
        <f>W14*'Table 2D SolarTracking'!Capacity_Contr_Solar_Tracking</f>
        <v>0</v>
      </c>
      <c r="AU14" s="182">
        <f t="shared" ref="AU14:AU25" si="19">X14</f>
        <v>36.799999999999997</v>
      </c>
      <c r="AV14" s="182">
        <f t="shared" ref="AV14:AV25" si="20">Y14</f>
        <v>27.33</v>
      </c>
      <c r="AW14" s="182">
        <f t="shared" si="2"/>
        <v>2.1800000000000002</v>
      </c>
      <c r="AX14" s="182">
        <f t="shared" ref="AX14:AX25" si="21">AT14+AU14-AW14</f>
        <v>34.619999999999997</v>
      </c>
      <c r="AY14" s="202">
        <f t="shared" ref="AY14:AY25" si="22">AV14-AW14</f>
        <v>25.15</v>
      </c>
    </row>
    <row r="15" spans="2:52" s="70" customFormat="1" x14ac:dyDescent="0.2">
      <c r="B15" s="101">
        <f t="shared" ref="B15:B25" si="23">B14+1</f>
        <v>2016</v>
      </c>
      <c r="C15" s="103"/>
      <c r="D15" s="103"/>
      <c r="E15" s="198"/>
      <c r="F15" s="104"/>
      <c r="G15" s="103"/>
      <c r="H15" s="101">
        <f t="shared" ref="H15:H25" si="24">$B15</f>
        <v>2016</v>
      </c>
      <c r="I15" s="182"/>
      <c r="J15" s="182"/>
      <c r="K15" s="182"/>
      <c r="L15" s="202">
        <f>'Table 2A BaseLoad'!L68</f>
        <v>25.35</v>
      </c>
      <c r="M15" s="103"/>
      <c r="N15" s="101">
        <f t="shared" ref="N15:N25" si="25">$B15</f>
        <v>2016</v>
      </c>
      <c r="O15" s="103">
        <f t="shared" ref="O15:O21" si="26">D15</f>
        <v>0</v>
      </c>
      <c r="P15" s="182">
        <f t="shared" ref="P15:P21" si="27">L15</f>
        <v>25.35</v>
      </c>
      <c r="Q15" s="182">
        <f t="shared" si="3"/>
        <v>25.35</v>
      </c>
      <c r="R15" s="182">
        <f t="shared" si="3"/>
        <v>25.35</v>
      </c>
      <c r="S15" s="202">
        <f t="shared" si="3"/>
        <v>25.35</v>
      </c>
      <c r="T15" s="103"/>
      <c r="U15" s="101">
        <f t="shared" si="4"/>
        <v>2016</v>
      </c>
      <c r="V15" s="103">
        <f t="shared" ref="V15:V22" si="28">D15</f>
        <v>0</v>
      </c>
      <c r="W15" s="182">
        <f>ROUND(V15/(8.76*'Table 8'!$D$129*0.56),2)</f>
        <v>0</v>
      </c>
      <c r="X15" s="182">
        <f>'Table 2A BaseLoad'!K68</f>
        <v>34.03</v>
      </c>
      <c r="Y15" s="182">
        <f t="shared" si="0"/>
        <v>25.35</v>
      </c>
      <c r="Z15" s="182">
        <f t="shared" si="6"/>
        <v>34.03</v>
      </c>
      <c r="AA15" s="202">
        <f t="shared" si="7"/>
        <v>25.35</v>
      </c>
      <c r="AB15" s="103"/>
      <c r="AC15" s="101">
        <f t="shared" si="8"/>
        <v>2016</v>
      </c>
      <c r="AD15" s="182">
        <f>W15*'Table 2B Wind'!Capacity_Contr_Wind</f>
        <v>0</v>
      </c>
      <c r="AE15" s="182">
        <f t="shared" si="9"/>
        <v>34.03</v>
      </c>
      <c r="AF15" s="182">
        <f t="shared" si="10"/>
        <v>25.35</v>
      </c>
      <c r="AG15" s="182">
        <f>INDEX('Table 12'!$E:$E,MATCH($U15,'Table 12'!$B:$B,0))</f>
        <v>3.28</v>
      </c>
      <c r="AH15" s="182">
        <f t="shared" si="11"/>
        <v>30.75</v>
      </c>
      <c r="AI15" s="202">
        <f t="shared" si="12"/>
        <v>22.07</v>
      </c>
      <c r="AJ15" s="103"/>
      <c r="AK15" s="101">
        <f t="shared" si="13"/>
        <v>2016</v>
      </c>
      <c r="AL15" s="182">
        <f>W15*'Table 2C SolarFixed'!Capacity_Contr_Solar_Fixed</f>
        <v>0</v>
      </c>
      <c r="AM15" s="182">
        <f t="shared" si="14"/>
        <v>34.03</v>
      </c>
      <c r="AN15" s="182">
        <f t="shared" si="15"/>
        <v>25.35</v>
      </c>
      <c r="AO15" s="182">
        <f t="shared" si="1"/>
        <v>2.83</v>
      </c>
      <c r="AP15" s="182">
        <f t="shared" si="16"/>
        <v>31.200000000000003</v>
      </c>
      <c r="AQ15" s="202">
        <f t="shared" si="17"/>
        <v>22.520000000000003</v>
      </c>
      <c r="AR15" s="103"/>
      <c r="AS15" s="101">
        <f t="shared" si="18"/>
        <v>2016</v>
      </c>
      <c r="AT15" s="182">
        <f>W15*'Table 2D SolarTracking'!Capacity_Contr_Solar_Tracking</f>
        <v>0</v>
      </c>
      <c r="AU15" s="182">
        <f t="shared" si="19"/>
        <v>34.03</v>
      </c>
      <c r="AV15" s="182">
        <f t="shared" si="20"/>
        <v>25.35</v>
      </c>
      <c r="AW15" s="182">
        <f t="shared" si="2"/>
        <v>2.1800000000000002</v>
      </c>
      <c r="AX15" s="182">
        <f t="shared" si="21"/>
        <v>31.85</v>
      </c>
      <c r="AY15" s="202">
        <f t="shared" si="22"/>
        <v>23.17</v>
      </c>
    </row>
    <row r="16" spans="2:52" x14ac:dyDescent="0.2">
      <c r="B16" s="101">
        <f t="shared" si="23"/>
        <v>2017</v>
      </c>
      <c r="C16" s="103"/>
      <c r="D16" s="103"/>
      <c r="E16" s="103"/>
      <c r="F16" s="104"/>
      <c r="G16" s="103"/>
      <c r="H16" s="101">
        <f t="shared" si="24"/>
        <v>2017</v>
      </c>
      <c r="I16" s="182"/>
      <c r="J16" s="182"/>
      <c r="K16" s="182"/>
      <c r="L16" s="202">
        <f>'Table 2A BaseLoad'!L69</f>
        <v>26.42</v>
      </c>
      <c r="M16" s="103"/>
      <c r="N16" s="101">
        <f t="shared" si="25"/>
        <v>2017</v>
      </c>
      <c r="O16" s="103">
        <f t="shared" si="26"/>
        <v>0</v>
      </c>
      <c r="P16" s="182">
        <f t="shared" si="27"/>
        <v>26.42</v>
      </c>
      <c r="Q16" s="182">
        <f t="shared" si="3"/>
        <v>26.42</v>
      </c>
      <c r="R16" s="182">
        <f t="shared" si="3"/>
        <v>26.42</v>
      </c>
      <c r="S16" s="202">
        <f t="shared" si="3"/>
        <v>26.42</v>
      </c>
      <c r="T16" s="103"/>
      <c r="U16" s="101">
        <f t="shared" si="4"/>
        <v>2017</v>
      </c>
      <c r="V16" s="103">
        <f t="shared" si="28"/>
        <v>0</v>
      </c>
      <c r="W16" s="182">
        <f>ROUND(V16/(8.76*'Table 8'!$D$129*0.56),2)</f>
        <v>0</v>
      </c>
      <c r="X16" s="182">
        <f>'Table 2A BaseLoad'!K69</f>
        <v>35.28</v>
      </c>
      <c r="Y16" s="182">
        <f t="shared" si="0"/>
        <v>26.42</v>
      </c>
      <c r="Z16" s="182">
        <f t="shared" si="6"/>
        <v>35.28</v>
      </c>
      <c r="AA16" s="202">
        <f t="shared" si="7"/>
        <v>26.42</v>
      </c>
      <c r="AB16" s="103"/>
      <c r="AC16" s="101">
        <f t="shared" si="8"/>
        <v>2017</v>
      </c>
      <c r="AD16" s="182">
        <f>W16*'Table 2B Wind'!Capacity_Contr_Wind</f>
        <v>0</v>
      </c>
      <c r="AE16" s="182">
        <f t="shared" si="9"/>
        <v>35.28</v>
      </c>
      <c r="AF16" s="182">
        <f t="shared" si="10"/>
        <v>26.42</v>
      </c>
      <c r="AG16" s="182">
        <f>INDEX('Table 12'!$E:$E,MATCH($U16,'Table 12'!$B:$B,0))</f>
        <v>3.3600000000000003</v>
      </c>
      <c r="AH16" s="182">
        <f t="shared" si="11"/>
        <v>31.92</v>
      </c>
      <c r="AI16" s="202">
        <f t="shared" si="12"/>
        <v>23.060000000000002</v>
      </c>
      <c r="AJ16" s="103"/>
      <c r="AK16" s="101">
        <f t="shared" si="13"/>
        <v>2017</v>
      </c>
      <c r="AL16" s="182">
        <f>W16*'Table 2C SolarFixed'!Capacity_Contr_Solar_Fixed</f>
        <v>0</v>
      </c>
      <c r="AM16" s="182">
        <f t="shared" si="14"/>
        <v>35.28</v>
      </c>
      <c r="AN16" s="182">
        <f t="shared" si="15"/>
        <v>26.42</v>
      </c>
      <c r="AO16" s="182">
        <f t="shared" si="1"/>
        <v>2.83</v>
      </c>
      <c r="AP16" s="182">
        <f t="shared" si="16"/>
        <v>32.450000000000003</v>
      </c>
      <c r="AQ16" s="202">
        <f t="shared" si="17"/>
        <v>23.590000000000003</v>
      </c>
      <c r="AR16" s="103"/>
      <c r="AS16" s="101">
        <f t="shared" si="18"/>
        <v>2017</v>
      </c>
      <c r="AT16" s="182">
        <f>W16*'Table 2D SolarTracking'!Capacity_Contr_Solar_Tracking</f>
        <v>0</v>
      </c>
      <c r="AU16" s="182">
        <f t="shared" si="19"/>
        <v>35.28</v>
      </c>
      <c r="AV16" s="182">
        <f t="shared" si="20"/>
        <v>26.42</v>
      </c>
      <c r="AW16" s="182">
        <f t="shared" si="2"/>
        <v>2.1800000000000002</v>
      </c>
      <c r="AX16" s="182">
        <f t="shared" si="21"/>
        <v>33.1</v>
      </c>
      <c r="AY16" s="202">
        <f t="shared" si="22"/>
        <v>24.240000000000002</v>
      </c>
    </row>
    <row r="17" spans="2:52" x14ac:dyDescent="0.2">
      <c r="B17" s="101">
        <f t="shared" si="23"/>
        <v>2018</v>
      </c>
      <c r="C17" s="103"/>
      <c r="D17" s="103"/>
      <c r="E17" s="103"/>
      <c r="F17" s="104"/>
      <c r="G17" s="103"/>
      <c r="H17" s="101">
        <f t="shared" si="24"/>
        <v>2018</v>
      </c>
      <c r="I17" s="182"/>
      <c r="J17" s="182"/>
      <c r="K17" s="182"/>
      <c r="L17" s="202">
        <f>'Table 2A BaseLoad'!L70</f>
        <v>28.52</v>
      </c>
      <c r="M17" s="103"/>
      <c r="N17" s="101">
        <f t="shared" si="25"/>
        <v>2018</v>
      </c>
      <c r="O17" s="103">
        <f t="shared" si="26"/>
        <v>0</v>
      </c>
      <c r="P17" s="182">
        <f t="shared" si="27"/>
        <v>28.52</v>
      </c>
      <c r="Q17" s="182">
        <f t="shared" si="3"/>
        <v>28.52</v>
      </c>
      <c r="R17" s="182">
        <f t="shared" si="3"/>
        <v>28.52</v>
      </c>
      <c r="S17" s="202">
        <f t="shared" si="3"/>
        <v>28.52</v>
      </c>
      <c r="T17" s="103"/>
      <c r="U17" s="101">
        <f t="shared" si="4"/>
        <v>2018</v>
      </c>
      <c r="V17" s="103">
        <f t="shared" si="28"/>
        <v>0</v>
      </c>
      <c r="W17" s="182">
        <f>ROUND(V17/(8.76*'Table 8'!$D$129*0.56),2)</f>
        <v>0</v>
      </c>
      <c r="X17" s="182">
        <f>'Table 2A BaseLoad'!K70</f>
        <v>37.97</v>
      </c>
      <c r="Y17" s="182">
        <f t="shared" si="0"/>
        <v>28.52</v>
      </c>
      <c r="Z17" s="182">
        <f t="shared" si="6"/>
        <v>37.97</v>
      </c>
      <c r="AA17" s="202">
        <f t="shared" si="7"/>
        <v>28.52</v>
      </c>
      <c r="AB17" s="103"/>
      <c r="AC17" s="101">
        <f t="shared" si="8"/>
        <v>2018</v>
      </c>
      <c r="AD17" s="182">
        <f>W17*'Table 2B Wind'!Capacity_Contr_Wind</f>
        <v>0</v>
      </c>
      <c r="AE17" s="182">
        <f t="shared" si="9"/>
        <v>37.97</v>
      </c>
      <c r="AF17" s="182">
        <f t="shared" si="10"/>
        <v>28.52</v>
      </c>
      <c r="AG17" s="182">
        <f>INDEX('Table 12'!$E:$E,MATCH($U17,'Table 12'!$B:$B,0))</f>
        <v>3.63</v>
      </c>
      <c r="AH17" s="182">
        <f t="shared" si="11"/>
        <v>34.339999999999996</v>
      </c>
      <c r="AI17" s="202">
        <f t="shared" si="12"/>
        <v>24.89</v>
      </c>
      <c r="AJ17" s="103"/>
      <c r="AK17" s="101">
        <f t="shared" si="13"/>
        <v>2018</v>
      </c>
      <c r="AL17" s="182">
        <f>W17*'Table 2C SolarFixed'!Capacity_Contr_Solar_Fixed</f>
        <v>0</v>
      </c>
      <c r="AM17" s="182">
        <f t="shared" si="14"/>
        <v>37.97</v>
      </c>
      <c r="AN17" s="182">
        <f t="shared" si="15"/>
        <v>28.52</v>
      </c>
      <c r="AO17" s="182">
        <f t="shared" si="1"/>
        <v>2.83</v>
      </c>
      <c r="AP17" s="182">
        <f t="shared" si="16"/>
        <v>35.14</v>
      </c>
      <c r="AQ17" s="202">
        <f t="shared" si="17"/>
        <v>25.689999999999998</v>
      </c>
      <c r="AR17" s="103"/>
      <c r="AS17" s="101">
        <f t="shared" si="18"/>
        <v>2018</v>
      </c>
      <c r="AT17" s="182">
        <f>W17*'Table 2D SolarTracking'!Capacity_Contr_Solar_Tracking</f>
        <v>0</v>
      </c>
      <c r="AU17" s="182">
        <f t="shared" si="19"/>
        <v>37.97</v>
      </c>
      <c r="AV17" s="182">
        <f t="shared" si="20"/>
        <v>28.52</v>
      </c>
      <c r="AW17" s="182">
        <f t="shared" si="2"/>
        <v>2.1800000000000002</v>
      </c>
      <c r="AX17" s="182">
        <f t="shared" si="21"/>
        <v>35.79</v>
      </c>
      <c r="AY17" s="202">
        <f t="shared" si="22"/>
        <v>26.34</v>
      </c>
    </row>
    <row r="18" spans="2:52" x14ac:dyDescent="0.2">
      <c r="B18" s="101">
        <f t="shared" si="23"/>
        <v>2019</v>
      </c>
      <c r="C18" s="103"/>
      <c r="D18" s="103"/>
      <c r="E18" s="103"/>
      <c r="F18" s="104"/>
      <c r="G18" s="103"/>
      <c r="H18" s="101">
        <f t="shared" si="24"/>
        <v>2019</v>
      </c>
      <c r="I18" s="182"/>
      <c r="J18" s="182"/>
      <c r="K18" s="182"/>
      <c r="L18" s="202">
        <f>'Table 2A BaseLoad'!L71</f>
        <v>30.17</v>
      </c>
      <c r="M18" s="103"/>
      <c r="N18" s="101">
        <f t="shared" si="25"/>
        <v>2019</v>
      </c>
      <c r="O18" s="103">
        <f t="shared" si="26"/>
        <v>0</v>
      </c>
      <c r="P18" s="182">
        <f t="shared" si="27"/>
        <v>30.17</v>
      </c>
      <c r="Q18" s="182">
        <f t="shared" si="3"/>
        <v>30.17</v>
      </c>
      <c r="R18" s="182">
        <f t="shared" si="3"/>
        <v>30.17</v>
      </c>
      <c r="S18" s="202">
        <f t="shared" si="3"/>
        <v>30.17</v>
      </c>
      <c r="T18" s="103"/>
      <c r="U18" s="101">
        <f t="shared" si="4"/>
        <v>2019</v>
      </c>
      <c r="V18" s="103">
        <f t="shared" si="28"/>
        <v>0</v>
      </c>
      <c r="W18" s="182">
        <f>ROUND(V18/(8.76*'Table 8'!$D$129*0.56),2)</f>
        <v>0</v>
      </c>
      <c r="X18" s="182">
        <f>'Table 2A BaseLoad'!K71</f>
        <v>39.61</v>
      </c>
      <c r="Y18" s="182">
        <f t="shared" si="0"/>
        <v>30.17</v>
      </c>
      <c r="Z18" s="182">
        <f t="shared" si="6"/>
        <v>39.61</v>
      </c>
      <c r="AA18" s="202">
        <f t="shared" si="7"/>
        <v>30.17</v>
      </c>
      <c r="AB18" s="103"/>
      <c r="AC18" s="101">
        <f t="shared" si="8"/>
        <v>2019</v>
      </c>
      <c r="AD18" s="182">
        <f>W18*'Table 2B Wind'!Capacity_Contr_Wind</f>
        <v>0</v>
      </c>
      <c r="AE18" s="182">
        <f t="shared" si="9"/>
        <v>39.61</v>
      </c>
      <c r="AF18" s="182">
        <f t="shared" si="10"/>
        <v>30.17</v>
      </c>
      <c r="AG18" s="182">
        <f>INDEX('Table 12'!$E:$E,MATCH($U18,'Table 12'!$B:$B,0))</f>
        <v>3.93</v>
      </c>
      <c r="AH18" s="182">
        <f t="shared" si="11"/>
        <v>35.68</v>
      </c>
      <c r="AI18" s="202">
        <f t="shared" si="12"/>
        <v>26.240000000000002</v>
      </c>
      <c r="AJ18" s="103"/>
      <c r="AK18" s="101">
        <f t="shared" si="13"/>
        <v>2019</v>
      </c>
      <c r="AL18" s="182">
        <f>W18*'Table 2C SolarFixed'!Capacity_Contr_Solar_Fixed</f>
        <v>0</v>
      </c>
      <c r="AM18" s="182">
        <f t="shared" si="14"/>
        <v>39.61</v>
      </c>
      <c r="AN18" s="182">
        <f t="shared" si="15"/>
        <v>30.17</v>
      </c>
      <c r="AO18" s="182">
        <f t="shared" si="1"/>
        <v>2.83</v>
      </c>
      <c r="AP18" s="182">
        <f t="shared" si="16"/>
        <v>36.78</v>
      </c>
      <c r="AQ18" s="202">
        <f t="shared" si="17"/>
        <v>27.340000000000003</v>
      </c>
      <c r="AR18" s="103"/>
      <c r="AS18" s="101">
        <f t="shared" si="18"/>
        <v>2019</v>
      </c>
      <c r="AT18" s="182">
        <f>W18*'Table 2D SolarTracking'!Capacity_Contr_Solar_Tracking</f>
        <v>0</v>
      </c>
      <c r="AU18" s="182">
        <f t="shared" si="19"/>
        <v>39.61</v>
      </c>
      <c r="AV18" s="182">
        <f t="shared" si="20"/>
        <v>30.17</v>
      </c>
      <c r="AW18" s="182">
        <f t="shared" si="2"/>
        <v>2.1800000000000002</v>
      </c>
      <c r="AX18" s="182">
        <f t="shared" si="21"/>
        <v>37.43</v>
      </c>
      <c r="AY18" s="202">
        <f t="shared" si="22"/>
        <v>27.990000000000002</v>
      </c>
    </row>
    <row r="19" spans="2:52" x14ac:dyDescent="0.2">
      <c r="B19" s="101">
        <f t="shared" si="23"/>
        <v>2020</v>
      </c>
      <c r="C19" s="103"/>
      <c r="D19" s="103"/>
      <c r="E19" s="103"/>
      <c r="F19" s="104"/>
      <c r="G19" s="103"/>
      <c r="H19" s="101">
        <f t="shared" si="24"/>
        <v>2020</v>
      </c>
      <c r="I19" s="182"/>
      <c r="J19" s="182"/>
      <c r="K19" s="182"/>
      <c r="L19" s="202">
        <f>'Table 2A BaseLoad'!L72</f>
        <v>34.79</v>
      </c>
      <c r="M19" s="103"/>
      <c r="N19" s="101">
        <f t="shared" si="25"/>
        <v>2020</v>
      </c>
      <c r="O19" s="103">
        <f t="shared" si="26"/>
        <v>0</v>
      </c>
      <c r="P19" s="182">
        <f t="shared" si="27"/>
        <v>34.79</v>
      </c>
      <c r="Q19" s="182">
        <f t="shared" si="3"/>
        <v>34.79</v>
      </c>
      <c r="R19" s="182">
        <f t="shared" si="3"/>
        <v>34.79</v>
      </c>
      <c r="S19" s="202">
        <f t="shared" si="3"/>
        <v>34.79</v>
      </c>
      <c r="T19" s="103"/>
      <c r="U19" s="101">
        <f t="shared" si="4"/>
        <v>2020</v>
      </c>
      <c r="V19" s="103">
        <f t="shared" si="28"/>
        <v>0</v>
      </c>
      <c r="W19" s="182">
        <f>ROUND(V19/(8.76*'Table 8'!$D$129*0.56),2)</f>
        <v>0</v>
      </c>
      <c r="X19" s="182">
        <f>'Table 2A BaseLoad'!K72</f>
        <v>42.21</v>
      </c>
      <c r="Y19" s="182">
        <f t="shared" si="0"/>
        <v>34.79</v>
      </c>
      <c r="Z19" s="182">
        <f t="shared" si="6"/>
        <v>42.21</v>
      </c>
      <c r="AA19" s="202">
        <f t="shared" si="7"/>
        <v>34.79</v>
      </c>
      <c r="AB19" s="103"/>
      <c r="AC19" s="101">
        <f t="shared" si="8"/>
        <v>2020</v>
      </c>
      <c r="AD19" s="182">
        <f>W19*'Table 2B Wind'!Capacity_Contr_Wind</f>
        <v>0</v>
      </c>
      <c r="AE19" s="182">
        <f t="shared" si="9"/>
        <v>42.21</v>
      </c>
      <c r="AF19" s="182">
        <f t="shared" si="10"/>
        <v>34.79</v>
      </c>
      <c r="AG19" s="182">
        <f>INDEX('Table 12'!$E:$E,MATCH($U19,'Table 12'!$B:$B,0))</f>
        <v>4.5</v>
      </c>
      <c r="AH19" s="182">
        <f t="shared" si="11"/>
        <v>37.71</v>
      </c>
      <c r="AI19" s="202">
        <f t="shared" si="12"/>
        <v>30.29</v>
      </c>
      <c r="AJ19" s="103"/>
      <c r="AK19" s="101">
        <f t="shared" si="13"/>
        <v>2020</v>
      </c>
      <c r="AL19" s="182">
        <f>W19*'Table 2C SolarFixed'!Capacity_Contr_Solar_Fixed</f>
        <v>0</v>
      </c>
      <c r="AM19" s="182">
        <f t="shared" si="14"/>
        <v>42.21</v>
      </c>
      <c r="AN19" s="182">
        <f t="shared" si="15"/>
        <v>34.79</v>
      </c>
      <c r="AO19" s="182">
        <f t="shared" si="1"/>
        <v>2.83</v>
      </c>
      <c r="AP19" s="182">
        <f t="shared" si="16"/>
        <v>39.380000000000003</v>
      </c>
      <c r="AQ19" s="202">
        <f t="shared" si="17"/>
        <v>31.96</v>
      </c>
      <c r="AR19" s="103"/>
      <c r="AS19" s="101">
        <f t="shared" si="18"/>
        <v>2020</v>
      </c>
      <c r="AT19" s="182">
        <f>W19*'Table 2D SolarTracking'!Capacity_Contr_Solar_Tracking</f>
        <v>0</v>
      </c>
      <c r="AU19" s="182">
        <f t="shared" si="19"/>
        <v>42.21</v>
      </c>
      <c r="AV19" s="182">
        <f t="shared" si="20"/>
        <v>34.79</v>
      </c>
      <c r="AW19" s="182">
        <f t="shared" si="2"/>
        <v>2.1800000000000002</v>
      </c>
      <c r="AX19" s="182">
        <f t="shared" si="21"/>
        <v>40.03</v>
      </c>
      <c r="AY19" s="202">
        <f t="shared" si="22"/>
        <v>32.61</v>
      </c>
    </row>
    <row r="20" spans="2:52" x14ac:dyDescent="0.2">
      <c r="B20" s="101">
        <f t="shared" si="23"/>
        <v>2021</v>
      </c>
      <c r="C20" s="103"/>
      <c r="D20" s="103"/>
      <c r="E20" s="103"/>
      <c r="F20" s="104"/>
      <c r="G20" s="103"/>
      <c r="H20" s="101">
        <f t="shared" si="24"/>
        <v>2021</v>
      </c>
      <c r="I20" s="182"/>
      <c r="J20" s="182"/>
      <c r="K20" s="182"/>
      <c r="L20" s="202">
        <f>'Table 2A BaseLoad'!L73</f>
        <v>40.06</v>
      </c>
      <c r="M20" s="103"/>
      <c r="N20" s="101">
        <f t="shared" si="25"/>
        <v>2021</v>
      </c>
      <c r="O20" s="103">
        <f t="shared" si="26"/>
        <v>0</v>
      </c>
      <c r="P20" s="182">
        <f t="shared" si="27"/>
        <v>40.06</v>
      </c>
      <c r="Q20" s="182">
        <f t="shared" si="3"/>
        <v>40.06</v>
      </c>
      <c r="R20" s="182">
        <f t="shared" si="3"/>
        <v>40.06</v>
      </c>
      <c r="S20" s="202">
        <f t="shared" si="3"/>
        <v>40.06</v>
      </c>
      <c r="T20" s="103"/>
      <c r="U20" s="101">
        <f t="shared" si="4"/>
        <v>2021</v>
      </c>
      <c r="V20" s="103">
        <f t="shared" si="28"/>
        <v>0</v>
      </c>
      <c r="W20" s="182">
        <f>ROUND(V20/(8.76*'Table 8'!$D$129*0.56),2)</f>
        <v>0</v>
      </c>
      <c r="X20" s="182">
        <f>'Table 2A BaseLoad'!K73</f>
        <v>43.94</v>
      </c>
      <c r="Y20" s="182">
        <f t="shared" si="0"/>
        <v>40.06</v>
      </c>
      <c r="Z20" s="182">
        <f t="shared" si="6"/>
        <v>43.94</v>
      </c>
      <c r="AA20" s="202">
        <f t="shared" si="7"/>
        <v>40.06</v>
      </c>
      <c r="AB20" s="103"/>
      <c r="AC20" s="101">
        <f t="shared" si="8"/>
        <v>2021</v>
      </c>
      <c r="AD20" s="182">
        <f>W20*'Table 2B Wind'!Capacity_Contr_Wind</f>
        <v>0</v>
      </c>
      <c r="AE20" s="182">
        <f t="shared" si="9"/>
        <v>43.94</v>
      </c>
      <c r="AF20" s="182">
        <f t="shared" si="10"/>
        <v>40.06</v>
      </c>
      <c r="AG20" s="182">
        <f>INDEX('Table 12'!$E:$E,MATCH($U20,'Table 12'!$B:$B,0))</f>
        <v>5.2</v>
      </c>
      <c r="AH20" s="182">
        <f t="shared" si="11"/>
        <v>38.739999999999995</v>
      </c>
      <c r="AI20" s="202">
        <f t="shared" si="12"/>
        <v>34.86</v>
      </c>
      <c r="AJ20" s="103"/>
      <c r="AK20" s="101">
        <f t="shared" si="13"/>
        <v>2021</v>
      </c>
      <c r="AL20" s="182">
        <f>W20*'Table 2C SolarFixed'!Capacity_Contr_Solar_Fixed</f>
        <v>0</v>
      </c>
      <c r="AM20" s="182">
        <f t="shared" si="14"/>
        <v>43.94</v>
      </c>
      <c r="AN20" s="182">
        <f t="shared" si="15"/>
        <v>40.06</v>
      </c>
      <c r="AO20" s="182">
        <f t="shared" si="1"/>
        <v>2.83</v>
      </c>
      <c r="AP20" s="182">
        <f t="shared" si="16"/>
        <v>41.11</v>
      </c>
      <c r="AQ20" s="202">
        <f t="shared" si="17"/>
        <v>37.230000000000004</v>
      </c>
      <c r="AR20" s="103"/>
      <c r="AS20" s="101">
        <f t="shared" si="18"/>
        <v>2021</v>
      </c>
      <c r="AT20" s="182">
        <f>W20*'Table 2D SolarTracking'!Capacity_Contr_Solar_Tracking</f>
        <v>0</v>
      </c>
      <c r="AU20" s="182">
        <f t="shared" si="19"/>
        <v>43.94</v>
      </c>
      <c r="AV20" s="182">
        <f t="shared" si="20"/>
        <v>40.06</v>
      </c>
      <c r="AW20" s="182">
        <f t="shared" si="2"/>
        <v>2.1800000000000002</v>
      </c>
      <c r="AX20" s="182">
        <f t="shared" si="21"/>
        <v>41.76</v>
      </c>
      <c r="AY20" s="202">
        <f t="shared" si="22"/>
        <v>37.880000000000003</v>
      </c>
    </row>
    <row r="21" spans="2:52" x14ac:dyDescent="0.2">
      <c r="B21" s="101">
        <f t="shared" si="23"/>
        <v>2022</v>
      </c>
      <c r="C21" s="103"/>
      <c r="D21" s="103"/>
      <c r="E21" s="103"/>
      <c r="F21" s="104"/>
      <c r="G21" s="103"/>
      <c r="H21" s="101">
        <f t="shared" si="24"/>
        <v>2022</v>
      </c>
      <c r="I21" s="182"/>
      <c r="J21" s="182"/>
      <c r="K21" s="182"/>
      <c r="L21" s="202">
        <f>'Table 2A BaseLoad'!L74</f>
        <v>41.3</v>
      </c>
      <c r="M21" s="103"/>
      <c r="N21" s="101">
        <f t="shared" si="25"/>
        <v>2022</v>
      </c>
      <c r="O21" s="103">
        <f t="shared" si="26"/>
        <v>0</v>
      </c>
      <c r="P21" s="182">
        <f t="shared" si="27"/>
        <v>41.3</v>
      </c>
      <c r="Q21" s="182">
        <f t="shared" si="3"/>
        <v>41.3</v>
      </c>
      <c r="R21" s="182">
        <f t="shared" si="3"/>
        <v>41.3</v>
      </c>
      <c r="S21" s="202">
        <f t="shared" si="3"/>
        <v>41.3</v>
      </c>
      <c r="T21" s="103"/>
      <c r="U21" s="101">
        <f t="shared" si="4"/>
        <v>2022</v>
      </c>
      <c r="V21" s="103">
        <f t="shared" si="28"/>
        <v>0</v>
      </c>
      <c r="W21" s="182">
        <f>ROUND(V21/(8.76*'Table 8'!$D$129*0.56),2)</f>
        <v>0</v>
      </c>
      <c r="X21" s="182">
        <f>'Table 2A BaseLoad'!K74</f>
        <v>44.35</v>
      </c>
      <c r="Y21" s="182">
        <f t="shared" si="0"/>
        <v>41.3</v>
      </c>
      <c r="Z21" s="182">
        <f t="shared" si="6"/>
        <v>44.35</v>
      </c>
      <c r="AA21" s="202">
        <f t="shared" si="7"/>
        <v>41.3</v>
      </c>
      <c r="AB21" s="103"/>
      <c r="AC21" s="101">
        <f t="shared" si="8"/>
        <v>2022</v>
      </c>
      <c r="AD21" s="182">
        <f>W21*'Table 2B Wind'!Capacity_Contr_Wind</f>
        <v>0</v>
      </c>
      <c r="AE21" s="182">
        <f t="shared" si="9"/>
        <v>44.35</v>
      </c>
      <c r="AF21" s="182">
        <f t="shared" si="10"/>
        <v>41.3</v>
      </c>
      <c r="AG21" s="182">
        <f>INDEX('Table 12'!$E:$E,MATCH($U21,'Table 12'!$B:$B,0))</f>
        <v>6.12</v>
      </c>
      <c r="AH21" s="182">
        <f t="shared" si="11"/>
        <v>38.230000000000004</v>
      </c>
      <c r="AI21" s="202">
        <f t="shared" si="12"/>
        <v>35.18</v>
      </c>
      <c r="AJ21" s="103"/>
      <c r="AK21" s="101">
        <f t="shared" si="13"/>
        <v>2022</v>
      </c>
      <c r="AL21" s="182">
        <f>W21*'Table 2C SolarFixed'!Capacity_Contr_Solar_Fixed</f>
        <v>0</v>
      </c>
      <c r="AM21" s="182">
        <f t="shared" si="14"/>
        <v>44.35</v>
      </c>
      <c r="AN21" s="182">
        <f t="shared" si="15"/>
        <v>41.3</v>
      </c>
      <c r="AO21" s="182">
        <f t="shared" si="1"/>
        <v>2.83</v>
      </c>
      <c r="AP21" s="182">
        <f t="shared" si="16"/>
        <v>41.52</v>
      </c>
      <c r="AQ21" s="202">
        <f t="shared" si="17"/>
        <v>38.47</v>
      </c>
      <c r="AR21" s="103"/>
      <c r="AS21" s="101">
        <f t="shared" si="18"/>
        <v>2022</v>
      </c>
      <c r="AT21" s="182">
        <f>W21*'Table 2D SolarTracking'!Capacity_Contr_Solar_Tracking</f>
        <v>0</v>
      </c>
      <c r="AU21" s="182">
        <f t="shared" si="19"/>
        <v>44.35</v>
      </c>
      <c r="AV21" s="182">
        <f t="shared" si="20"/>
        <v>41.3</v>
      </c>
      <c r="AW21" s="182">
        <f t="shared" si="2"/>
        <v>2.1800000000000002</v>
      </c>
      <c r="AX21" s="182">
        <f t="shared" si="21"/>
        <v>42.17</v>
      </c>
      <c r="AY21" s="202">
        <f t="shared" si="22"/>
        <v>39.119999999999997</v>
      </c>
    </row>
    <row r="22" spans="2:52" x14ac:dyDescent="0.2">
      <c r="B22" s="101">
        <f t="shared" si="23"/>
        <v>2023</v>
      </c>
      <c r="C22" s="103"/>
      <c r="D22" s="103"/>
      <c r="E22" s="103"/>
      <c r="F22" s="104"/>
      <c r="G22" s="103"/>
      <c r="H22" s="101">
        <f t="shared" si="24"/>
        <v>2023</v>
      </c>
      <c r="I22" s="182"/>
      <c r="J22" s="182"/>
      <c r="K22" s="182"/>
      <c r="L22" s="202">
        <f>'Table 2A BaseLoad'!L75</f>
        <v>42.81</v>
      </c>
      <c r="M22" s="103"/>
      <c r="N22" s="101">
        <f t="shared" si="25"/>
        <v>2023</v>
      </c>
      <c r="O22" s="103">
        <f t="shared" ref="O22:O25" si="29">D22</f>
        <v>0</v>
      </c>
      <c r="P22" s="182">
        <f t="shared" ref="P22:P25" si="30">L22</f>
        <v>42.81</v>
      </c>
      <c r="Q22" s="182">
        <f t="shared" si="3"/>
        <v>42.81</v>
      </c>
      <c r="R22" s="182">
        <f t="shared" si="3"/>
        <v>42.81</v>
      </c>
      <c r="S22" s="202">
        <f t="shared" si="3"/>
        <v>42.81</v>
      </c>
      <c r="T22" s="103"/>
      <c r="U22" s="101">
        <f t="shared" si="4"/>
        <v>2023</v>
      </c>
      <c r="V22" s="103">
        <f t="shared" si="28"/>
        <v>0</v>
      </c>
      <c r="W22" s="182">
        <f>ROUND(V22/(8.76*'Table 8'!$D$129*0.56),2)</f>
        <v>0</v>
      </c>
      <c r="X22" s="182">
        <f>'Table 2A BaseLoad'!K75</f>
        <v>45.81</v>
      </c>
      <c r="Y22" s="182">
        <f t="shared" si="0"/>
        <v>42.81</v>
      </c>
      <c r="Z22" s="182">
        <f t="shared" si="6"/>
        <v>45.81</v>
      </c>
      <c r="AA22" s="202">
        <f t="shared" si="7"/>
        <v>42.81</v>
      </c>
      <c r="AB22" s="103"/>
      <c r="AC22" s="101">
        <f t="shared" si="8"/>
        <v>2023</v>
      </c>
      <c r="AD22" s="182">
        <f>W22*'Table 2B Wind'!Capacity_Contr_Wind</f>
        <v>0</v>
      </c>
      <c r="AE22" s="182">
        <f t="shared" si="9"/>
        <v>45.81</v>
      </c>
      <c r="AF22" s="182">
        <f t="shared" si="10"/>
        <v>42.81</v>
      </c>
      <c r="AG22" s="182">
        <f>INDEX('Table 12'!$E:$E,MATCH($U22,'Table 12'!$B:$B,0))</f>
        <v>7.04</v>
      </c>
      <c r="AH22" s="182">
        <f t="shared" si="11"/>
        <v>38.770000000000003</v>
      </c>
      <c r="AI22" s="202">
        <f t="shared" si="12"/>
        <v>35.770000000000003</v>
      </c>
      <c r="AJ22" s="103"/>
      <c r="AK22" s="101">
        <f t="shared" si="13"/>
        <v>2023</v>
      </c>
      <c r="AL22" s="182">
        <f>W22*'Table 2C SolarFixed'!Capacity_Contr_Solar_Fixed</f>
        <v>0</v>
      </c>
      <c r="AM22" s="182">
        <f t="shared" si="14"/>
        <v>45.81</v>
      </c>
      <c r="AN22" s="182">
        <f t="shared" si="15"/>
        <v>42.81</v>
      </c>
      <c r="AO22" s="182">
        <f t="shared" si="1"/>
        <v>2.83</v>
      </c>
      <c r="AP22" s="182">
        <f t="shared" si="16"/>
        <v>42.980000000000004</v>
      </c>
      <c r="AQ22" s="202">
        <f t="shared" si="17"/>
        <v>39.980000000000004</v>
      </c>
      <c r="AR22" s="103"/>
      <c r="AS22" s="101">
        <f t="shared" si="18"/>
        <v>2023</v>
      </c>
      <c r="AT22" s="182">
        <f>W22*'Table 2D SolarTracking'!Capacity_Contr_Solar_Tracking</f>
        <v>0</v>
      </c>
      <c r="AU22" s="182">
        <f t="shared" si="19"/>
        <v>45.81</v>
      </c>
      <c r="AV22" s="182">
        <f t="shared" si="20"/>
        <v>42.81</v>
      </c>
      <c r="AW22" s="182">
        <f t="shared" si="2"/>
        <v>2.1800000000000002</v>
      </c>
      <c r="AX22" s="182">
        <f t="shared" si="21"/>
        <v>43.63</v>
      </c>
      <c r="AY22" s="202">
        <f t="shared" si="22"/>
        <v>40.630000000000003</v>
      </c>
    </row>
    <row r="23" spans="2:52" x14ac:dyDescent="0.2">
      <c r="B23" s="101">
        <f t="shared" si="23"/>
        <v>2024</v>
      </c>
      <c r="C23" s="103"/>
      <c r="D23" s="103"/>
      <c r="E23" s="103"/>
      <c r="F23" s="104"/>
      <c r="G23" s="103"/>
      <c r="H23" s="101">
        <f t="shared" si="24"/>
        <v>2024</v>
      </c>
      <c r="I23" s="182"/>
      <c r="J23" s="182"/>
      <c r="K23" s="182"/>
      <c r="L23" s="202">
        <f>'Table 2A BaseLoad'!L76</f>
        <v>44.69</v>
      </c>
      <c r="M23" s="103"/>
      <c r="N23" s="101">
        <f t="shared" si="25"/>
        <v>2024</v>
      </c>
      <c r="O23" s="103">
        <f t="shared" si="29"/>
        <v>0</v>
      </c>
      <c r="P23" s="182">
        <f t="shared" si="30"/>
        <v>44.69</v>
      </c>
      <c r="Q23" s="182">
        <f t="shared" si="3"/>
        <v>44.69</v>
      </c>
      <c r="R23" s="182">
        <f t="shared" si="3"/>
        <v>44.69</v>
      </c>
      <c r="S23" s="202">
        <f t="shared" si="3"/>
        <v>44.69</v>
      </c>
      <c r="T23" s="103"/>
      <c r="U23" s="101">
        <f t="shared" si="4"/>
        <v>2024</v>
      </c>
      <c r="V23" s="103">
        <f t="shared" ref="V23:V25" si="31">D23</f>
        <v>0</v>
      </c>
      <c r="W23" s="182">
        <f>ROUND(V23/(8.76*'Table 8'!$D$129*0.56),2)</f>
        <v>0</v>
      </c>
      <c r="X23" s="182">
        <f>'Table 2A BaseLoad'!K76</f>
        <v>47.94</v>
      </c>
      <c r="Y23" s="182">
        <f t="shared" si="0"/>
        <v>44.69</v>
      </c>
      <c r="Z23" s="182">
        <f t="shared" si="6"/>
        <v>47.94</v>
      </c>
      <c r="AA23" s="202">
        <f t="shared" si="7"/>
        <v>44.69</v>
      </c>
      <c r="AB23" s="103"/>
      <c r="AC23" s="101">
        <f t="shared" si="8"/>
        <v>2024</v>
      </c>
      <c r="AD23" s="182">
        <f>W23*'Table 2B Wind'!Capacity_Contr_Wind</f>
        <v>0</v>
      </c>
      <c r="AE23" s="182">
        <f t="shared" si="9"/>
        <v>47.94</v>
      </c>
      <c r="AF23" s="182">
        <f t="shared" si="10"/>
        <v>44.69</v>
      </c>
      <c r="AG23" s="182">
        <f>INDEX('Table 12'!$E:$E,MATCH($U23,'Table 12'!$B:$B,0))</f>
        <v>6.1199999999999992</v>
      </c>
      <c r="AH23" s="182">
        <f t="shared" si="11"/>
        <v>41.82</v>
      </c>
      <c r="AI23" s="202">
        <f t="shared" si="12"/>
        <v>38.57</v>
      </c>
      <c r="AJ23" s="103"/>
      <c r="AK23" s="101">
        <f t="shared" si="13"/>
        <v>2024</v>
      </c>
      <c r="AL23" s="182">
        <f>W23*'Table 2C SolarFixed'!Capacity_Contr_Solar_Fixed</f>
        <v>0</v>
      </c>
      <c r="AM23" s="182">
        <f t="shared" si="14"/>
        <v>47.94</v>
      </c>
      <c r="AN23" s="182">
        <f t="shared" si="15"/>
        <v>44.69</v>
      </c>
      <c r="AO23" s="182">
        <f t="shared" si="1"/>
        <v>2.83</v>
      </c>
      <c r="AP23" s="182">
        <f t="shared" si="16"/>
        <v>45.11</v>
      </c>
      <c r="AQ23" s="202">
        <f t="shared" si="17"/>
        <v>41.86</v>
      </c>
      <c r="AR23" s="103"/>
      <c r="AS23" s="101">
        <f t="shared" si="18"/>
        <v>2024</v>
      </c>
      <c r="AT23" s="182">
        <f>W23*'Table 2D SolarTracking'!Capacity_Contr_Solar_Tracking</f>
        <v>0</v>
      </c>
      <c r="AU23" s="182">
        <f t="shared" si="19"/>
        <v>47.94</v>
      </c>
      <c r="AV23" s="182">
        <f t="shared" si="20"/>
        <v>44.69</v>
      </c>
      <c r="AW23" s="182">
        <f t="shared" si="2"/>
        <v>2.1800000000000002</v>
      </c>
      <c r="AX23" s="182">
        <f t="shared" si="21"/>
        <v>45.76</v>
      </c>
      <c r="AY23" s="202">
        <f t="shared" si="22"/>
        <v>42.51</v>
      </c>
    </row>
    <row r="24" spans="2:52" x14ac:dyDescent="0.2">
      <c r="B24" s="101">
        <f t="shared" si="23"/>
        <v>2025</v>
      </c>
      <c r="C24" s="103"/>
      <c r="D24" s="103"/>
      <c r="E24" s="103"/>
      <c r="F24" s="104"/>
      <c r="G24" s="103"/>
      <c r="H24" s="101">
        <f t="shared" si="24"/>
        <v>2025</v>
      </c>
      <c r="I24" s="182"/>
      <c r="J24" s="182"/>
      <c r="K24" s="182"/>
      <c r="L24" s="202">
        <f>'Table 2A BaseLoad'!L77</f>
        <v>46.99</v>
      </c>
      <c r="M24" s="103"/>
      <c r="N24" s="101">
        <f t="shared" si="25"/>
        <v>2025</v>
      </c>
      <c r="O24" s="103">
        <f t="shared" si="29"/>
        <v>0</v>
      </c>
      <c r="P24" s="182">
        <f t="shared" si="30"/>
        <v>46.99</v>
      </c>
      <c r="Q24" s="182">
        <f t="shared" si="3"/>
        <v>46.99</v>
      </c>
      <c r="R24" s="182">
        <f t="shared" si="3"/>
        <v>46.99</v>
      </c>
      <c r="S24" s="202">
        <f t="shared" si="3"/>
        <v>46.99</v>
      </c>
      <c r="T24" s="103"/>
      <c r="U24" s="101">
        <f t="shared" si="4"/>
        <v>2025</v>
      </c>
      <c r="V24" s="103">
        <f t="shared" si="31"/>
        <v>0</v>
      </c>
      <c r="W24" s="182">
        <f>ROUND(V24/(8.76*'Table 8'!$D$129*0.56),2)</f>
        <v>0</v>
      </c>
      <c r="X24" s="182">
        <f>'Table 2A BaseLoad'!K77</f>
        <v>50.57</v>
      </c>
      <c r="Y24" s="182">
        <f t="shared" si="0"/>
        <v>46.99</v>
      </c>
      <c r="Z24" s="182">
        <f t="shared" si="6"/>
        <v>50.57</v>
      </c>
      <c r="AA24" s="202">
        <f t="shared" si="7"/>
        <v>46.99</v>
      </c>
      <c r="AB24" s="103"/>
      <c r="AC24" s="101">
        <f t="shared" si="8"/>
        <v>2025</v>
      </c>
      <c r="AD24" s="182">
        <f>W24*'Table 2B Wind'!Capacity_Contr_Wind</f>
        <v>0</v>
      </c>
      <c r="AE24" s="182">
        <f t="shared" si="9"/>
        <v>50.57</v>
      </c>
      <c r="AF24" s="182">
        <f t="shared" si="10"/>
        <v>46.99</v>
      </c>
      <c r="AG24" s="182">
        <f>INDEX('Table 12'!$E:$E,MATCH($U24,'Table 12'!$B:$B,0))</f>
        <v>6.17</v>
      </c>
      <c r="AH24" s="182">
        <f t="shared" si="11"/>
        <v>44.4</v>
      </c>
      <c r="AI24" s="202">
        <f t="shared" si="12"/>
        <v>40.82</v>
      </c>
      <c r="AJ24" s="103"/>
      <c r="AK24" s="101">
        <f t="shared" si="13"/>
        <v>2025</v>
      </c>
      <c r="AL24" s="182">
        <f>W24*'Table 2C SolarFixed'!Capacity_Contr_Solar_Fixed</f>
        <v>0</v>
      </c>
      <c r="AM24" s="182">
        <f t="shared" si="14"/>
        <v>50.57</v>
      </c>
      <c r="AN24" s="182">
        <f t="shared" si="15"/>
        <v>46.99</v>
      </c>
      <c r="AO24" s="182">
        <f t="shared" si="1"/>
        <v>2.83</v>
      </c>
      <c r="AP24" s="182">
        <f t="shared" si="16"/>
        <v>47.74</v>
      </c>
      <c r="AQ24" s="202">
        <f t="shared" si="17"/>
        <v>44.160000000000004</v>
      </c>
      <c r="AR24" s="103"/>
      <c r="AS24" s="101">
        <f t="shared" si="18"/>
        <v>2025</v>
      </c>
      <c r="AT24" s="182">
        <f>W24*'Table 2D SolarTracking'!Capacity_Contr_Solar_Tracking</f>
        <v>0</v>
      </c>
      <c r="AU24" s="182">
        <f t="shared" si="19"/>
        <v>50.57</v>
      </c>
      <c r="AV24" s="182">
        <f t="shared" si="20"/>
        <v>46.99</v>
      </c>
      <c r="AW24" s="182">
        <f t="shared" si="2"/>
        <v>2.1800000000000002</v>
      </c>
      <c r="AX24" s="182">
        <f t="shared" si="21"/>
        <v>48.39</v>
      </c>
      <c r="AY24" s="202">
        <f t="shared" si="22"/>
        <v>44.81</v>
      </c>
    </row>
    <row r="25" spans="2:52" x14ac:dyDescent="0.2">
      <c r="B25" s="105">
        <f t="shared" si="23"/>
        <v>2026</v>
      </c>
      <c r="C25" s="107"/>
      <c r="D25" s="107"/>
      <c r="E25" s="107"/>
      <c r="F25" s="108"/>
      <c r="G25" s="103"/>
      <c r="H25" s="105">
        <f t="shared" si="24"/>
        <v>2026</v>
      </c>
      <c r="I25" s="203"/>
      <c r="J25" s="203"/>
      <c r="K25" s="203"/>
      <c r="L25" s="204">
        <f>'Table 2A BaseLoad'!L78</f>
        <v>49.22</v>
      </c>
      <c r="M25" s="103"/>
      <c r="N25" s="105">
        <f t="shared" si="25"/>
        <v>2026</v>
      </c>
      <c r="O25" s="107">
        <f t="shared" si="29"/>
        <v>0</v>
      </c>
      <c r="P25" s="203">
        <f t="shared" si="30"/>
        <v>49.22</v>
      </c>
      <c r="Q25" s="203">
        <f t="shared" si="3"/>
        <v>49.22</v>
      </c>
      <c r="R25" s="203">
        <f t="shared" si="3"/>
        <v>49.22</v>
      </c>
      <c r="S25" s="204">
        <f t="shared" si="3"/>
        <v>49.22</v>
      </c>
      <c r="T25" s="103"/>
      <c r="U25" s="105">
        <f t="shared" si="4"/>
        <v>2026</v>
      </c>
      <c r="V25" s="107">
        <f t="shared" si="31"/>
        <v>0</v>
      </c>
      <c r="W25" s="203">
        <f>ROUND(V25/(8.76*'Table 8'!$D$129*0.56),2)</f>
        <v>0</v>
      </c>
      <c r="X25" s="203">
        <f>'Table 2A BaseLoad'!K78</f>
        <v>52.74</v>
      </c>
      <c r="Y25" s="203">
        <f t="shared" si="0"/>
        <v>49.22</v>
      </c>
      <c r="Z25" s="203">
        <f t="shared" si="6"/>
        <v>52.74</v>
      </c>
      <c r="AA25" s="204">
        <f t="shared" si="7"/>
        <v>49.22</v>
      </c>
      <c r="AB25" s="103"/>
      <c r="AC25" s="105">
        <f t="shared" si="8"/>
        <v>2026</v>
      </c>
      <c r="AD25" s="203">
        <f>W25*'Table 2B Wind'!Capacity_Contr_Wind</f>
        <v>0</v>
      </c>
      <c r="AE25" s="203">
        <f t="shared" si="9"/>
        <v>52.74</v>
      </c>
      <c r="AF25" s="203">
        <f t="shared" si="10"/>
        <v>49.22</v>
      </c>
      <c r="AG25" s="203">
        <f>INDEX('Table 12'!$E:$E,MATCH($U25,'Table 12'!$B:$B,0))</f>
        <v>6.6</v>
      </c>
      <c r="AH25" s="203">
        <f t="shared" si="11"/>
        <v>46.14</v>
      </c>
      <c r="AI25" s="204">
        <f t="shared" si="12"/>
        <v>42.62</v>
      </c>
      <c r="AJ25" s="103"/>
      <c r="AK25" s="105">
        <f t="shared" si="13"/>
        <v>2026</v>
      </c>
      <c r="AL25" s="203">
        <f>W25*'Table 2C SolarFixed'!Capacity_Contr_Solar_Fixed</f>
        <v>0</v>
      </c>
      <c r="AM25" s="203">
        <f t="shared" si="14"/>
        <v>52.74</v>
      </c>
      <c r="AN25" s="203">
        <f t="shared" si="15"/>
        <v>49.22</v>
      </c>
      <c r="AO25" s="203">
        <f t="shared" si="1"/>
        <v>2.83</v>
      </c>
      <c r="AP25" s="203">
        <f t="shared" si="16"/>
        <v>49.910000000000004</v>
      </c>
      <c r="AQ25" s="204">
        <f t="shared" si="17"/>
        <v>46.39</v>
      </c>
      <c r="AR25" s="103"/>
      <c r="AS25" s="105">
        <f t="shared" si="18"/>
        <v>2026</v>
      </c>
      <c r="AT25" s="203">
        <f>W25*'Table 2D SolarTracking'!Capacity_Contr_Solar_Tracking</f>
        <v>0</v>
      </c>
      <c r="AU25" s="203">
        <f t="shared" si="19"/>
        <v>52.74</v>
      </c>
      <c r="AV25" s="203">
        <f t="shared" si="20"/>
        <v>49.22</v>
      </c>
      <c r="AW25" s="203">
        <f t="shared" si="2"/>
        <v>2.1800000000000002</v>
      </c>
      <c r="AX25" s="203">
        <f t="shared" si="21"/>
        <v>50.56</v>
      </c>
      <c r="AY25" s="204">
        <f t="shared" si="22"/>
        <v>47.04</v>
      </c>
    </row>
    <row r="26" spans="2:52" ht="7.5" customHeight="1" x14ac:dyDescent="0.2">
      <c r="B26" s="113"/>
      <c r="C26" s="205"/>
      <c r="D26" s="205"/>
      <c r="E26" s="205"/>
      <c r="F26" s="205"/>
      <c r="G26" s="103"/>
      <c r="H26" s="113"/>
      <c r="I26" s="182"/>
      <c r="J26" s="182"/>
      <c r="K26" s="182"/>
      <c r="L26" s="182"/>
      <c r="M26" s="103"/>
      <c r="N26" s="113"/>
      <c r="O26" s="103"/>
      <c r="P26" s="182"/>
      <c r="Q26" s="182"/>
      <c r="R26" s="182"/>
      <c r="S26" s="182"/>
      <c r="T26" s="103"/>
      <c r="U26" s="113"/>
      <c r="V26" s="103"/>
      <c r="W26" s="182"/>
      <c r="X26" s="182"/>
      <c r="Y26" s="182"/>
      <c r="Z26" s="182"/>
      <c r="AA26" s="182"/>
      <c r="AB26" s="103"/>
      <c r="AC26" s="113"/>
      <c r="AD26" s="182"/>
      <c r="AE26" s="182"/>
      <c r="AF26" s="182"/>
      <c r="AG26" s="182"/>
      <c r="AH26" s="182"/>
      <c r="AI26" s="182"/>
      <c r="AJ26" s="103"/>
      <c r="AK26" s="113"/>
      <c r="AL26" s="182"/>
      <c r="AM26" s="182"/>
      <c r="AN26" s="182"/>
      <c r="AO26" s="182"/>
      <c r="AP26" s="182"/>
      <c r="AQ26" s="182"/>
      <c r="AR26" s="103"/>
      <c r="AS26" s="113"/>
      <c r="AT26" s="182"/>
      <c r="AU26" s="182"/>
      <c r="AV26" s="182"/>
      <c r="AW26" s="182"/>
      <c r="AX26" s="182"/>
      <c r="AY26" s="182"/>
    </row>
    <row r="27" spans="2:52" x14ac:dyDescent="0.2">
      <c r="B27" s="23" t="s">
        <v>84</v>
      </c>
      <c r="C27" s="103"/>
      <c r="D27" s="48" t="s">
        <v>81</v>
      </c>
      <c r="E27" s="103"/>
      <c r="F27" s="103"/>
      <c r="G27" s="103"/>
      <c r="H27" s="23" t="s">
        <v>84</v>
      </c>
      <c r="I27" s="182"/>
      <c r="J27" s="87" t="str">
        <f>$I$9&amp;" x "&amp;TEXT('Table 8'!$K$115/1000,"0.000")</f>
        <v>(a) x 6.560</v>
      </c>
      <c r="K27" s="182"/>
      <c r="L27" s="182"/>
      <c r="M27" s="103"/>
      <c r="N27" s="23" t="s">
        <v>84</v>
      </c>
      <c r="O27" s="103"/>
      <c r="P27" s="182"/>
      <c r="Q27" s="182"/>
      <c r="R27" s="182"/>
      <c r="S27" s="182"/>
      <c r="T27" s="103"/>
      <c r="U27" s="23" t="s">
        <v>84</v>
      </c>
      <c r="V27" s="103"/>
      <c r="W27" s="182"/>
      <c r="X27" s="182"/>
      <c r="Y27" s="182"/>
      <c r="Z27" s="182"/>
      <c r="AA27" s="182"/>
      <c r="AB27" s="103"/>
      <c r="AC27" s="23" t="s">
        <v>84</v>
      </c>
      <c r="AD27" s="182"/>
      <c r="AE27" s="182"/>
      <c r="AF27" s="182"/>
      <c r="AG27" s="182"/>
      <c r="AH27" s="182"/>
      <c r="AI27" s="182"/>
      <c r="AJ27" s="103"/>
      <c r="AK27" s="23" t="s">
        <v>84</v>
      </c>
      <c r="AL27" s="182"/>
      <c r="AM27" s="182"/>
      <c r="AN27" s="182"/>
      <c r="AO27" s="182"/>
      <c r="AP27" s="182"/>
      <c r="AQ27" s="182"/>
      <c r="AR27" s="103"/>
      <c r="AS27" s="23" t="s">
        <v>84</v>
      </c>
      <c r="AT27" s="182"/>
      <c r="AU27" s="182"/>
      <c r="AV27" s="182"/>
      <c r="AW27" s="182"/>
      <c r="AX27" s="182"/>
      <c r="AY27" s="182"/>
    </row>
    <row r="28" spans="2:52" x14ac:dyDescent="0.2">
      <c r="B28" s="199">
        <f>B25+1</f>
        <v>2027</v>
      </c>
      <c r="C28" s="99">
        <f>INDEX('Table 8'!$H$62:$H$88,MATCH($B28,'Table 8'!$B$62:$B$88,0))</f>
        <v>151.84</v>
      </c>
      <c r="D28" s="99">
        <f>INDEX('Table 8'!$H$10:$H$36,MATCH($B28,'Table 8'!$B$10:$B$36,0))</f>
        <v>143.69</v>
      </c>
      <c r="E28" s="99">
        <f>ROUND((C28-D28)*0.5,2)</f>
        <v>4.08</v>
      </c>
      <c r="F28" s="100">
        <f>ROUND(E28/(8.76*'Table 8'!$D$128),2)</f>
        <v>0.9</v>
      </c>
      <c r="G28" s="103"/>
      <c r="H28" s="199">
        <f t="shared" ref="H28:H39" si="32">$B28</f>
        <v>2027</v>
      </c>
      <c r="I28" s="200">
        <f>INDEX('Table 9'!C:C,MATCH('Tables 3 to 6'!$H28,'Table 9'!B:B,0))</f>
        <v>6.3</v>
      </c>
      <c r="J28" s="200">
        <f>I28*'Table 8'!$K$115/1000</f>
        <v>41.328000000000003</v>
      </c>
      <c r="K28" s="200">
        <f t="shared" ref="K28" si="33">F28</f>
        <v>0.9</v>
      </c>
      <c r="L28" s="201">
        <f t="shared" ref="L28" si="34">J28+K28</f>
        <v>42.228000000000002</v>
      </c>
      <c r="M28" s="103"/>
      <c r="N28" s="199">
        <f t="shared" ref="N28:N39" si="35">$B28</f>
        <v>2027</v>
      </c>
      <c r="O28" s="99">
        <f>D28+E28</f>
        <v>147.77000000000001</v>
      </c>
      <c r="P28" s="200">
        <f t="shared" ref="P28" si="36">L28</f>
        <v>42.228000000000002</v>
      </c>
      <c r="Q28" s="200">
        <f t="shared" ref="Q28:S39" si="37">ROUND($P28+$O28/(8.76*Q$7),2)</f>
        <v>64.72</v>
      </c>
      <c r="R28" s="200">
        <f t="shared" si="37"/>
        <v>62.07</v>
      </c>
      <c r="S28" s="201">
        <f t="shared" si="37"/>
        <v>59.98</v>
      </c>
      <c r="T28" s="103"/>
      <c r="U28" s="199">
        <f t="shared" ref="U28:U39" si="38">$B28</f>
        <v>2027</v>
      </c>
      <c r="V28" s="99">
        <f>D28+E28</f>
        <v>147.77000000000001</v>
      </c>
      <c r="W28" s="200">
        <f>ROUND(V28/(8.76*'Table 8'!$D$129*0.56),2)</f>
        <v>32.49</v>
      </c>
      <c r="X28" s="200">
        <f>Y28</f>
        <v>42.228000000000002</v>
      </c>
      <c r="Y28" s="200">
        <f t="shared" ref="Y28:Y39" si="39">L28</f>
        <v>42.228000000000002</v>
      </c>
      <c r="Z28" s="200">
        <f>W28+X28</f>
        <v>74.718000000000004</v>
      </c>
      <c r="AA28" s="201">
        <f>Y28</f>
        <v>42.228000000000002</v>
      </c>
      <c r="AB28" s="103"/>
      <c r="AC28" s="199">
        <f t="shared" ref="AC28:AC39" si="40">$B28</f>
        <v>2027</v>
      </c>
      <c r="AD28" s="200">
        <f>W28*'Table 2B Wind'!Capacity_Contr_Wind</f>
        <v>6.66045</v>
      </c>
      <c r="AE28" s="200">
        <f>X28</f>
        <v>42.228000000000002</v>
      </c>
      <c r="AF28" s="200">
        <f>Y28</f>
        <v>42.228000000000002</v>
      </c>
      <c r="AG28" s="200">
        <f>INDEX('Table 12'!$E:$E,MATCH($U28,'Table 12'!$B:$B,0))</f>
        <v>6.76</v>
      </c>
      <c r="AH28" s="200">
        <f t="shared" ref="AH28:AH39" si="41">AD28+AE28-AG28</f>
        <v>42.128450000000001</v>
      </c>
      <c r="AI28" s="201">
        <f>AF28-AG28</f>
        <v>35.468000000000004</v>
      </c>
      <c r="AJ28" s="103"/>
      <c r="AK28" s="199">
        <f t="shared" ref="AK28:AK39" si="42">$B28</f>
        <v>2027</v>
      </c>
      <c r="AL28" s="200">
        <f>W28*'Table 2C SolarFixed'!Capacity_Contr_Solar_Fixed</f>
        <v>22.093200000000003</v>
      </c>
      <c r="AM28" s="200">
        <f>X28</f>
        <v>42.228000000000002</v>
      </c>
      <c r="AN28" s="200">
        <f t="shared" ref="AN28" si="43">Y28</f>
        <v>42.228000000000002</v>
      </c>
      <c r="AO28" s="200">
        <f t="shared" ref="AO28:AO39" si="44">Solar_Fixed_integr_cost</f>
        <v>2.83</v>
      </c>
      <c r="AP28" s="200">
        <f>AL28+AM28-AO28</f>
        <v>61.491200000000006</v>
      </c>
      <c r="AQ28" s="201">
        <f t="shared" ref="AQ28" si="45">AN28-AO28</f>
        <v>39.398000000000003</v>
      </c>
      <c r="AR28" s="103"/>
      <c r="AS28" s="199">
        <f t="shared" ref="AS28:AS39" si="46">$B28</f>
        <v>2027</v>
      </c>
      <c r="AT28" s="200">
        <f>W28*'Table 2D SolarTracking'!Capacity_Contr_Solar_Tracking</f>
        <v>27.291599999999999</v>
      </c>
      <c r="AU28" s="200">
        <f>X28</f>
        <v>42.228000000000002</v>
      </c>
      <c r="AV28" s="200">
        <f t="shared" ref="AV28" si="47">Y28</f>
        <v>42.228000000000002</v>
      </c>
      <c r="AW28" s="200">
        <f t="shared" ref="AW28:AW39" si="48">Solar_Tracking_integr_cost</f>
        <v>2.1800000000000002</v>
      </c>
      <c r="AX28" s="200">
        <f>AT28+AU28-AW28</f>
        <v>67.33959999999999</v>
      </c>
      <c r="AY28" s="201">
        <f t="shared" ref="AY28" si="49">AV28-AW28</f>
        <v>40.048000000000002</v>
      </c>
      <c r="AZ28" s="70"/>
    </row>
    <row r="29" spans="2:52" x14ac:dyDescent="0.2">
      <c r="B29" s="101">
        <f t="shared" ref="B29:B39" si="50">B28+1</f>
        <v>2028</v>
      </c>
      <c r="C29" s="103">
        <f>INDEX('Table 8'!$H$62:$H$88,MATCH($B29,'Table 8'!$B$62:$B$88,0))</f>
        <v>154.75</v>
      </c>
      <c r="D29" s="103">
        <f>INDEX('Table 8'!$H$10:$H$36,MATCH($B29,'Table 8'!$B$10:$B$36,0))</f>
        <v>146.41999999999999</v>
      </c>
      <c r="E29" s="103">
        <f t="shared" ref="E29:E39" si="51">ROUND((C29-D29)*0.5,2)</f>
        <v>4.17</v>
      </c>
      <c r="F29" s="104">
        <f>ROUND(E29/(8.76*'Table 8'!$D$128),2)</f>
        <v>0.92</v>
      </c>
      <c r="G29" s="103"/>
      <c r="H29" s="101">
        <f t="shared" si="32"/>
        <v>2028</v>
      </c>
      <c r="I29" s="182">
        <f>INDEX('Table 9'!C:C,MATCH('Tables 3 to 6'!$H29,'Table 9'!B:B,0))</f>
        <v>6.54</v>
      </c>
      <c r="J29" s="182">
        <f>I29*'Table 8'!$K$115/1000</f>
        <v>42.9024</v>
      </c>
      <c r="K29" s="182">
        <f t="shared" ref="K29:K39" si="52">F29</f>
        <v>0.92</v>
      </c>
      <c r="L29" s="202">
        <f t="shared" ref="L29:L39" si="53">J29+K29</f>
        <v>43.822400000000002</v>
      </c>
      <c r="M29" s="103"/>
      <c r="N29" s="101">
        <f t="shared" si="35"/>
        <v>2028</v>
      </c>
      <c r="O29" s="103">
        <f t="shared" ref="O29:O39" si="54">D29+E29</f>
        <v>150.58999999999997</v>
      </c>
      <c r="P29" s="182">
        <f t="shared" ref="P29:P39" si="55">L29</f>
        <v>43.822400000000002</v>
      </c>
      <c r="Q29" s="182">
        <f t="shared" si="37"/>
        <v>66.739999999999995</v>
      </c>
      <c r="R29" s="182">
        <f t="shared" si="37"/>
        <v>64.05</v>
      </c>
      <c r="S29" s="202">
        <f t="shared" si="37"/>
        <v>61.92</v>
      </c>
      <c r="T29" s="103"/>
      <c r="U29" s="101">
        <f t="shared" si="38"/>
        <v>2028</v>
      </c>
      <c r="V29" s="103">
        <f t="shared" ref="V29:V39" si="56">D29+E29</f>
        <v>150.58999999999997</v>
      </c>
      <c r="W29" s="182">
        <f>ROUND(V29/(8.76*'Table 8'!$D$129*0.56),2)</f>
        <v>33.11</v>
      </c>
      <c r="X29" s="182">
        <f t="shared" ref="X29:X39" si="57">Y29</f>
        <v>43.822400000000002</v>
      </c>
      <c r="Y29" s="182">
        <f t="shared" si="39"/>
        <v>43.822400000000002</v>
      </c>
      <c r="Z29" s="182">
        <f t="shared" ref="Z29:Z39" si="58">W29+X29</f>
        <v>76.932400000000001</v>
      </c>
      <c r="AA29" s="202">
        <f t="shared" ref="AA29:AA39" si="59">Y29</f>
        <v>43.822400000000002</v>
      </c>
      <c r="AB29" s="103"/>
      <c r="AC29" s="101">
        <f t="shared" si="40"/>
        <v>2028</v>
      </c>
      <c r="AD29" s="182">
        <f>W29*'Table 2B Wind'!Capacity_Contr_Wind</f>
        <v>6.7875499999999995</v>
      </c>
      <c r="AE29" s="182">
        <f t="shared" ref="AE29:AE39" si="60">X29</f>
        <v>43.822400000000002</v>
      </c>
      <c r="AF29" s="182">
        <f t="shared" ref="AF29:AF39" si="61">Y29</f>
        <v>43.822400000000002</v>
      </c>
      <c r="AG29" s="182">
        <f>INDEX('Table 12'!$E:$E,MATCH($U29,'Table 12'!$B:$B,0))</f>
        <v>6.5600000000000005</v>
      </c>
      <c r="AH29" s="182">
        <f t="shared" si="41"/>
        <v>44.049949999999995</v>
      </c>
      <c r="AI29" s="202">
        <f t="shared" ref="AI29:AI39" si="62">AF29-AG29</f>
        <v>37.2624</v>
      </c>
      <c r="AJ29" s="103"/>
      <c r="AK29" s="101">
        <f t="shared" si="42"/>
        <v>2028</v>
      </c>
      <c r="AL29" s="182">
        <f>W29*'Table 2C SolarFixed'!Capacity_Contr_Solar_Fixed</f>
        <v>22.514800000000001</v>
      </c>
      <c r="AM29" s="182">
        <f t="shared" ref="AM29:AM39" si="63">X29</f>
        <v>43.822400000000002</v>
      </c>
      <c r="AN29" s="182">
        <f t="shared" ref="AN29:AN39" si="64">Y29</f>
        <v>43.822400000000002</v>
      </c>
      <c r="AO29" s="182">
        <f t="shared" si="44"/>
        <v>2.83</v>
      </c>
      <c r="AP29" s="182">
        <f t="shared" ref="AP29:AP39" si="65">AL29+AM29-AO29</f>
        <v>63.507199999999997</v>
      </c>
      <c r="AQ29" s="202">
        <f t="shared" ref="AQ29:AQ39" si="66">AN29-AO29</f>
        <v>40.992400000000004</v>
      </c>
      <c r="AR29" s="103"/>
      <c r="AS29" s="101">
        <f t="shared" si="46"/>
        <v>2028</v>
      </c>
      <c r="AT29" s="182">
        <f>W29*'Table 2D SolarTracking'!Capacity_Contr_Solar_Tracking</f>
        <v>27.8124</v>
      </c>
      <c r="AU29" s="182">
        <f t="shared" ref="AU29:AU39" si="67">X29</f>
        <v>43.822400000000002</v>
      </c>
      <c r="AV29" s="182">
        <f t="shared" ref="AV29:AV39" si="68">Y29</f>
        <v>43.822400000000002</v>
      </c>
      <c r="AW29" s="182">
        <f t="shared" si="48"/>
        <v>2.1800000000000002</v>
      </c>
      <c r="AX29" s="182">
        <f t="shared" ref="AX29:AX39" si="69">AT29+AU29-AW29</f>
        <v>69.454799999999992</v>
      </c>
      <c r="AY29" s="202">
        <f t="shared" ref="AY29:AY39" si="70">AV29-AW29</f>
        <v>41.642400000000002</v>
      </c>
    </row>
    <row r="30" spans="2:52" x14ac:dyDescent="0.2">
      <c r="B30" s="101">
        <f t="shared" si="50"/>
        <v>2029</v>
      </c>
      <c r="C30" s="103">
        <f>INDEX('Table 8'!$H$62:$H$88,MATCH($B30,'Table 8'!$B$62:$B$88,0))</f>
        <v>157.69999999999999</v>
      </c>
      <c r="D30" s="103">
        <f>INDEX('Table 8'!$H$10:$H$36,MATCH($B30,'Table 8'!$B$10:$B$36,0))</f>
        <v>149.21</v>
      </c>
      <c r="E30" s="103">
        <f t="shared" si="51"/>
        <v>4.24</v>
      </c>
      <c r="F30" s="104">
        <f>ROUND(E30/(8.76*'Table 8'!$D$128),2)</f>
        <v>0.93</v>
      </c>
      <c r="G30" s="103"/>
      <c r="H30" s="101">
        <f t="shared" si="32"/>
        <v>2029</v>
      </c>
      <c r="I30" s="182">
        <f>INDEX('Table 9'!C:C,MATCH('Tables 3 to 6'!$H30,'Table 9'!B:B,0))</f>
        <v>6.83</v>
      </c>
      <c r="J30" s="182">
        <f>I30*'Table 8'!$K$115/1000</f>
        <v>44.8048</v>
      </c>
      <c r="K30" s="182">
        <f t="shared" si="52"/>
        <v>0.93</v>
      </c>
      <c r="L30" s="202">
        <f t="shared" si="53"/>
        <v>45.7348</v>
      </c>
      <c r="M30" s="103"/>
      <c r="N30" s="101">
        <f t="shared" si="35"/>
        <v>2029</v>
      </c>
      <c r="O30" s="103">
        <f t="shared" si="54"/>
        <v>153.45000000000002</v>
      </c>
      <c r="P30" s="182">
        <f t="shared" si="55"/>
        <v>45.7348</v>
      </c>
      <c r="Q30" s="182">
        <f t="shared" si="37"/>
        <v>69.09</v>
      </c>
      <c r="R30" s="182">
        <f t="shared" si="37"/>
        <v>66.34</v>
      </c>
      <c r="S30" s="202">
        <f t="shared" si="37"/>
        <v>64.17</v>
      </c>
      <c r="T30" s="103"/>
      <c r="U30" s="101">
        <f t="shared" si="38"/>
        <v>2029</v>
      </c>
      <c r="V30" s="103">
        <f t="shared" si="56"/>
        <v>153.45000000000002</v>
      </c>
      <c r="W30" s="182">
        <f>ROUND(V30/(8.76*'Table 8'!$D$129*0.56),2)</f>
        <v>33.74</v>
      </c>
      <c r="X30" s="182">
        <f t="shared" si="57"/>
        <v>45.7348</v>
      </c>
      <c r="Y30" s="182">
        <f t="shared" si="39"/>
        <v>45.7348</v>
      </c>
      <c r="Z30" s="182">
        <f t="shared" si="58"/>
        <v>79.474800000000002</v>
      </c>
      <c r="AA30" s="202">
        <f t="shared" si="59"/>
        <v>45.7348</v>
      </c>
      <c r="AB30" s="103"/>
      <c r="AC30" s="101">
        <f t="shared" si="40"/>
        <v>2029</v>
      </c>
      <c r="AD30" s="182">
        <f>W30*'Table 2B Wind'!Capacity_Contr_Wind</f>
        <v>6.9166999999999996</v>
      </c>
      <c r="AE30" s="182">
        <f t="shared" si="60"/>
        <v>45.7348</v>
      </c>
      <c r="AF30" s="182">
        <f t="shared" si="61"/>
        <v>45.7348</v>
      </c>
      <c r="AG30" s="182">
        <f>INDEX('Table 12'!$E:$E,MATCH($U30,'Table 12'!$B:$B,0))</f>
        <v>6.99</v>
      </c>
      <c r="AH30" s="182">
        <f t="shared" si="41"/>
        <v>45.661499999999997</v>
      </c>
      <c r="AI30" s="202">
        <f t="shared" si="62"/>
        <v>38.744799999999998</v>
      </c>
      <c r="AJ30" s="103"/>
      <c r="AK30" s="101">
        <f t="shared" si="42"/>
        <v>2029</v>
      </c>
      <c r="AL30" s="182">
        <f>W30*'Table 2C SolarFixed'!Capacity_Contr_Solar_Fixed</f>
        <v>22.943200000000004</v>
      </c>
      <c r="AM30" s="182">
        <f t="shared" si="63"/>
        <v>45.7348</v>
      </c>
      <c r="AN30" s="182">
        <f t="shared" si="64"/>
        <v>45.7348</v>
      </c>
      <c r="AO30" s="182">
        <f t="shared" si="44"/>
        <v>2.83</v>
      </c>
      <c r="AP30" s="182">
        <f t="shared" si="65"/>
        <v>65.847999999999999</v>
      </c>
      <c r="AQ30" s="202">
        <f t="shared" si="66"/>
        <v>42.904800000000002</v>
      </c>
      <c r="AR30" s="103"/>
      <c r="AS30" s="101">
        <f t="shared" si="46"/>
        <v>2029</v>
      </c>
      <c r="AT30" s="182">
        <f>W30*'Table 2D SolarTracking'!Capacity_Contr_Solar_Tracking</f>
        <v>28.3416</v>
      </c>
      <c r="AU30" s="182">
        <f t="shared" si="67"/>
        <v>45.7348</v>
      </c>
      <c r="AV30" s="182">
        <f t="shared" si="68"/>
        <v>45.7348</v>
      </c>
      <c r="AW30" s="182">
        <f t="shared" si="48"/>
        <v>2.1800000000000002</v>
      </c>
      <c r="AX30" s="182">
        <f t="shared" si="69"/>
        <v>71.8964</v>
      </c>
      <c r="AY30" s="202">
        <f t="shared" si="70"/>
        <v>43.5548</v>
      </c>
    </row>
    <row r="31" spans="2:52" x14ac:dyDescent="0.2">
      <c r="B31" s="101">
        <f t="shared" si="50"/>
        <v>2030</v>
      </c>
      <c r="C31" s="103">
        <f>INDEX('Table 8'!$H$62:$H$88,MATCH($B31,'Table 8'!$B$62:$B$88,0))</f>
        <v>160.69999999999999</v>
      </c>
      <c r="D31" s="103">
        <f>INDEX('Table 8'!$H$10:$H$36,MATCH($B31,'Table 8'!$B$10:$B$36,0))</f>
        <v>152.04</v>
      </c>
      <c r="E31" s="103">
        <f t="shared" si="51"/>
        <v>4.33</v>
      </c>
      <c r="F31" s="104">
        <f>ROUND(E31/(8.76*'Table 8'!$D$128),2)</f>
        <v>0.95</v>
      </c>
      <c r="G31" s="103"/>
      <c r="H31" s="101">
        <f t="shared" si="32"/>
        <v>2030</v>
      </c>
      <c r="I31" s="182">
        <f>INDEX('Table 9'!C:C,MATCH('Tables 3 to 6'!$H31,'Table 9'!B:B,0))</f>
        <v>7.12</v>
      </c>
      <c r="J31" s="182">
        <f>I31*'Table 8'!$K$115/1000</f>
        <v>46.7072</v>
      </c>
      <c r="K31" s="182">
        <f t="shared" si="52"/>
        <v>0.95</v>
      </c>
      <c r="L31" s="202">
        <f t="shared" si="53"/>
        <v>47.657200000000003</v>
      </c>
      <c r="M31" s="103"/>
      <c r="N31" s="101">
        <f t="shared" si="35"/>
        <v>2030</v>
      </c>
      <c r="O31" s="103">
        <f t="shared" si="54"/>
        <v>156.37</v>
      </c>
      <c r="P31" s="182">
        <f t="shared" si="55"/>
        <v>47.657200000000003</v>
      </c>
      <c r="Q31" s="182">
        <f t="shared" si="37"/>
        <v>71.459999999999994</v>
      </c>
      <c r="R31" s="182">
        <f t="shared" si="37"/>
        <v>68.66</v>
      </c>
      <c r="S31" s="202">
        <f t="shared" si="37"/>
        <v>66.45</v>
      </c>
      <c r="T31" s="103"/>
      <c r="U31" s="101">
        <f t="shared" si="38"/>
        <v>2030</v>
      </c>
      <c r="V31" s="103">
        <f t="shared" si="56"/>
        <v>156.37</v>
      </c>
      <c r="W31" s="182">
        <f>ROUND(V31/(8.76*'Table 8'!$D$129*0.56),2)</f>
        <v>34.39</v>
      </c>
      <c r="X31" s="182">
        <f t="shared" si="57"/>
        <v>47.657200000000003</v>
      </c>
      <c r="Y31" s="182">
        <f t="shared" si="39"/>
        <v>47.657200000000003</v>
      </c>
      <c r="Z31" s="182">
        <f t="shared" si="58"/>
        <v>82.047200000000004</v>
      </c>
      <c r="AA31" s="202">
        <f t="shared" si="59"/>
        <v>47.657200000000003</v>
      </c>
      <c r="AB31" s="103"/>
      <c r="AC31" s="101">
        <f t="shared" si="40"/>
        <v>2030</v>
      </c>
      <c r="AD31" s="182">
        <f>W31*'Table 2B Wind'!Capacity_Contr_Wind</f>
        <v>7.0499499999999999</v>
      </c>
      <c r="AE31" s="182">
        <f t="shared" si="60"/>
        <v>47.657200000000003</v>
      </c>
      <c r="AF31" s="182">
        <f t="shared" si="61"/>
        <v>47.657200000000003</v>
      </c>
      <c r="AG31" s="182">
        <f>INDEX('Table 12'!$E:$E,MATCH($U31,'Table 12'!$B:$B,0))</f>
        <v>6.78</v>
      </c>
      <c r="AH31" s="182">
        <f t="shared" si="41"/>
        <v>47.927150000000005</v>
      </c>
      <c r="AI31" s="202">
        <f t="shared" si="62"/>
        <v>40.877200000000002</v>
      </c>
      <c r="AJ31" s="103"/>
      <c r="AK31" s="101">
        <f t="shared" si="42"/>
        <v>2030</v>
      </c>
      <c r="AL31" s="182">
        <f>W31*'Table 2C SolarFixed'!Capacity_Contr_Solar_Fixed</f>
        <v>23.385200000000001</v>
      </c>
      <c r="AM31" s="182">
        <f t="shared" si="63"/>
        <v>47.657200000000003</v>
      </c>
      <c r="AN31" s="182">
        <f t="shared" si="64"/>
        <v>47.657200000000003</v>
      </c>
      <c r="AO31" s="182">
        <f t="shared" si="44"/>
        <v>2.83</v>
      </c>
      <c r="AP31" s="182">
        <f t="shared" si="65"/>
        <v>68.212400000000002</v>
      </c>
      <c r="AQ31" s="202">
        <f t="shared" si="66"/>
        <v>44.827200000000005</v>
      </c>
      <c r="AR31" s="103"/>
      <c r="AS31" s="101">
        <f t="shared" si="46"/>
        <v>2030</v>
      </c>
      <c r="AT31" s="182">
        <f>W31*'Table 2D SolarTracking'!Capacity_Contr_Solar_Tracking</f>
        <v>28.887599999999999</v>
      </c>
      <c r="AU31" s="182">
        <f t="shared" si="67"/>
        <v>47.657200000000003</v>
      </c>
      <c r="AV31" s="182">
        <f t="shared" si="68"/>
        <v>47.657200000000003</v>
      </c>
      <c r="AW31" s="182">
        <f t="shared" si="48"/>
        <v>2.1800000000000002</v>
      </c>
      <c r="AX31" s="182">
        <f t="shared" si="69"/>
        <v>74.364800000000002</v>
      </c>
      <c r="AY31" s="202">
        <f t="shared" si="70"/>
        <v>45.477200000000003</v>
      </c>
    </row>
    <row r="32" spans="2:52" x14ac:dyDescent="0.2">
      <c r="B32" s="101">
        <f t="shared" si="50"/>
        <v>2031</v>
      </c>
      <c r="C32" s="103">
        <f>INDEX('Table 8'!$H$62:$H$88,MATCH($B32,'Table 8'!$B$62:$B$88,0))</f>
        <v>163.9</v>
      </c>
      <c r="D32" s="103">
        <f>INDEX('Table 8'!$H$10:$H$36,MATCH($B32,'Table 8'!$B$10:$B$36,0))</f>
        <v>155.08000000000001</v>
      </c>
      <c r="E32" s="103">
        <f t="shared" si="51"/>
        <v>4.41</v>
      </c>
      <c r="F32" s="104">
        <f>ROUND(E32/(8.76*'Table 8'!$D$128),2)</f>
        <v>0.97</v>
      </c>
      <c r="G32" s="103"/>
      <c r="H32" s="101">
        <f t="shared" si="32"/>
        <v>2031</v>
      </c>
      <c r="I32" s="182">
        <f>INDEX('Table 9'!C:C,MATCH('Tables 3 to 6'!$H32,'Table 9'!B:B,0))</f>
        <v>7.27</v>
      </c>
      <c r="J32" s="182">
        <f>I32*'Table 8'!$K$115/1000</f>
        <v>47.691199999999995</v>
      </c>
      <c r="K32" s="182">
        <f t="shared" si="52"/>
        <v>0.97</v>
      </c>
      <c r="L32" s="202">
        <f t="shared" si="53"/>
        <v>48.661199999999994</v>
      </c>
      <c r="M32" s="103"/>
      <c r="N32" s="101">
        <f t="shared" si="35"/>
        <v>2031</v>
      </c>
      <c r="O32" s="103">
        <f t="shared" si="54"/>
        <v>159.49</v>
      </c>
      <c r="P32" s="182">
        <f t="shared" si="55"/>
        <v>48.661199999999994</v>
      </c>
      <c r="Q32" s="182">
        <f t="shared" si="37"/>
        <v>72.94</v>
      </c>
      <c r="R32" s="182">
        <f t="shared" si="37"/>
        <v>70.08</v>
      </c>
      <c r="S32" s="202">
        <f t="shared" si="37"/>
        <v>67.83</v>
      </c>
      <c r="T32" s="103"/>
      <c r="U32" s="101">
        <f t="shared" si="38"/>
        <v>2031</v>
      </c>
      <c r="V32" s="103">
        <f t="shared" si="56"/>
        <v>159.49</v>
      </c>
      <c r="W32" s="182">
        <f>ROUND(V32/(8.76*'Table 8'!$D$129*0.56),2)</f>
        <v>35.07</v>
      </c>
      <c r="X32" s="182">
        <f t="shared" si="57"/>
        <v>48.661199999999994</v>
      </c>
      <c r="Y32" s="182">
        <f t="shared" si="39"/>
        <v>48.661199999999994</v>
      </c>
      <c r="Z32" s="182">
        <f t="shared" si="58"/>
        <v>83.731200000000001</v>
      </c>
      <c r="AA32" s="202">
        <f t="shared" si="59"/>
        <v>48.661199999999994</v>
      </c>
      <c r="AB32" s="103"/>
      <c r="AC32" s="101">
        <f t="shared" si="40"/>
        <v>2031</v>
      </c>
      <c r="AD32" s="182">
        <f>W32*'Table 2B Wind'!Capacity_Contr_Wind</f>
        <v>7.1893499999999992</v>
      </c>
      <c r="AE32" s="182">
        <f t="shared" si="60"/>
        <v>48.661199999999994</v>
      </c>
      <c r="AF32" s="182">
        <f t="shared" si="61"/>
        <v>48.661199999999994</v>
      </c>
      <c r="AG32" s="182">
        <f>INDEX('Table 12'!$E:$E,MATCH($U32,'Table 12'!$B:$B,0))</f>
        <v>7.58</v>
      </c>
      <c r="AH32" s="182">
        <f t="shared" si="41"/>
        <v>48.270549999999993</v>
      </c>
      <c r="AI32" s="202">
        <f t="shared" si="62"/>
        <v>41.081199999999995</v>
      </c>
      <c r="AJ32" s="103"/>
      <c r="AK32" s="101">
        <f t="shared" si="42"/>
        <v>2031</v>
      </c>
      <c r="AL32" s="182">
        <f>W32*'Table 2C SolarFixed'!Capacity_Contr_Solar_Fixed</f>
        <v>23.847600000000003</v>
      </c>
      <c r="AM32" s="182">
        <f t="shared" si="63"/>
        <v>48.661199999999994</v>
      </c>
      <c r="AN32" s="182">
        <f t="shared" si="64"/>
        <v>48.661199999999994</v>
      </c>
      <c r="AO32" s="182">
        <f t="shared" si="44"/>
        <v>2.83</v>
      </c>
      <c r="AP32" s="182">
        <f t="shared" si="65"/>
        <v>69.678799999999995</v>
      </c>
      <c r="AQ32" s="202">
        <f t="shared" si="66"/>
        <v>45.831199999999995</v>
      </c>
      <c r="AR32" s="103"/>
      <c r="AS32" s="101">
        <f t="shared" si="46"/>
        <v>2031</v>
      </c>
      <c r="AT32" s="182">
        <f>W32*'Table 2D SolarTracking'!Capacity_Contr_Solar_Tracking</f>
        <v>29.4588</v>
      </c>
      <c r="AU32" s="182">
        <f t="shared" si="67"/>
        <v>48.661199999999994</v>
      </c>
      <c r="AV32" s="182">
        <f t="shared" si="68"/>
        <v>48.661199999999994</v>
      </c>
      <c r="AW32" s="182">
        <f t="shared" si="48"/>
        <v>2.1800000000000002</v>
      </c>
      <c r="AX32" s="182">
        <f t="shared" si="69"/>
        <v>75.939999999999984</v>
      </c>
      <c r="AY32" s="202">
        <f t="shared" si="70"/>
        <v>46.481199999999994</v>
      </c>
    </row>
    <row r="33" spans="2:51" x14ac:dyDescent="0.2">
      <c r="B33" s="101">
        <f t="shared" si="50"/>
        <v>2032</v>
      </c>
      <c r="C33" s="103">
        <f>INDEX('Table 8'!$H$62:$H$88,MATCH($B33,'Table 8'!$B$62:$B$88,0))</f>
        <v>167.16</v>
      </c>
      <c r="D33" s="103">
        <f>INDEX('Table 8'!$H$10:$H$36,MATCH($B33,'Table 8'!$B$10:$B$36,0))</f>
        <v>158.19</v>
      </c>
      <c r="E33" s="103">
        <f t="shared" si="51"/>
        <v>4.49</v>
      </c>
      <c r="F33" s="104">
        <f>ROUND(E33/(8.76*'Table 8'!$D$128),2)</f>
        <v>0.99</v>
      </c>
      <c r="G33" s="103"/>
      <c r="H33" s="101">
        <f t="shared" si="32"/>
        <v>2032</v>
      </c>
      <c r="I33" s="182">
        <f>INDEX('Table 9'!C:C,MATCH('Tables 3 to 6'!$H33,'Table 9'!B:B,0))</f>
        <v>7.41</v>
      </c>
      <c r="J33" s="182">
        <f>I33*'Table 8'!$K$115/1000</f>
        <v>48.6096</v>
      </c>
      <c r="K33" s="182">
        <f t="shared" si="52"/>
        <v>0.99</v>
      </c>
      <c r="L33" s="202">
        <f t="shared" si="53"/>
        <v>49.599600000000002</v>
      </c>
      <c r="M33" s="103"/>
      <c r="N33" s="101">
        <f t="shared" si="35"/>
        <v>2032</v>
      </c>
      <c r="O33" s="103">
        <f t="shared" ref="O33:O34" si="71">D33+E33</f>
        <v>162.68</v>
      </c>
      <c r="P33" s="182">
        <f t="shared" ref="P33:P34" si="72">L33</f>
        <v>49.599600000000002</v>
      </c>
      <c r="Q33" s="182">
        <f t="shared" si="37"/>
        <v>74.36</v>
      </c>
      <c r="R33" s="182">
        <f t="shared" si="37"/>
        <v>71.45</v>
      </c>
      <c r="S33" s="202">
        <f t="shared" si="37"/>
        <v>69.150000000000006</v>
      </c>
      <c r="T33" s="103"/>
      <c r="U33" s="101">
        <f t="shared" si="38"/>
        <v>2032</v>
      </c>
      <c r="V33" s="103">
        <f t="shared" si="56"/>
        <v>162.68</v>
      </c>
      <c r="W33" s="182">
        <f>ROUND(V33/(8.76*'Table 8'!$D$129*0.56),2)</f>
        <v>35.770000000000003</v>
      </c>
      <c r="X33" s="182">
        <f t="shared" si="57"/>
        <v>49.599600000000002</v>
      </c>
      <c r="Y33" s="182">
        <f t="shared" si="39"/>
        <v>49.599600000000002</v>
      </c>
      <c r="Z33" s="182">
        <f t="shared" si="58"/>
        <v>85.369600000000005</v>
      </c>
      <c r="AA33" s="202">
        <f t="shared" si="59"/>
        <v>49.599600000000002</v>
      </c>
      <c r="AB33" s="103"/>
      <c r="AC33" s="101">
        <f t="shared" si="40"/>
        <v>2032</v>
      </c>
      <c r="AD33" s="182">
        <f>W33*'Table 2B Wind'!Capacity_Contr_Wind</f>
        <v>7.3328500000000005</v>
      </c>
      <c r="AE33" s="182">
        <f t="shared" si="60"/>
        <v>49.599600000000002</v>
      </c>
      <c r="AF33" s="182">
        <f t="shared" si="61"/>
        <v>49.599600000000002</v>
      </c>
      <c r="AG33" s="182">
        <f>INDEX('Table 12'!$E:$E,MATCH($U33,'Table 12'!$B:$B,0))</f>
        <v>7.8699999999999992</v>
      </c>
      <c r="AH33" s="182">
        <f t="shared" si="41"/>
        <v>49.062450000000005</v>
      </c>
      <c r="AI33" s="202">
        <f t="shared" si="62"/>
        <v>41.729600000000005</v>
      </c>
      <c r="AJ33" s="103"/>
      <c r="AK33" s="101">
        <f t="shared" si="42"/>
        <v>2032</v>
      </c>
      <c r="AL33" s="182">
        <f>W33*'Table 2C SolarFixed'!Capacity_Contr_Solar_Fixed</f>
        <v>24.323600000000003</v>
      </c>
      <c r="AM33" s="182">
        <f t="shared" si="63"/>
        <v>49.599600000000002</v>
      </c>
      <c r="AN33" s="182">
        <f t="shared" si="64"/>
        <v>49.599600000000002</v>
      </c>
      <c r="AO33" s="182">
        <f t="shared" si="44"/>
        <v>2.83</v>
      </c>
      <c r="AP33" s="182">
        <f t="shared" si="65"/>
        <v>71.09320000000001</v>
      </c>
      <c r="AQ33" s="202">
        <f t="shared" si="66"/>
        <v>46.769600000000004</v>
      </c>
      <c r="AR33" s="103"/>
      <c r="AS33" s="101">
        <f t="shared" si="46"/>
        <v>2032</v>
      </c>
      <c r="AT33" s="182">
        <f>W33*'Table 2D SolarTracking'!Capacity_Contr_Solar_Tracking</f>
        <v>30.046800000000001</v>
      </c>
      <c r="AU33" s="182">
        <f t="shared" si="67"/>
        <v>49.599600000000002</v>
      </c>
      <c r="AV33" s="182">
        <f t="shared" si="68"/>
        <v>49.599600000000002</v>
      </c>
      <c r="AW33" s="182">
        <f t="shared" si="48"/>
        <v>2.1800000000000002</v>
      </c>
      <c r="AX33" s="182">
        <f t="shared" si="69"/>
        <v>77.466399999999993</v>
      </c>
      <c r="AY33" s="202">
        <f t="shared" si="70"/>
        <v>47.419600000000003</v>
      </c>
    </row>
    <row r="34" spans="2:51" x14ac:dyDescent="0.2">
      <c r="B34" s="101">
        <f t="shared" si="50"/>
        <v>2033</v>
      </c>
      <c r="C34" s="103">
        <f>INDEX('Table 8'!$H$62:$H$88,MATCH($B34,'Table 8'!$B$62:$B$88,0))</f>
        <v>170.52</v>
      </c>
      <c r="D34" s="103">
        <f>INDEX('Table 8'!$H$10:$H$36,MATCH($B34,'Table 8'!$B$10:$B$36,0))</f>
        <v>161.35</v>
      </c>
      <c r="E34" s="103">
        <f t="shared" si="51"/>
        <v>4.59</v>
      </c>
      <c r="F34" s="104">
        <f>ROUND(E34/(8.76*'Table 8'!$D$128),2)</f>
        <v>1.01</v>
      </c>
      <c r="G34" s="103"/>
      <c r="H34" s="101">
        <f t="shared" si="32"/>
        <v>2033</v>
      </c>
      <c r="I34" s="182">
        <f>INDEX('Table 9'!C:C,MATCH('Tables 3 to 6'!$H34,'Table 9'!B:B,0))</f>
        <v>7.56</v>
      </c>
      <c r="J34" s="182">
        <f>I34*'Table 8'!$K$115/1000</f>
        <v>49.593599999999995</v>
      </c>
      <c r="K34" s="182">
        <f t="shared" si="52"/>
        <v>1.01</v>
      </c>
      <c r="L34" s="202">
        <f t="shared" si="53"/>
        <v>50.603599999999993</v>
      </c>
      <c r="M34" s="103"/>
      <c r="N34" s="101">
        <f t="shared" si="35"/>
        <v>2033</v>
      </c>
      <c r="O34" s="103">
        <f t="shared" si="71"/>
        <v>165.94</v>
      </c>
      <c r="P34" s="182">
        <f t="shared" si="72"/>
        <v>50.603599999999993</v>
      </c>
      <c r="Q34" s="182">
        <f t="shared" si="37"/>
        <v>75.86</v>
      </c>
      <c r="R34" s="182">
        <f t="shared" si="37"/>
        <v>72.89</v>
      </c>
      <c r="S34" s="202">
        <f t="shared" si="37"/>
        <v>70.540000000000006</v>
      </c>
      <c r="T34" s="103"/>
      <c r="U34" s="101">
        <f t="shared" si="38"/>
        <v>2033</v>
      </c>
      <c r="V34" s="103">
        <f t="shared" si="56"/>
        <v>165.94</v>
      </c>
      <c r="W34" s="182">
        <f>ROUND(V34/(8.76*'Table 8'!$D$129*0.56),2)</f>
        <v>36.49</v>
      </c>
      <c r="X34" s="182">
        <f t="shared" si="57"/>
        <v>50.603599999999993</v>
      </c>
      <c r="Y34" s="182">
        <f t="shared" si="39"/>
        <v>50.603599999999993</v>
      </c>
      <c r="Z34" s="182">
        <f t="shared" si="58"/>
        <v>87.093599999999995</v>
      </c>
      <c r="AA34" s="202">
        <f t="shared" si="59"/>
        <v>50.603599999999993</v>
      </c>
      <c r="AB34" s="103"/>
      <c r="AC34" s="101">
        <f t="shared" si="40"/>
        <v>2033</v>
      </c>
      <c r="AD34" s="182">
        <f>W34*'Table 2B Wind'!Capacity_Contr_Wind</f>
        <v>7.4804500000000003</v>
      </c>
      <c r="AE34" s="182">
        <f t="shared" si="60"/>
        <v>50.603599999999993</v>
      </c>
      <c r="AF34" s="182">
        <f t="shared" si="61"/>
        <v>50.603599999999993</v>
      </c>
      <c r="AG34" s="182">
        <f>INDEX('Table 12'!$E:$E,MATCH($U34,'Table 12'!$B:$B,0))</f>
        <v>8.34</v>
      </c>
      <c r="AH34" s="182">
        <f t="shared" si="41"/>
        <v>49.744049999999987</v>
      </c>
      <c r="AI34" s="202">
        <f t="shared" si="62"/>
        <v>42.263599999999997</v>
      </c>
      <c r="AJ34" s="103"/>
      <c r="AK34" s="101">
        <f t="shared" si="42"/>
        <v>2033</v>
      </c>
      <c r="AL34" s="182">
        <f>W34*'Table 2C SolarFixed'!Capacity_Contr_Solar_Fixed</f>
        <v>24.813200000000002</v>
      </c>
      <c r="AM34" s="182">
        <f t="shared" si="63"/>
        <v>50.603599999999993</v>
      </c>
      <c r="AN34" s="182">
        <f t="shared" si="64"/>
        <v>50.603599999999993</v>
      </c>
      <c r="AO34" s="182">
        <f t="shared" si="44"/>
        <v>2.83</v>
      </c>
      <c r="AP34" s="182">
        <f t="shared" si="65"/>
        <v>72.586799999999997</v>
      </c>
      <c r="AQ34" s="202">
        <f t="shared" si="66"/>
        <v>47.773599999999995</v>
      </c>
      <c r="AR34" s="103"/>
      <c r="AS34" s="101">
        <f t="shared" si="46"/>
        <v>2033</v>
      </c>
      <c r="AT34" s="182">
        <f>W34*'Table 2D SolarTracking'!Capacity_Contr_Solar_Tracking</f>
        <v>30.651600000000002</v>
      </c>
      <c r="AU34" s="182">
        <f t="shared" si="67"/>
        <v>50.603599999999993</v>
      </c>
      <c r="AV34" s="182">
        <f t="shared" si="68"/>
        <v>50.603599999999993</v>
      </c>
      <c r="AW34" s="182">
        <f t="shared" si="48"/>
        <v>2.1800000000000002</v>
      </c>
      <c r="AX34" s="182">
        <f t="shared" si="69"/>
        <v>79.075199999999995</v>
      </c>
      <c r="AY34" s="202">
        <f t="shared" si="70"/>
        <v>48.423599999999993</v>
      </c>
    </row>
    <row r="35" spans="2:51" x14ac:dyDescent="0.2">
      <c r="B35" s="101">
        <f t="shared" si="50"/>
        <v>2034</v>
      </c>
      <c r="C35" s="103">
        <f>INDEX('Table 8'!$H$62:$H$88,MATCH($B35,'Table 8'!$B$62:$B$88,0))</f>
        <v>173.95</v>
      </c>
      <c r="D35" s="103">
        <f>INDEX('Table 8'!$H$10:$H$36,MATCH($B35,'Table 8'!$B$10:$B$36,0))</f>
        <v>164.58</v>
      </c>
      <c r="E35" s="103">
        <f t="shared" si="51"/>
        <v>4.68</v>
      </c>
      <c r="F35" s="104">
        <f>ROUND(E35/(8.76*'Table 8'!$D$128),2)</f>
        <v>1.03</v>
      </c>
      <c r="G35" s="103"/>
      <c r="H35" s="101">
        <f t="shared" si="32"/>
        <v>2034</v>
      </c>
      <c r="I35" s="182">
        <f>INDEX('Table 9'!C:C,MATCH('Tables 3 to 6'!$H35,'Table 9'!B:B,0))</f>
        <v>7.71</v>
      </c>
      <c r="J35" s="182">
        <f>I35*'Table 8'!$K$115/1000</f>
        <v>50.577599999999997</v>
      </c>
      <c r="K35" s="182">
        <f t="shared" si="52"/>
        <v>1.03</v>
      </c>
      <c r="L35" s="202">
        <f t="shared" si="53"/>
        <v>51.607599999999998</v>
      </c>
      <c r="M35" s="103"/>
      <c r="N35" s="101">
        <f t="shared" si="35"/>
        <v>2034</v>
      </c>
      <c r="O35" s="103">
        <f t="shared" si="54"/>
        <v>169.26000000000002</v>
      </c>
      <c r="P35" s="182">
        <f t="shared" si="55"/>
        <v>51.607599999999998</v>
      </c>
      <c r="Q35" s="182">
        <f t="shared" si="37"/>
        <v>77.37</v>
      </c>
      <c r="R35" s="182">
        <f t="shared" si="37"/>
        <v>74.34</v>
      </c>
      <c r="S35" s="202">
        <f t="shared" si="37"/>
        <v>71.95</v>
      </c>
      <c r="T35" s="103"/>
      <c r="U35" s="101">
        <f t="shared" si="38"/>
        <v>2034</v>
      </c>
      <c r="V35" s="103">
        <f t="shared" si="56"/>
        <v>169.26000000000002</v>
      </c>
      <c r="W35" s="182">
        <f>ROUND(V35/(8.76*'Table 8'!$D$129*0.56),2)</f>
        <v>37.22</v>
      </c>
      <c r="X35" s="182">
        <f t="shared" si="57"/>
        <v>51.607599999999998</v>
      </c>
      <c r="Y35" s="182">
        <f t="shared" si="39"/>
        <v>51.607599999999998</v>
      </c>
      <c r="Z35" s="182">
        <f t="shared" si="58"/>
        <v>88.82759999999999</v>
      </c>
      <c r="AA35" s="202">
        <f t="shared" si="59"/>
        <v>51.607599999999998</v>
      </c>
      <c r="AB35" s="103"/>
      <c r="AC35" s="101">
        <f t="shared" si="40"/>
        <v>2034</v>
      </c>
      <c r="AD35" s="182">
        <f>W35*'Table 2B Wind'!Capacity_Contr_Wind</f>
        <v>7.6300999999999997</v>
      </c>
      <c r="AE35" s="182">
        <f t="shared" si="60"/>
        <v>51.607599999999998</v>
      </c>
      <c r="AF35" s="182">
        <f t="shared" si="61"/>
        <v>51.607599999999998</v>
      </c>
      <c r="AG35" s="182">
        <f>INDEX('Table 12'!$E:$E,MATCH($U35,'Table 12'!$B:$B,0))</f>
        <v>8.51</v>
      </c>
      <c r="AH35" s="182">
        <f t="shared" si="41"/>
        <v>50.727699999999999</v>
      </c>
      <c r="AI35" s="202">
        <f t="shared" si="62"/>
        <v>43.0976</v>
      </c>
      <c r="AJ35" s="103"/>
      <c r="AK35" s="101">
        <f t="shared" si="42"/>
        <v>2034</v>
      </c>
      <c r="AL35" s="182">
        <f>W35*'Table 2C SolarFixed'!Capacity_Contr_Solar_Fixed</f>
        <v>25.3096</v>
      </c>
      <c r="AM35" s="182">
        <f t="shared" si="63"/>
        <v>51.607599999999998</v>
      </c>
      <c r="AN35" s="182">
        <f t="shared" si="64"/>
        <v>51.607599999999998</v>
      </c>
      <c r="AO35" s="182">
        <f t="shared" si="44"/>
        <v>2.83</v>
      </c>
      <c r="AP35" s="182">
        <f t="shared" si="65"/>
        <v>74.087199999999996</v>
      </c>
      <c r="AQ35" s="202">
        <f t="shared" si="66"/>
        <v>48.7776</v>
      </c>
      <c r="AR35" s="103"/>
      <c r="AS35" s="101">
        <f t="shared" si="46"/>
        <v>2034</v>
      </c>
      <c r="AT35" s="182">
        <f>W35*'Table 2D SolarTracking'!Capacity_Contr_Solar_Tracking</f>
        <v>31.264799999999997</v>
      </c>
      <c r="AU35" s="182">
        <f t="shared" si="67"/>
        <v>51.607599999999998</v>
      </c>
      <c r="AV35" s="182">
        <f t="shared" si="68"/>
        <v>51.607599999999998</v>
      </c>
      <c r="AW35" s="182">
        <f t="shared" si="48"/>
        <v>2.1800000000000002</v>
      </c>
      <c r="AX35" s="182">
        <f t="shared" si="69"/>
        <v>80.692399999999992</v>
      </c>
      <c r="AY35" s="202">
        <f t="shared" si="70"/>
        <v>49.427599999999998</v>
      </c>
    </row>
    <row r="36" spans="2:51" x14ac:dyDescent="0.2">
      <c r="B36" s="101">
        <f t="shared" si="50"/>
        <v>2035</v>
      </c>
      <c r="C36" s="103">
        <f>INDEX('Table 8'!$H$62:$H$88,MATCH($B36,'Table 8'!$B$62:$B$88,0))</f>
        <v>177.43</v>
      </c>
      <c r="D36" s="103">
        <f>INDEX('Table 8'!$H$10:$H$36,MATCH($B36,'Table 8'!$B$10:$B$36,0))</f>
        <v>167.86</v>
      </c>
      <c r="E36" s="103">
        <f t="shared" si="51"/>
        <v>4.79</v>
      </c>
      <c r="F36" s="104">
        <f>ROUND(E36/(8.76*'Table 8'!$D$128),2)</f>
        <v>1.05</v>
      </c>
      <c r="G36" s="103"/>
      <c r="H36" s="101">
        <f t="shared" si="32"/>
        <v>2035</v>
      </c>
      <c r="I36" s="182">
        <f>INDEX('Table 9'!C:C,MATCH('Tables 3 to 6'!$H36,'Table 9'!B:B,0))</f>
        <v>7.86</v>
      </c>
      <c r="J36" s="182">
        <f>I36*'Table 8'!$K$115/1000</f>
        <v>51.561599999999999</v>
      </c>
      <c r="K36" s="182">
        <f t="shared" si="52"/>
        <v>1.05</v>
      </c>
      <c r="L36" s="202">
        <f t="shared" si="53"/>
        <v>52.611599999999996</v>
      </c>
      <c r="M36" s="103"/>
      <c r="N36" s="101">
        <f t="shared" si="35"/>
        <v>2035</v>
      </c>
      <c r="O36" s="103">
        <f t="shared" si="54"/>
        <v>172.65</v>
      </c>
      <c r="P36" s="182">
        <f t="shared" si="55"/>
        <v>52.611599999999996</v>
      </c>
      <c r="Q36" s="182">
        <f t="shared" si="37"/>
        <v>78.89</v>
      </c>
      <c r="R36" s="182">
        <f t="shared" si="37"/>
        <v>75.8</v>
      </c>
      <c r="S36" s="202">
        <f t="shared" si="37"/>
        <v>73.36</v>
      </c>
      <c r="T36" s="103"/>
      <c r="U36" s="101">
        <f t="shared" si="38"/>
        <v>2035</v>
      </c>
      <c r="V36" s="103">
        <f t="shared" si="56"/>
        <v>172.65</v>
      </c>
      <c r="W36" s="182">
        <f>ROUND(V36/(8.76*'Table 8'!$D$129*0.56),2)</f>
        <v>37.97</v>
      </c>
      <c r="X36" s="182">
        <f t="shared" si="57"/>
        <v>52.611599999999996</v>
      </c>
      <c r="Y36" s="182">
        <f t="shared" si="39"/>
        <v>52.611599999999996</v>
      </c>
      <c r="Z36" s="182">
        <f t="shared" si="58"/>
        <v>90.581599999999995</v>
      </c>
      <c r="AA36" s="202">
        <f t="shared" si="59"/>
        <v>52.611599999999996</v>
      </c>
      <c r="AB36" s="103"/>
      <c r="AC36" s="101">
        <f t="shared" si="40"/>
        <v>2035</v>
      </c>
      <c r="AD36" s="182">
        <f>W36*'Table 2B Wind'!Capacity_Contr_Wind</f>
        <v>7.7838499999999993</v>
      </c>
      <c r="AE36" s="182">
        <f t="shared" si="60"/>
        <v>52.611599999999996</v>
      </c>
      <c r="AF36" s="182">
        <f t="shared" si="61"/>
        <v>52.611599999999996</v>
      </c>
      <c r="AG36" s="182">
        <f>INDEX('Table 12'!$E:$E,MATCH($U36,'Table 12'!$B:$B,0))</f>
        <v>8.69</v>
      </c>
      <c r="AH36" s="182">
        <f t="shared" si="41"/>
        <v>51.705449999999999</v>
      </c>
      <c r="AI36" s="202">
        <f t="shared" si="62"/>
        <v>43.921599999999998</v>
      </c>
      <c r="AJ36" s="103"/>
      <c r="AK36" s="101">
        <f t="shared" si="42"/>
        <v>2035</v>
      </c>
      <c r="AL36" s="182">
        <f>W36*'Table 2C SolarFixed'!Capacity_Contr_Solar_Fixed</f>
        <v>25.819600000000001</v>
      </c>
      <c r="AM36" s="182">
        <f t="shared" si="63"/>
        <v>52.611599999999996</v>
      </c>
      <c r="AN36" s="182">
        <f t="shared" si="64"/>
        <v>52.611599999999996</v>
      </c>
      <c r="AO36" s="182">
        <f t="shared" si="44"/>
        <v>2.83</v>
      </c>
      <c r="AP36" s="182">
        <f>AL36+AM36-AO36</f>
        <v>75.601199999999992</v>
      </c>
      <c r="AQ36" s="202">
        <f t="shared" si="66"/>
        <v>49.781599999999997</v>
      </c>
      <c r="AR36" s="103"/>
      <c r="AS36" s="101">
        <f t="shared" si="46"/>
        <v>2035</v>
      </c>
      <c r="AT36" s="182">
        <f>W36*'Table 2D SolarTracking'!Capacity_Contr_Solar_Tracking</f>
        <v>31.894799999999996</v>
      </c>
      <c r="AU36" s="182">
        <f t="shared" si="67"/>
        <v>52.611599999999996</v>
      </c>
      <c r="AV36" s="182">
        <f t="shared" si="68"/>
        <v>52.611599999999996</v>
      </c>
      <c r="AW36" s="182">
        <f t="shared" si="48"/>
        <v>2.1800000000000002</v>
      </c>
      <c r="AX36" s="182">
        <f t="shared" si="69"/>
        <v>82.326399999999978</v>
      </c>
      <c r="AY36" s="202">
        <f t="shared" si="70"/>
        <v>50.431599999999996</v>
      </c>
    </row>
    <row r="37" spans="2:51" x14ac:dyDescent="0.2">
      <c r="B37" s="101">
        <f t="shared" si="50"/>
        <v>2036</v>
      </c>
      <c r="C37" s="103">
        <f>INDEX('Table 8'!$H$62:$H$88,MATCH($B37,'Table 8'!$B$62:$B$88,0))</f>
        <v>181.14</v>
      </c>
      <c r="D37" s="103">
        <f>INDEX('Table 8'!$H$10:$H$36,MATCH($B37,'Table 8'!$B$10:$B$36,0))</f>
        <v>171.4</v>
      </c>
      <c r="E37" s="103">
        <f t="shared" si="51"/>
        <v>4.87</v>
      </c>
      <c r="F37" s="104">
        <f>ROUND(E37/(8.76*'Table 8'!$D$128),2)</f>
        <v>1.07</v>
      </c>
      <c r="G37" s="103"/>
      <c r="H37" s="101">
        <f t="shared" si="32"/>
        <v>2036</v>
      </c>
      <c r="I37" s="182">
        <f>INDEX('Table 9'!C:C,MATCH('Tables 3 to 6'!$H37,'Table 9'!B:B,0))</f>
        <v>8.0299999999999994</v>
      </c>
      <c r="J37" s="182">
        <f>I37*'Table 8'!$K$115/1000</f>
        <v>52.676799999999993</v>
      </c>
      <c r="K37" s="182">
        <f t="shared" si="52"/>
        <v>1.07</v>
      </c>
      <c r="L37" s="202">
        <f t="shared" si="53"/>
        <v>53.746799999999993</v>
      </c>
      <c r="M37" s="103"/>
      <c r="N37" s="101">
        <f t="shared" si="35"/>
        <v>2036</v>
      </c>
      <c r="O37" s="103">
        <f t="shared" si="54"/>
        <v>176.27</v>
      </c>
      <c r="P37" s="182">
        <f t="shared" si="55"/>
        <v>53.746799999999993</v>
      </c>
      <c r="Q37" s="182">
        <f t="shared" si="37"/>
        <v>80.58</v>
      </c>
      <c r="R37" s="182">
        <f t="shared" si="37"/>
        <v>77.42</v>
      </c>
      <c r="S37" s="202">
        <f t="shared" si="37"/>
        <v>74.930000000000007</v>
      </c>
      <c r="T37" s="103"/>
      <c r="U37" s="101">
        <f t="shared" si="38"/>
        <v>2036</v>
      </c>
      <c r="V37" s="103">
        <f t="shared" si="56"/>
        <v>176.27</v>
      </c>
      <c r="W37" s="182">
        <f>ROUND(V37/(8.76*'Table 8'!$D$129*0.56),2)</f>
        <v>38.76</v>
      </c>
      <c r="X37" s="182">
        <f t="shared" si="57"/>
        <v>53.746799999999993</v>
      </c>
      <c r="Y37" s="182">
        <f t="shared" si="39"/>
        <v>53.746799999999993</v>
      </c>
      <c r="Z37" s="182">
        <f t="shared" si="58"/>
        <v>92.506799999999998</v>
      </c>
      <c r="AA37" s="202">
        <f t="shared" si="59"/>
        <v>53.746799999999993</v>
      </c>
      <c r="AB37" s="103"/>
      <c r="AC37" s="101">
        <f t="shared" si="40"/>
        <v>2036</v>
      </c>
      <c r="AD37" s="182">
        <f>W37*'Table 2B Wind'!Capacity_Contr_Wind</f>
        <v>7.9457999999999993</v>
      </c>
      <c r="AE37" s="182">
        <f t="shared" si="60"/>
        <v>53.746799999999993</v>
      </c>
      <c r="AF37" s="182">
        <f t="shared" si="61"/>
        <v>53.746799999999993</v>
      </c>
      <c r="AG37" s="182">
        <f>INDEX('Table 12'!$E:$E,MATCH($U37,'Table 12'!$B:$B,0))</f>
        <v>8.86</v>
      </c>
      <c r="AH37" s="182">
        <f t="shared" si="41"/>
        <v>52.832599999999992</v>
      </c>
      <c r="AI37" s="202">
        <f t="shared" si="62"/>
        <v>44.886799999999994</v>
      </c>
      <c r="AJ37" s="103"/>
      <c r="AK37" s="101">
        <f t="shared" si="42"/>
        <v>2036</v>
      </c>
      <c r="AL37" s="182">
        <f>W37*'Table 2C SolarFixed'!Capacity_Contr_Solar_Fixed</f>
        <v>26.3568</v>
      </c>
      <c r="AM37" s="182">
        <f t="shared" si="63"/>
        <v>53.746799999999993</v>
      </c>
      <c r="AN37" s="182">
        <f t="shared" si="64"/>
        <v>53.746799999999993</v>
      </c>
      <c r="AO37" s="182">
        <f t="shared" si="44"/>
        <v>2.83</v>
      </c>
      <c r="AP37" s="182">
        <f t="shared" si="65"/>
        <v>77.273600000000002</v>
      </c>
      <c r="AQ37" s="202">
        <f t="shared" si="66"/>
        <v>50.916799999999995</v>
      </c>
      <c r="AR37" s="103"/>
      <c r="AS37" s="101">
        <f t="shared" si="46"/>
        <v>2036</v>
      </c>
      <c r="AT37" s="182">
        <f>W37*'Table 2D SolarTracking'!Capacity_Contr_Solar_Tracking</f>
        <v>32.558399999999999</v>
      </c>
      <c r="AU37" s="182">
        <f t="shared" si="67"/>
        <v>53.746799999999993</v>
      </c>
      <c r="AV37" s="182">
        <f t="shared" si="68"/>
        <v>53.746799999999993</v>
      </c>
      <c r="AW37" s="182">
        <f t="shared" si="48"/>
        <v>2.1800000000000002</v>
      </c>
      <c r="AX37" s="182">
        <f t="shared" si="69"/>
        <v>84.125199999999978</v>
      </c>
      <c r="AY37" s="202">
        <f t="shared" si="70"/>
        <v>51.566799999999994</v>
      </c>
    </row>
    <row r="38" spans="2:51" x14ac:dyDescent="0.2">
      <c r="B38" s="101">
        <f t="shared" si="50"/>
        <v>2037</v>
      </c>
      <c r="C38" s="103">
        <f>INDEX('Table 8'!$H$62:$H$88,MATCH($B38,'Table 8'!$B$62:$B$88,0))</f>
        <v>184.96</v>
      </c>
      <c r="D38" s="103">
        <f>INDEX('Table 8'!$H$10:$H$36,MATCH($B38,'Table 8'!$B$10:$B$36,0))</f>
        <v>175</v>
      </c>
      <c r="E38" s="103">
        <f t="shared" ref="E38" si="73">ROUND((C38-D38)*0.5,2)</f>
        <v>4.9800000000000004</v>
      </c>
      <c r="F38" s="104">
        <f>ROUND(E38/(8.76*'Table 8'!$D$128),2)</f>
        <v>1.1000000000000001</v>
      </c>
      <c r="G38" s="103"/>
      <c r="H38" s="101">
        <f t="shared" si="32"/>
        <v>2037</v>
      </c>
      <c r="I38" s="182">
        <f>INDEX('Table 9'!C:C,MATCH('Tables 3 to 6'!$H38,'Table 9'!B:B,0))</f>
        <v>8.1999999999999993</v>
      </c>
      <c r="J38" s="182">
        <f>I38*'Table 8'!$K$115/1000</f>
        <v>53.791999999999994</v>
      </c>
      <c r="K38" s="182">
        <f t="shared" ref="K38" si="74">F38</f>
        <v>1.1000000000000001</v>
      </c>
      <c r="L38" s="202">
        <f t="shared" ref="L38" si="75">J38+K38</f>
        <v>54.891999999999996</v>
      </c>
      <c r="M38" s="103"/>
      <c r="N38" s="101">
        <f t="shared" si="35"/>
        <v>2037</v>
      </c>
      <c r="O38" s="103">
        <f t="shared" ref="O38" si="76">D38+E38</f>
        <v>179.98</v>
      </c>
      <c r="P38" s="182">
        <f t="shared" ref="P38" si="77">L38</f>
        <v>54.891999999999996</v>
      </c>
      <c r="Q38" s="182">
        <f t="shared" si="37"/>
        <v>82.29</v>
      </c>
      <c r="R38" s="182">
        <f t="shared" si="37"/>
        <v>79.06</v>
      </c>
      <c r="S38" s="202">
        <f t="shared" si="37"/>
        <v>76.52</v>
      </c>
      <c r="T38" s="103"/>
      <c r="U38" s="101">
        <f t="shared" si="38"/>
        <v>2037</v>
      </c>
      <c r="V38" s="103">
        <f t="shared" ref="V38" si="78">D38+E38</f>
        <v>179.98</v>
      </c>
      <c r="W38" s="182">
        <f>ROUND(V38/(8.76*'Table 8'!$D$129*0.56),2)</f>
        <v>39.58</v>
      </c>
      <c r="X38" s="182">
        <f t="shared" si="57"/>
        <v>54.891999999999996</v>
      </c>
      <c r="Y38" s="182">
        <f t="shared" si="39"/>
        <v>54.891999999999996</v>
      </c>
      <c r="Z38" s="182">
        <f t="shared" si="58"/>
        <v>94.471999999999994</v>
      </c>
      <c r="AA38" s="202">
        <f t="shared" ref="AA38" si="79">Y38</f>
        <v>54.891999999999996</v>
      </c>
      <c r="AB38" s="103"/>
      <c r="AC38" s="101">
        <f t="shared" si="40"/>
        <v>2037</v>
      </c>
      <c r="AD38" s="182">
        <f>W38*'Table 2B Wind'!Capacity_Contr_Wind</f>
        <v>8.1138999999999992</v>
      </c>
      <c r="AE38" s="182">
        <f t="shared" si="60"/>
        <v>54.891999999999996</v>
      </c>
      <c r="AF38" s="182">
        <f t="shared" si="61"/>
        <v>54.891999999999996</v>
      </c>
      <c r="AG38" s="182">
        <f>INDEX('Table 12'!$E:$E,MATCH($U38,'Table 12'!$B:$B,0))</f>
        <v>9.0399999999999991</v>
      </c>
      <c r="AH38" s="182">
        <f t="shared" si="41"/>
        <v>53.965899999999998</v>
      </c>
      <c r="AI38" s="202">
        <f t="shared" si="62"/>
        <v>45.851999999999997</v>
      </c>
      <c r="AJ38" s="103"/>
      <c r="AK38" s="101">
        <f t="shared" si="42"/>
        <v>2037</v>
      </c>
      <c r="AL38" s="182">
        <f>W38*'Table 2C SolarFixed'!Capacity_Contr_Solar_Fixed</f>
        <v>26.914400000000001</v>
      </c>
      <c r="AM38" s="182">
        <f t="shared" si="63"/>
        <v>54.891999999999996</v>
      </c>
      <c r="AN38" s="182">
        <f t="shared" si="64"/>
        <v>54.891999999999996</v>
      </c>
      <c r="AO38" s="182">
        <f t="shared" si="44"/>
        <v>2.83</v>
      </c>
      <c r="AP38" s="182">
        <f t="shared" si="65"/>
        <v>78.976399999999998</v>
      </c>
      <c r="AQ38" s="202">
        <f t="shared" si="66"/>
        <v>52.061999999999998</v>
      </c>
      <c r="AR38" s="103"/>
      <c r="AS38" s="101">
        <f t="shared" si="46"/>
        <v>2037</v>
      </c>
      <c r="AT38" s="182">
        <f>W38*'Table 2D SolarTracking'!Capacity_Contr_Solar_Tracking</f>
        <v>33.247199999999999</v>
      </c>
      <c r="AU38" s="182">
        <f t="shared" si="67"/>
        <v>54.891999999999996</v>
      </c>
      <c r="AV38" s="182">
        <f t="shared" si="68"/>
        <v>54.891999999999996</v>
      </c>
      <c r="AW38" s="182">
        <f t="shared" si="48"/>
        <v>2.1800000000000002</v>
      </c>
      <c r="AX38" s="182">
        <f t="shared" si="69"/>
        <v>85.959199999999981</v>
      </c>
      <c r="AY38" s="202">
        <f t="shared" si="70"/>
        <v>52.711999999999996</v>
      </c>
    </row>
    <row r="39" spans="2:51" x14ac:dyDescent="0.2">
      <c r="B39" s="105">
        <f t="shared" si="50"/>
        <v>2038</v>
      </c>
      <c r="C39" s="107">
        <f>INDEX('Table 8'!$H$62:$H$88,MATCH($B39,'Table 8'!$B$62:$B$88,0))</f>
        <v>188.84</v>
      </c>
      <c r="D39" s="107">
        <f>INDEX('Table 8'!$H$10:$H$36,MATCH($B39,'Table 8'!$B$10:$B$36,0))</f>
        <v>178.67</v>
      </c>
      <c r="E39" s="107">
        <f t="shared" si="51"/>
        <v>5.09</v>
      </c>
      <c r="F39" s="108">
        <f>ROUND(E39/(8.76*'Table 8'!$D$128),2)</f>
        <v>1.1200000000000001</v>
      </c>
      <c r="G39" s="103"/>
      <c r="H39" s="105">
        <f t="shared" si="32"/>
        <v>2038</v>
      </c>
      <c r="I39" s="203">
        <f>INDEX('Table 9'!C:C,MATCH('Tables 3 to 6'!$H39,'Table 9'!B:B,0))</f>
        <v>8.3699999999999992</v>
      </c>
      <c r="J39" s="203">
        <f>I39*'Table 8'!$K$115/1000</f>
        <v>54.907199999999996</v>
      </c>
      <c r="K39" s="203">
        <f t="shared" si="52"/>
        <v>1.1200000000000001</v>
      </c>
      <c r="L39" s="204">
        <f t="shared" si="53"/>
        <v>56.027199999999993</v>
      </c>
      <c r="M39" s="103"/>
      <c r="N39" s="105">
        <f t="shared" si="35"/>
        <v>2038</v>
      </c>
      <c r="O39" s="107">
        <f t="shared" si="54"/>
        <v>183.76</v>
      </c>
      <c r="P39" s="203">
        <f t="shared" si="55"/>
        <v>56.027199999999993</v>
      </c>
      <c r="Q39" s="203">
        <f t="shared" si="37"/>
        <v>84</v>
      </c>
      <c r="R39" s="203">
        <f t="shared" si="37"/>
        <v>80.709999999999994</v>
      </c>
      <c r="S39" s="204">
        <f t="shared" si="37"/>
        <v>78.11</v>
      </c>
      <c r="T39" s="103"/>
      <c r="U39" s="105">
        <f t="shared" si="38"/>
        <v>2038</v>
      </c>
      <c r="V39" s="107">
        <f t="shared" si="56"/>
        <v>183.76</v>
      </c>
      <c r="W39" s="203">
        <f>ROUND(V39/(8.76*'Table 8'!$D$129*0.56),2)</f>
        <v>40.409999999999997</v>
      </c>
      <c r="X39" s="203">
        <f t="shared" si="57"/>
        <v>56.027199999999993</v>
      </c>
      <c r="Y39" s="203">
        <f t="shared" si="39"/>
        <v>56.027199999999993</v>
      </c>
      <c r="Z39" s="203">
        <f t="shared" si="58"/>
        <v>96.43719999999999</v>
      </c>
      <c r="AA39" s="204">
        <f t="shared" si="59"/>
        <v>56.027199999999993</v>
      </c>
      <c r="AB39" s="103"/>
      <c r="AC39" s="105">
        <f t="shared" si="40"/>
        <v>2038</v>
      </c>
      <c r="AD39" s="203">
        <f>W39*'Table 2B Wind'!Capacity_Contr_Wind</f>
        <v>8.2840499999999988</v>
      </c>
      <c r="AE39" s="203">
        <f t="shared" si="60"/>
        <v>56.027199999999993</v>
      </c>
      <c r="AF39" s="203">
        <f t="shared" si="61"/>
        <v>56.027199999999993</v>
      </c>
      <c r="AG39" s="203">
        <f>INDEX('Table 12'!$E:$E,MATCH($U39,'Table 12'!$B:$B,0))</f>
        <v>9.26</v>
      </c>
      <c r="AH39" s="203">
        <f t="shared" si="41"/>
        <v>55.051249999999989</v>
      </c>
      <c r="AI39" s="204">
        <f t="shared" si="62"/>
        <v>46.767199999999995</v>
      </c>
      <c r="AJ39" s="103"/>
      <c r="AK39" s="105">
        <f t="shared" si="42"/>
        <v>2038</v>
      </c>
      <c r="AL39" s="203">
        <f>W39*'Table 2C SolarFixed'!Capacity_Contr_Solar_Fixed</f>
        <v>27.4788</v>
      </c>
      <c r="AM39" s="203">
        <f t="shared" si="63"/>
        <v>56.027199999999993</v>
      </c>
      <c r="AN39" s="203">
        <f t="shared" si="64"/>
        <v>56.027199999999993</v>
      </c>
      <c r="AO39" s="203">
        <f t="shared" si="44"/>
        <v>2.83</v>
      </c>
      <c r="AP39" s="203">
        <f t="shared" si="65"/>
        <v>80.676000000000002</v>
      </c>
      <c r="AQ39" s="204">
        <f t="shared" si="66"/>
        <v>53.197199999999995</v>
      </c>
      <c r="AR39" s="103"/>
      <c r="AS39" s="105">
        <f t="shared" si="46"/>
        <v>2038</v>
      </c>
      <c r="AT39" s="203">
        <f>W39*'Table 2D SolarTracking'!Capacity_Contr_Solar_Tracking</f>
        <v>33.944399999999995</v>
      </c>
      <c r="AU39" s="203">
        <f t="shared" si="67"/>
        <v>56.027199999999993</v>
      </c>
      <c r="AV39" s="203">
        <f t="shared" si="68"/>
        <v>56.027199999999993</v>
      </c>
      <c r="AW39" s="203">
        <f t="shared" si="48"/>
        <v>2.1800000000000002</v>
      </c>
      <c r="AX39" s="203">
        <f t="shared" si="69"/>
        <v>87.791599999999988</v>
      </c>
      <c r="AY39" s="204">
        <f t="shared" si="70"/>
        <v>53.847199999999994</v>
      </c>
    </row>
    <row r="41" spans="2:51" x14ac:dyDescent="0.2">
      <c r="B41" s="60" t="s">
        <v>21</v>
      </c>
      <c r="H41" s="60" t="s">
        <v>21</v>
      </c>
      <c r="N41" s="60" t="s">
        <v>21</v>
      </c>
      <c r="U41" s="60" t="s">
        <v>21</v>
      </c>
      <c r="AC41" s="60" t="s">
        <v>21</v>
      </c>
      <c r="AK41" s="60" t="s">
        <v>21</v>
      </c>
      <c r="AS41" s="60" t="s">
        <v>21</v>
      </c>
    </row>
    <row r="42" spans="2:51" x14ac:dyDescent="0.2">
      <c r="B42" s="183" t="str">
        <f>C9</f>
        <v>(a)</v>
      </c>
      <c r="C42" s="208" t="str">
        <f>"  "&amp;'Table 8'!$B$1&amp;"  Column "&amp;'Table 8'!$H$7</f>
        <v xml:space="preserve">  Table 8  Column (f)</v>
      </c>
      <c r="H42" s="183" t="str">
        <f>I9</f>
        <v>(a)</v>
      </c>
      <c r="I42" s="60" t="str">
        <f>"  "&amp;'Table 8'!$B$1&amp;"  Column "&amp;'Table 8'!$I$59</f>
        <v xml:space="preserve">  Table 8  Column (g)</v>
      </c>
      <c r="N42" s="206" t="str">
        <f>O9</f>
        <v>(a)</v>
      </c>
      <c r="O42" s="70" t="str">
        <f>"  "&amp;$B$1&amp;"  Column "&amp;$D$9&amp;" + "&amp;$B$1&amp;"  Column "&amp;$E$9</f>
        <v xml:space="preserve">  Table 3  Column (b) + Table 3  Column (c)</v>
      </c>
      <c r="P42" s="70"/>
      <c r="Q42" s="70"/>
      <c r="U42" s="206" t="str">
        <f>V9</f>
        <v>(a)</v>
      </c>
      <c r="V42" s="70" t="str">
        <f>"  "&amp;$B$1&amp;"  Column "&amp;$D$9&amp;" + "&amp;$B$1&amp;"  Column "&amp;$E$9</f>
        <v xml:space="preserve">  Table 3  Column (b) + Table 3  Column (c)</v>
      </c>
      <c r="Y42" s="70"/>
      <c r="AC42" s="206" t="str">
        <f>AD9</f>
        <v>(a)</v>
      </c>
      <c r="AD42" s="60" t="str">
        <f>"  "&amp;$U$1&amp;"  Column "&amp;$W$9&amp;" multiplied by Capacity Contribution of "&amp;TEXT('Table 2B Wind'!Capacity_Contr_Wind,"0.0%")</f>
        <v xml:space="preserve">  Table 6a  Column (b) multiplied by Capacity Contribution of 20.5%</v>
      </c>
      <c r="AE42" s="70"/>
      <c r="AF42" s="70"/>
      <c r="AG42" s="70"/>
      <c r="AK42" s="206" t="str">
        <f>AL9</f>
        <v>(a)</v>
      </c>
      <c r="AL42" s="60" t="str">
        <f>"  "&amp;$U$1&amp;"  Column "&amp;$W$9&amp;" multiplied by Capacity Contribution of "&amp;TEXT('Table 2C SolarFixed'!Capacity_Contr_Solar_Fixed,"0.0%")</f>
        <v xml:space="preserve">  Table 6a  Column (b) multiplied by Capacity Contribution of 68.0%</v>
      </c>
      <c r="AN42" s="70"/>
      <c r="AO42" s="70"/>
      <c r="AS42" s="206" t="s">
        <v>22</v>
      </c>
      <c r="AT42" s="60" t="str">
        <f>"  "&amp;$U$1&amp;"  Column "&amp;$W$9&amp;" multiplied by Capacity Contribution of "&amp;TEXT('Table 2D SolarTracking'!Capacity_Contr_Solar_Tracking,"0.0%")</f>
        <v xml:space="preserve">  Table 6a  Column (b) multiplied by Capacity Contribution of 84.0%</v>
      </c>
      <c r="AV42" s="70"/>
      <c r="AW42" s="70"/>
    </row>
    <row r="43" spans="2:51" x14ac:dyDescent="0.2">
      <c r="B43" s="183" t="str">
        <f>D9</f>
        <v>(b)</v>
      </c>
      <c r="C43" s="208" t="str">
        <f>C42</f>
        <v xml:space="preserve">  Table 8  Column (f)</v>
      </c>
      <c r="H43" s="183" t="str">
        <f>J9</f>
        <v>(b)</v>
      </c>
      <c r="I43" s="60" t="str">
        <f>"  "&amp;'Table 8'!$B$1&amp;"  Column "&amp;'Table 8'!K59&amp;" Heat rate "&amp;TEXT('Table 8'!$K$115/1000,"?.000")&amp;" MMBtu/MWh"</f>
        <v xml:space="preserve">  Table 8  Column (i) Heat rate 6.560 MMBtu/MWh</v>
      </c>
      <c r="N43" s="183" t="str">
        <f>P9</f>
        <v>(b)</v>
      </c>
      <c r="O43" s="60" t="str">
        <f>"  "&amp;$H$1&amp;"  Column "&amp;$L$9</f>
        <v xml:space="preserve">  Table 4  Column (d)</v>
      </c>
      <c r="U43" s="206" t="str">
        <f>W9</f>
        <v>(b)</v>
      </c>
      <c r="V43" s="60" t="str">
        <f>"  "&amp;'Table 8'!B1&amp;"   "&amp;TEXT('Table 8'!$D$129,"0.0%")&amp;" is the on-peak capacity factor of the proxy resource"</f>
        <v xml:space="preserve">  Table 8   92.7% is the on-peak capacity factor of the proxy resource</v>
      </c>
      <c r="AC43" s="206" t="str">
        <f>AE9</f>
        <v>(b)</v>
      </c>
      <c r="AD43" s="60" t="str">
        <f>"  "&amp;$U$1&amp;"  Column "&amp;$X$9</f>
        <v xml:space="preserve">  Table 6a  Column (c)</v>
      </c>
      <c r="AK43" s="206" t="str">
        <f>AM9</f>
        <v>(b)</v>
      </c>
      <c r="AL43" s="60" t="str">
        <f>"  "&amp;$U$1&amp;"  Column "&amp;$X$9</f>
        <v xml:space="preserve">  Table 6a  Column (c)</v>
      </c>
      <c r="AS43" s="206" t="str">
        <f>AU9</f>
        <v>(b)</v>
      </c>
      <c r="AT43" s="60" t="str">
        <f>"  "&amp;$U$1&amp;"  Column "&amp;$X$9</f>
        <v xml:space="preserve">  Table 6a  Column (c)</v>
      </c>
    </row>
    <row r="44" spans="2:51" x14ac:dyDescent="0.2">
      <c r="B44" s="183" t="str">
        <f>E9</f>
        <v>(c)</v>
      </c>
      <c r="C44" s="208" t="s">
        <v>150</v>
      </c>
      <c r="H44" s="183" t="str">
        <f>K9</f>
        <v>(c)</v>
      </c>
      <c r="I44" s="60" t="str">
        <f>"  "&amp;$B$1&amp;"  Column "&amp;$F$9</f>
        <v xml:space="preserve">  Table 3  Column (d)</v>
      </c>
      <c r="N44" s="183" t="s">
        <v>24</v>
      </c>
      <c r="O44" s="207" t="s">
        <v>156</v>
      </c>
      <c r="U44" s="206"/>
      <c r="V44" s="207" t="s">
        <v>156</v>
      </c>
      <c r="AC44" s="206" t="str">
        <f>AF9</f>
        <v>(c)</v>
      </c>
      <c r="AD44" s="60" t="str">
        <f>"  "&amp;$U$1&amp;"  Column "&amp;$Y$9</f>
        <v xml:space="preserve">  Table 6a  Column (d)</v>
      </c>
      <c r="AK44" s="206" t="str">
        <f>AN9</f>
        <v>(c)</v>
      </c>
      <c r="AL44" s="60" t="str">
        <f>"  "&amp;$U$1&amp;"  Column "&amp;$Y$9</f>
        <v xml:space="preserve">  Table 6a  Column (d)</v>
      </c>
      <c r="AS44" s="206" t="str">
        <f>AV9</f>
        <v>(c)</v>
      </c>
      <c r="AT44" s="60" t="str">
        <f>"  "&amp;$U$1&amp;"  Column "&amp;$Y$9</f>
        <v xml:space="preserve">  Table 6a  Column (d)</v>
      </c>
    </row>
    <row r="45" spans="2:51" x14ac:dyDescent="0.2">
      <c r="B45" s="183" t="str">
        <f>F9</f>
        <v>(d)</v>
      </c>
      <c r="C45" s="208" t="str">
        <f>"  "&amp;TEXT('Table 8'!$D$128,"0.0%")&amp;" CCCT energy weighted capacity factor - "&amp;'Table 8'!$B$1&amp;" page 3"</f>
        <v xml:space="preserve">  51.9% CCCT energy weighted capacity factor - Table 8 page 3</v>
      </c>
      <c r="H45" s="185" t="str">
        <f>L9</f>
        <v>(d)</v>
      </c>
      <c r="I45" s="60" t="str">
        <f>"Off-Peak Avoided Energy values  for "&amp;H13&amp;"-"&amp;MAX(H15:H27)&amp;" -  from "&amp;'Table 2A BaseLoad'!A1</f>
        <v>Off-Peak Avoided Energy values  for 2014-2026 -  from Table 2A</v>
      </c>
      <c r="N45" s="183"/>
      <c r="O45" s="207"/>
      <c r="U45" s="206" t="str">
        <f>X9</f>
        <v>(c)</v>
      </c>
      <c r="V45" s="60" t="str">
        <f>"On-Peak Avoided Energy values  for "&amp;U13&amp;"-"&amp;MAX(U15:U27)&amp;" -  from "&amp;'Table 2A BaseLoad'!$A$1</f>
        <v>On-Peak Avoided Energy values  for 2014-2026 -  from Table 2A</v>
      </c>
      <c r="AC45" s="206" t="str">
        <f>AG9</f>
        <v>(d)</v>
      </c>
      <c r="AD45" s="60" t="str">
        <f>"  "&amp;'Table 12'!$B$1&amp;"  Column (c)"</f>
        <v xml:space="preserve">  Table 12  Column (c)</v>
      </c>
      <c r="AK45" s="206" t="str">
        <f>AO9</f>
        <v>(d)</v>
      </c>
      <c r="AL45" s="60" t="str">
        <f>"  "&amp;'Table 12'!$B$1&amp;"  Footnote for Fixed Solar Integration of $"&amp;Solar_Fixed_integr_cost&amp;"/MWh"</f>
        <v xml:space="preserve">  Table 12  Footnote for Fixed Solar Integration of $2.83/MWh</v>
      </c>
      <c r="AS45" s="206" t="str">
        <f>AW9</f>
        <v>(d)</v>
      </c>
      <c r="AT45" s="60" t="str">
        <f>"  "&amp;'Table 12'!$B$1&amp;"  Footnote for Tracking Solar Integration of $"&amp;Solar_Tracking_integr_cost&amp;"/MWh"</f>
        <v xml:space="preserve">  Table 12  Footnote for Tracking Solar Integration of $2.18/MWh</v>
      </c>
    </row>
    <row r="46" spans="2:51" x14ac:dyDescent="0.2">
      <c r="H46" s="185"/>
      <c r="N46" s="183"/>
      <c r="O46" s="207"/>
      <c r="U46" s="206" t="str">
        <f>Y9</f>
        <v>(d)</v>
      </c>
      <c r="V46" s="60" t="str">
        <f>"  "&amp;$H$1&amp;"  Column "&amp;$L$9</f>
        <v xml:space="preserve">  Table 4  Column (d)</v>
      </c>
      <c r="AC46" s="206"/>
      <c r="AK46" s="206"/>
      <c r="AS46" s="206"/>
    </row>
    <row r="47" spans="2:51" x14ac:dyDescent="0.2">
      <c r="G47" s="60"/>
      <c r="M47" s="60"/>
      <c r="T47" s="60"/>
      <c r="U47" s="206"/>
      <c r="AB47" s="60"/>
      <c r="AC47" s="206"/>
      <c r="AJ47" s="60"/>
      <c r="AK47" s="206"/>
      <c r="AR47" s="60"/>
      <c r="AS47" s="206"/>
    </row>
    <row r="48" spans="2:51" x14ac:dyDescent="0.2">
      <c r="U48" s="206"/>
      <c r="AC48" s="206"/>
      <c r="AK48" s="206"/>
      <c r="AS48" s="206"/>
    </row>
    <row r="49" spans="21:45" x14ac:dyDescent="0.2">
      <c r="U49" s="206"/>
      <c r="AC49" s="206"/>
      <c r="AK49" s="206"/>
      <c r="AS49" s="206"/>
    </row>
    <row r="50" spans="21:45" x14ac:dyDescent="0.2">
      <c r="U50" s="206"/>
      <c r="AC50" s="206"/>
      <c r="AK50" s="206"/>
      <c r="AS50" s="206"/>
    </row>
    <row r="51" spans="21:45" x14ac:dyDescent="0.2">
      <c r="U51" s="206"/>
      <c r="AC51" s="206"/>
      <c r="AK51" s="206"/>
      <c r="AS51" s="206"/>
    </row>
    <row r="52" spans="21:45" x14ac:dyDescent="0.2">
      <c r="U52" s="206"/>
      <c r="AC52" s="206"/>
      <c r="AK52" s="206"/>
      <c r="AS52" s="206"/>
    </row>
    <row r="53" spans="21:45" x14ac:dyDescent="0.2">
      <c r="U53" s="206"/>
      <c r="AC53" s="206"/>
      <c r="AK53" s="206"/>
      <c r="AS53" s="206"/>
    </row>
  </sheetData>
  <mergeCells count="4">
    <mergeCell ref="W4:AA4"/>
    <mergeCell ref="AD4:AI4"/>
    <mergeCell ref="AL4:AQ4"/>
    <mergeCell ref="AT4:AY4"/>
  </mergeCells>
  <phoneticPr fontId="7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  <colBreaks count="6" manualBreakCount="6">
    <brk id="6" max="49" man="1"/>
    <brk id="12" max="49" man="1"/>
    <brk id="19" max="49" man="1"/>
    <brk id="27" max="1048575" man="1"/>
    <brk id="35" max="1048575" man="1"/>
    <brk id="4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1"/>
  <sheetViews>
    <sheetView view="pageBreakPreview" zoomScale="60" zoomScaleNormal="90" workbookViewId="0">
      <selection activeCell="U77" sqref="U77"/>
    </sheetView>
  </sheetViews>
  <sheetFormatPr defaultColWidth="9.33203125" defaultRowHeight="12.75" x14ac:dyDescent="0.2"/>
  <cols>
    <col min="1" max="1" width="1.6640625" style="378" customWidth="1"/>
    <col min="2" max="2" width="16" style="378" customWidth="1"/>
    <col min="3" max="3" width="15.33203125" style="378" customWidth="1"/>
    <col min="4" max="4" width="16.33203125" style="378" customWidth="1"/>
    <col min="5" max="14" width="15.33203125" style="378" customWidth="1"/>
    <col min="15" max="15" width="1.5" style="378" customWidth="1"/>
    <col min="16" max="16384" width="9.33203125" style="378"/>
  </cols>
  <sheetData>
    <row r="1" spans="2:19" s="5" customFormat="1" ht="15.75" x14ac:dyDescent="0.25">
      <c r="B1" s="1" t="s">
        <v>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9" s="7" customFormat="1" ht="15" x14ac:dyDescent="0.25">
      <c r="B2" s="3" t="s">
        <v>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9" s="7" customFormat="1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9" x14ac:dyDescent="0.2">
      <c r="C4" s="473" t="s">
        <v>331</v>
      </c>
      <c r="D4" s="474"/>
      <c r="E4" s="475"/>
      <c r="F4" s="473" t="s">
        <v>332</v>
      </c>
      <c r="G4" s="474"/>
      <c r="H4" s="475"/>
      <c r="I4" s="473" t="s">
        <v>333</v>
      </c>
      <c r="J4" s="474"/>
      <c r="K4" s="475"/>
      <c r="L4" s="473" t="s">
        <v>334</v>
      </c>
      <c r="M4" s="474"/>
      <c r="N4" s="475"/>
      <c r="O4" s="377"/>
    </row>
    <row r="5" spans="2:19" ht="25.5" x14ac:dyDescent="0.2">
      <c r="B5" s="476"/>
      <c r="C5" s="73" t="s">
        <v>336</v>
      </c>
      <c r="D5" s="477"/>
      <c r="E5" s="477"/>
      <c r="F5" s="73" t="s">
        <v>337</v>
      </c>
      <c r="G5" s="477"/>
      <c r="H5" s="477"/>
      <c r="I5" s="73" t="s">
        <v>338</v>
      </c>
      <c r="J5" s="477"/>
      <c r="K5" s="477"/>
      <c r="L5" s="73" t="s">
        <v>339</v>
      </c>
      <c r="M5" s="477"/>
      <c r="N5" s="477"/>
    </row>
    <row r="6" spans="2:19" ht="37.5" customHeight="1" x14ac:dyDescent="0.2">
      <c r="B6" s="478" t="s">
        <v>2</v>
      </c>
      <c r="C6" s="479" t="s">
        <v>335</v>
      </c>
      <c r="D6" s="503" t="s">
        <v>340</v>
      </c>
      <c r="E6" s="480" t="s">
        <v>31</v>
      </c>
      <c r="F6" s="479" t="s">
        <v>335</v>
      </c>
      <c r="G6" s="503" t="s">
        <v>340</v>
      </c>
      <c r="H6" s="480" t="s">
        <v>31</v>
      </c>
      <c r="I6" s="479" t="s">
        <v>335</v>
      </c>
      <c r="J6" s="503" t="s">
        <v>340</v>
      </c>
      <c r="K6" s="480" t="s">
        <v>31</v>
      </c>
      <c r="L6" s="479" t="s">
        <v>335</v>
      </c>
      <c r="M6" s="503" t="s">
        <v>340</v>
      </c>
      <c r="N6" s="480" t="s">
        <v>31</v>
      </c>
    </row>
    <row r="7" spans="2:19" x14ac:dyDescent="0.2">
      <c r="B7" s="481"/>
      <c r="C7" s="482" t="s">
        <v>67</v>
      </c>
      <c r="D7" s="483" t="s">
        <v>67</v>
      </c>
      <c r="E7" s="480"/>
      <c r="F7" s="482" t="s">
        <v>67</v>
      </c>
      <c r="G7" s="483" t="s">
        <v>67</v>
      </c>
      <c r="H7" s="480"/>
      <c r="I7" s="482" t="s">
        <v>67</v>
      </c>
      <c r="J7" s="483" t="s">
        <v>67</v>
      </c>
      <c r="K7" s="480"/>
      <c r="L7" s="482" t="s">
        <v>67</v>
      </c>
      <c r="M7" s="483" t="s">
        <v>67</v>
      </c>
      <c r="N7" s="480"/>
    </row>
    <row r="8" spans="2:19" x14ac:dyDescent="0.2">
      <c r="B8" s="484"/>
      <c r="C8" s="485" t="s">
        <v>107</v>
      </c>
      <c r="D8" s="486" t="s">
        <v>107</v>
      </c>
      <c r="E8" s="487" t="s">
        <v>107</v>
      </c>
      <c r="F8" s="485" t="s">
        <v>107</v>
      </c>
      <c r="G8" s="486" t="s">
        <v>107</v>
      </c>
      <c r="H8" s="487" t="s">
        <v>107</v>
      </c>
      <c r="I8" s="485" t="s">
        <v>107</v>
      </c>
      <c r="J8" s="486" t="s">
        <v>107</v>
      </c>
      <c r="K8" s="487" t="s">
        <v>107</v>
      </c>
      <c r="L8" s="485" t="s">
        <v>107</v>
      </c>
      <c r="M8" s="486" t="s">
        <v>107</v>
      </c>
      <c r="N8" s="487" t="s">
        <v>107</v>
      </c>
    </row>
    <row r="9" spans="2:19" x14ac:dyDescent="0.2">
      <c r="C9" s="489" t="s">
        <v>22</v>
      </c>
      <c r="D9" s="488" t="s">
        <v>23</v>
      </c>
      <c r="E9" s="488" t="s">
        <v>24</v>
      </c>
      <c r="F9" s="489" t="s">
        <v>22</v>
      </c>
      <c r="G9" s="488" t="s">
        <v>23</v>
      </c>
      <c r="H9" s="488" t="s">
        <v>24</v>
      </c>
      <c r="I9" s="489" t="s">
        <v>22</v>
      </c>
      <c r="J9" s="488" t="s">
        <v>23</v>
      </c>
      <c r="K9" s="488" t="s">
        <v>24</v>
      </c>
      <c r="L9" s="489" t="s">
        <v>22</v>
      </c>
      <c r="M9" s="488" t="s">
        <v>23</v>
      </c>
      <c r="N9" s="488" t="s">
        <v>24</v>
      </c>
    </row>
    <row r="10" spans="2:19" x14ac:dyDescent="0.2">
      <c r="C10" s="490"/>
      <c r="D10" s="488"/>
      <c r="E10" s="4" t="str">
        <f>C9&amp;" - "&amp;D9</f>
        <v>(a) - (b)</v>
      </c>
      <c r="F10" s="490"/>
      <c r="G10" s="488"/>
      <c r="H10" s="4" t="str">
        <f>F9&amp;" - "&amp;G9</f>
        <v>(a) - (b)</v>
      </c>
      <c r="I10" s="490"/>
      <c r="J10" s="488"/>
      <c r="K10" s="4" t="str">
        <f>I9&amp;" - "&amp;J9</f>
        <v>(a) - (b)</v>
      </c>
      <c r="L10" s="490"/>
      <c r="M10" s="488"/>
      <c r="N10" s="4" t="str">
        <f>L9&amp;" - "&amp;M9</f>
        <v>(a) - (b)</v>
      </c>
    </row>
    <row r="11" spans="2:19" x14ac:dyDescent="0.2">
      <c r="C11" s="490"/>
      <c r="D11" s="488"/>
      <c r="E11" s="4"/>
      <c r="F11" s="490"/>
      <c r="G11" s="488"/>
      <c r="H11" s="4"/>
      <c r="I11" s="490"/>
      <c r="J11" s="488"/>
      <c r="K11" s="4"/>
      <c r="L11" s="490"/>
      <c r="M11" s="488"/>
      <c r="N11" s="4"/>
    </row>
    <row r="12" spans="2:19" x14ac:dyDescent="0.2">
      <c r="B12" s="491">
        <f>'Tables 3 to 6'!B13</f>
        <v>2014</v>
      </c>
      <c r="C12" s="494">
        <f>($D$46*'Tariff Page'!D8+$D$47*'Tariff Page'!C8+$D$48*'Tariff Page'!F8+$D$49*'Tariff Page'!E8)*10</f>
        <v>29.617534246575342</v>
      </c>
      <c r="D12" s="492">
        <v>29.604164383561642</v>
      </c>
      <c r="E12" s="493">
        <f>C12-D12</f>
        <v>1.3369863013700467E-2</v>
      </c>
      <c r="F12" s="494">
        <f>($H$46*'Tariff Page Wind'!D8+$H$47*'Tariff Page Wind'!C8+$H$48*'Tariff Page Wind'!F8+$H$49*'Tariff Page Wind'!E8)*10</f>
        <v>24.822879135969835</v>
      </c>
      <c r="G12" s="492">
        <v>26.014585223467137</v>
      </c>
      <c r="H12" s="493">
        <f>F12-G12</f>
        <v>-1.1917060874973018</v>
      </c>
      <c r="I12" s="494">
        <f>($K$46*'Tariff Page Solar Fixed'!D8+$K$47*'Tariff Page Solar Fixed'!C8+$K$48*'Tariff Page Solar Fixed'!F8+$K$49*'Tariff Page Solar Fixed'!E8)*10</f>
        <v>30.622707253259598</v>
      </c>
      <c r="J12" s="492">
        <v>27.006440806421338</v>
      </c>
      <c r="K12" s="493">
        <f>I12-J12</f>
        <v>3.6162664468382602</v>
      </c>
      <c r="L12" s="494">
        <f>($N$46*'Tariff Page Solar Tracking'!D8+$N$47*'Tariff Page Solar Tracking'!C8+$N$48*'Tariff Page Solar Tracking'!F8+$N$49*'Tariff Page Solar Tracking'!E8)*10</f>
        <v>31.272707253259604</v>
      </c>
      <c r="M12" s="492">
        <v>27.656440806421337</v>
      </c>
      <c r="N12" s="493">
        <f>L12-M12</f>
        <v>3.6162664468382673</v>
      </c>
      <c r="Q12" s="440"/>
      <c r="R12" s="440"/>
    </row>
    <row r="13" spans="2:19" s="245" customFormat="1" x14ac:dyDescent="0.2">
      <c r="B13" s="491">
        <f>B12+1</f>
        <v>2015</v>
      </c>
      <c r="C13" s="494">
        <f>($D$46*'Tariff Page'!D9+$D$47*'Tariff Page'!C9+$D$48*'Tariff Page'!F9+$D$49*'Tariff Page'!E9)*10</f>
        <v>32.631141552511416</v>
      </c>
      <c r="D13" s="492">
        <v>32.636246575342469</v>
      </c>
      <c r="E13" s="493">
        <f t="shared" ref="E13:E33" si="0">C13-D13</f>
        <v>-5.1050228310529633E-3</v>
      </c>
      <c r="F13" s="494">
        <f>($H$46*'Tariff Page Wind'!D9+$H$47*'Tariff Page Wind'!C9+$H$48*'Tariff Page Wind'!F9+$H$49*'Tariff Page Wind'!E9)*10</f>
        <v>27.921989727589207</v>
      </c>
      <c r="G13" s="492">
        <v>29.405546227457258</v>
      </c>
      <c r="H13" s="493">
        <f t="shared" ref="H13:H33" si="1">F13-G13</f>
        <v>-1.483556499868051</v>
      </c>
      <c r="I13" s="494">
        <f>($K$46*'Tariff Page Solar Fixed'!D9+$K$47*'Tariff Page Solar Fixed'!C9+$K$48*'Tariff Page Solar Fixed'!F9+$K$49*'Tariff Page Solar Fixed'!E9)*10</f>
        <v>34.039774173004169</v>
      </c>
      <c r="J13" s="492">
        <v>29.782815181808367</v>
      </c>
      <c r="K13" s="493">
        <f t="shared" ref="K13:K33" si="2">I13-J13</f>
        <v>4.2569589911958019</v>
      </c>
      <c r="L13" s="494">
        <f>($N$46*'Tariff Page Solar Tracking'!D9+$N$47*'Tariff Page Solar Tracking'!C9+$N$48*'Tariff Page Solar Tracking'!F9+$N$49*'Tariff Page Solar Tracking'!E9)*10</f>
        <v>34.689774173004167</v>
      </c>
      <c r="M13" s="492">
        <v>30.432815181808373</v>
      </c>
      <c r="N13" s="493">
        <f t="shared" ref="N13:N33" si="3">L13-M13</f>
        <v>4.2569589911957948</v>
      </c>
      <c r="S13" s="495"/>
    </row>
    <row r="14" spans="2:19" x14ac:dyDescent="0.2">
      <c r="B14" s="491">
        <f t="shared" ref="B14:B33" si="4">B13+1</f>
        <v>2016</v>
      </c>
      <c r="C14" s="494">
        <f>($D$46*'Tariff Page'!D10+$D$47*'Tariff Page'!C10+$D$48*'Tariff Page'!F10+$D$49*'Tariff Page'!E10)*10</f>
        <v>30.213881278538814</v>
      </c>
      <c r="D14" s="492">
        <v>30.2212602739726</v>
      </c>
      <c r="E14" s="493">
        <f t="shared" si="0"/>
        <v>-7.378995433786173E-3</v>
      </c>
      <c r="F14" s="494">
        <f>($H$46*'Tariff Page Wind'!D10+$H$47*'Tariff Page Wind'!C10+$H$48*'Tariff Page Wind'!F10+$H$49*'Tariff Page Wind'!E10)*10</f>
        <v>25.467126900724356</v>
      </c>
      <c r="G14" s="492">
        <v>26.823361317628212</v>
      </c>
      <c r="H14" s="493">
        <f t="shared" si="1"/>
        <v>-1.356234416903856</v>
      </c>
      <c r="I14" s="494">
        <f>($K$46*'Tariff Page Solar Fixed'!D10+$K$47*'Tariff Page Solar Fixed'!C10+$K$48*'Tariff Page Solar Fixed'!F10+$K$49*'Tariff Page Solar Fixed'!E10)*10</f>
        <v>31.379474211486325</v>
      </c>
      <c r="J14" s="492">
        <v>27.46155445457488</v>
      </c>
      <c r="K14" s="493">
        <f t="shared" si="2"/>
        <v>3.917919756911445</v>
      </c>
      <c r="L14" s="494">
        <f>($N$46*'Tariff Page Solar Tracking'!D10+$N$47*'Tariff Page Solar Tracking'!C10+$N$48*'Tariff Page Solar Tracking'!F10+$N$49*'Tariff Page Solar Tracking'!E10)*10</f>
        <v>32.029474211486331</v>
      </c>
      <c r="M14" s="492">
        <v>28.111554454574879</v>
      </c>
      <c r="N14" s="493">
        <f t="shared" si="3"/>
        <v>3.9179197569114521</v>
      </c>
      <c r="S14" s="440"/>
    </row>
    <row r="15" spans="2:19" x14ac:dyDescent="0.2">
      <c r="B15" s="491">
        <f t="shared" si="4"/>
        <v>2017</v>
      </c>
      <c r="C15" s="494">
        <f>($D$46*'Tariff Page'!D11+$D$47*'Tariff Page'!C11+$D$48*'Tariff Page'!F11+$D$49*'Tariff Page'!E11)*10</f>
        <v>31.38581735159817</v>
      </c>
      <c r="D15" s="492">
        <v>31.389315068493154</v>
      </c>
      <c r="E15" s="493">
        <f t="shared" si="0"/>
        <v>-3.4977168949836823E-3</v>
      </c>
      <c r="F15" s="494">
        <f>($H$46*'Tariff Page Wind'!D11+$H$47*'Tariff Page Wind'!C11+$H$48*'Tariff Page Wind'!F11+$H$49*'Tariff Page Wind'!E11)*10</f>
        <v>26.405714536976596</v>
      </c>
      <c r="G15" s="492">
        <v>27.781556392117256</v>
      </c>
      <c r="H15" s="493">
        <f t="shared" si="1"/>
        <v>-1.3758418551406599</v>
      </c>
      <c r="I15" s="494">
        <f>($K$46*'Tariff Page Solar Fixed'!D11+$K$47*'Tariff Page Solar Fixed'!C11+$K$48*'Tariff Page Solar Fixed'!F11+$K$49*'Tariff Page Solar Fixed'!E11)*10</f>
        <v>32.714402290205641</v>
      </c>
      <c r="J15" s="492">
        <v>28.707034723381991</v>
      </c>
      <c r="K15" s="493">
        <f t="shared" si="2"/>
        <v>4.0073675668236497</v>
      </c>
      <c r="L15" s="494">
        <f>($N$46*'Tariff Page Solar Tracking'!D11+$N$47*'Tariff Page Solar Tracking'!C11+$N$48*'Tariff Page Solar Tracking'!F11+$N$49*'Tariff Page Solar Tracking'!E11)*10</f>
        <v>33.364402290205632</v>
      </c>
      <c r="M15" s="492">
        <v>29.357034723381993</v>
      </c>
      <c r="N15" s="493">
        <f t="shared" si="3"/>
        <v>4.007367566823639</v>
      </c>
      <c r="S15" s="440"/>
    </row>
    <row r="16" spans="2:19" x14ac:dyDescent="0.2">
      <c r="B16" s="491">
        <f t="shared" si="4"/>
        <v>2018</v>
      </c>
      <c r="C16" s="494">
        <f>($D$46*'Tariff Page'!D12+$D$47*'Tariff Page'!C12+$D$48*'Tariff Page'!F12+$D$49*'Tariff Page'!E12)*10</f>
        <v>33.819269406392692</v>
      </c>
      <c r="D16" s="492">
        <v>33.825534246575344</v>
      </c>
      <c r="E16" s="493">
        <f t="shared" si="0"/>
        <v>-6.2648401826521649E-3</v>
      </c>
      <c r="F16" s="494">
        <f>($H$46*'Tariff Page Wind'!D12+$H$47*'Tariff Page Wind'!C12+$H$48*'Tariff Page Wind'!F12+$H$49*'Tariff Page Wind'!E12)*10</f>
        <v>28.505829751471019</v>
      </c>
      <c r="G16" s="492">
        <v>29.989638243104338</v>
      </c>
      <c r="H16" s="493">
        <f t="shared" si="1"/>
        <v>-1.4838084916333187</v>
      </c>
      <c r="I16" s="494">
        <f>($K$46*'Tariff Page Solar Fixed'!D12+$K$47*'Tariff Page Solar Fixed'!C12+$K$48*'Tariff Page Solar Fixed'!F12+$K$49*'Tariff Page Solar Fixed'!E12)*10</f>
        <v>35.381330382625144</v>
      </c>
      <c r="J16" s="492">
        <v>31.118294373569171</v>
      </c>
      <c r="K16" s="493">
        <f t="shared" si="2"/>
        <v>4.2630360090559734</v>
      </c>
      <c r="L16" s="494">
        <f>($N$46*'Tariff Page Solar Tracking'!D12+$N$47*'Tariff Page Solar Tracking'!C12+$N$48*'Tariff Page Solar Tracking'!F12+$N$49*'Tariff Page Solar Tracking'!E12)*10</f>
        <v>36.031330382625143</v>
      </c>
      <c r="M16" s="492">
        <v>31.768294373569169</v>
      </c>
      <c r="N16" s="493">
        <f t="shared" si="3"/>
        <v>4.2630360090559734</v>
      </c>
      <c r="S16" s="440"/>
    </row>
    <row r="17" spans="2:19" x14ac:dyDescent="0.2">
      <c r="B17" s="491">
        <f t="shared" si="4"/>
        <v>2019</v>
      </c>
      <c r="C17" s="494">
        <f>($D$46*'Tariff Page'!D13+$D$47*'Tariff Page'!C13+$D$48*'Tariff Page'!F13+$D$49*'Tariff Page'!E13)*10</f>
        <v>35.464009132420088</v>
      </c>
      <c r="D17" s="492">
        <v>35.482739726027397</v>
      </c>
      <c r="E17" s="493">
        <f t="shared" si="0"/>
        <v>-1.8730593607308776E-2</v>
      </c>
      <c r="F17" s="494">
        <f>($H$46*'Tariff Page Wind'!D13+$H$47*'Tariff Page Wind'!C13+$H$48*'Tariff Page Wind'!F13+$H$49*'Tariff Page Wind'!E13)*10</f>
        <v>29.80631963970859</v>
      </c>
      <c r="G17" s="492">
        <v>31.296437647017854</v>
      </c>
      <c r="H17" s="493">
        <f t="shared" si="1"/>
        <v>-1.4901180073092632</v>
      </c>
      <c r="I17" s="494">
        <f>($K$46*'Tariff Page Solar Fixed'!D13+$K$47*'Tariff Page Solar Fixed'!C13+$K$48*'Tariff Page Solar Fixed'!F13+$K$49*'Tariff Page Solar Fixed'!E13)*10</f>
        <v>37.053920846060521</v>
      </c>
      <c r="J17" s="492">
        <v>32.805553162119303</v>
      </c>
      <c r="K17" s="493">
        <f t="shared" si="2"/>
        <v>4.2483676839412183</v>
      </c>
      <c r="L17" s="494">
        <f>($N$46*'Tariff Page Solar Tracking'!D13+$N$47*'Tariff Page Solar Tracking'!C13+$N$48*'Tariff Page Solar Tracking'!F13+$N$49*'Tariff Page Solar Tracking'!E13)*10</f>
        <v>37.70392084606052</v>
      </c>
      <c r="M17" s="492">
        <v>33.455553162119301</v>
      </c>
      <c r="N17" s="493">
        <f t="shared" si="3"/>
        <v>4.2483676839412183</v>
      </c>
      <c r="S17" s="440"/>
    </row>
    <row r="18" spans="2:19" x14ac:dyDescent="0.2">
      <c r="B18" s="491">
        <f t="shared" si="4"/>
        <v>2020</v>
      </c>
      <c r="C18" s="494">
        <f>($D$46*'Tariff Page'!D14+$D$47*'Tariff Page'!C14+$D$48*'Tariff Page'!F14+$D$49*'Tariff Page'!E14)*10</f>
        <v>38.949990867579906</v>
      </c>
      <c r="D18" s="492">
        <v>38.957999999999998</v>
      </c>
      <c r="E18" s="493">
        <f t="shared" si="0"/>
        <v>-8.0091324200921576E-3</v>
      </c>
      <c r="F18" s="494">
        <f>($H$46*'Tariff Page Wind'!D14+$H$47*'Tariff Page Wind'!C14+$H$48*'Tariff Page Wind'!F14+$H$49*'Tariff Page Wind'!E14)*10</f>
        <v>32.832850568760811</v>
      </c>
      <c r="G18" s="492">
        <v>34.021432125420404</v>
      </c>
      <c r="H18" s="493">
        <f t="shared" si="1"/>
        <v>-1.1885815566595923</v>
      </c>
      <c r="I18" s="494">
        <f>($K$46*'Tariff Page Solar Fixed'!D14+$K$47*'Tariff Page Solar Fixed'!C14+$K$48*'Tariff Page Solar Fixed'!F14+$K$49*'Tariff Page Solar Fixed'!E14)*10</f>
        <v>39.69171010211975</v>
      </c>
      <c r="J18" s="492">
        <v>36.388292219476547</v>
      </c>
      <c r="K18" s="493">
        <f t="shared" si="2"/>
        <v>3.3034178826432026</v>
      </c>
      <c r="L18" s="494">
        <f>($N$46*'Tariff Page Solar Tracking'!D14+$N$47*'Tariff Page Solar Tracking'!C14+$N$48*'Tariff Page Solar Tracking'!F14+$N$49*'Tariff Page Solar Tracking'!E14)*10</f>
        <v>40.341710102119748</v>
      </c>
      <c r="M18" s="492">
        <v>37.038292219476546</v>
      </c>
      <c r="N18" s="493">
        <f t="shared" si="3"/>
        <v>3.3034178826432026</v>
      </c>
      <c r="S18" s="440"/>
    </row>
    <row r="19" spans="2:19" x14ac:dyDescent="0.2">
      <c r="B19" s="491">
        <f t="shared" si="4"/>
        <v>2021</v>
      </c>
      <c r="C19" s="494">
        <f>($D$46*'Tariff Page'!D15+$D$47*'Tariff Page'!C15+$D$48*'Tariff Page'!F15+$D$49*'Tariff Page'!E15)*10</f>
        <v>42.236885844748855</v>
      </c>
      <c r="D19" s="492">
        <v>42.245863013698624</v>
      </c>
      <c r="E19" s="493">
        <f t="shared" si="0"/>
        <v>-8.9771689497695206E-3</v>
      </c>
      <c r="F19" s="494">
        <f>($H$46*'Tariff Page Wind'!D15+$H$47*'Tariff Page Wind'!C15+$H$48*'Tariff Page Wind'!F15+$H$49*'Tariff Page Wind'!E15)*10</f>
        <v>36.175299208757139</v>
      </c>
      <c r="G19" s="492">
        <v>36.809210760746481</v>
      </c>
      <c r="H19" s="493">
        <f t="shared" si="1"/>
        <v>-0.63391155198934257</v>
      </c>
      <c r="I19" s="494">
        <f>($K$46*'Tariff Page Solar Fixed'!D15+$K$47*'Tariff Page Solar Fixed'!C15+$K$48*'Tariff Page Solar Fixed'!F15+$K$49*'Tariff Page Solar Fixed'!E15)*10</f>
        <v>41.269976368712847</v>
      </c>
      <c r="J19" s="492">
        <v>39.556960753023489</v>
      </c>
      <c r="K19" s="493">
        <f t="shared" si="2"/>
        <v>1.7130156156893577</v>
      </c>
      <c r="L19" s="494">
        <f>($N$46*'Tariff Page Solar Tracking'!D15+$N$47*'Tariff Page Solar Tracking'!C15+$N$48*'Tariff Page Solar Tracking'!F15+$N$49*'Tariff Page Solar Tracking'!E15)*10</f>
        <v>41.919976368712845</v>
      </c>
      <c r="M19" s="492">
        <v>40.20696075302348</v>
      </c>
      <c r="N19" s="493">
        <f t="shared" si="3"/>
        <v>1.7130156156893648</v>
      </c>
      <c r="S19" s="440"/>
    </row>
    <row r="20" spans="2:19" x14ac:dyDescent="0.2">
      <c r="B20" s="491">
        <f t="shared" si="4"/>
        <v>2022</v>
      </c>
      <c r="C20" s="494">
        <f>($D$46*'Tariff Page'!D16+$D$47*'Tariff Page'!C16+$D$48*'Tariff Page'!F16+$D$49*'Tariff Page'!E16)*10</f>
        <v>43.009406392694061</v>
      </c>
      <c r="D20" s="492">
        <v>43.013123287671242</v>
      </c>
      <c r="E20" s="493">
        <f t="shared" si="0"/>
        <v>-3.7168949771810844E-3</v>
      </c>
      <c r="F20" s="494">
        <f>($H$46*'Tariff Page Wind'!D16+$H$47*'Tariff Page Wind'!C16+$H$48*'Tariff Page Wind'!F16+$H$49*'Tariff Page Wind'!E16)*10</f>
        <v>36.146813402054114</v>
      </c>
      <c r="G20" s="492">
        <v>36.600938917600352</v>
      </c>
      <c r="H20" s="493">
        <f t="shared" si="1"/>
        <v>-0.45412551554623803</v>
      </c>
      <c r="I20" s="494">
        <f>($K$46*'Tariff Page Solar Fixed'!D16+$K$47*'Tariff Page Solar Fixed'!C16+$K$48*'Tariff Page Solar Fixed'!F16+$K$49*'Tariff Page Solar Fixed'!E16)*10</f>
        <v>41.767419099760652</v>
      </c>
      <c r="J20" s="492">
        <v>40.357330604815999</v>
      </c>
      <c r="K20" s="493">
        <f t="shared" si="2"/>
        <v>1.4100884949446524</v>
      </c>
      <c r="L20" s="494">
        <f>($N$46*'Tariff Page Solar Tracking'!D16+$N$47*'Tariff Page Solar Tracking'!C16+$N$48*'Tariff Page Solar Tracking'!F16+$N$49*'Tariff Page Solar Tracking'!E16)*10</f>
        <v>42.417419099760643</v>
      </c>
      <c r="M20" s="492">
        <v>41.007330604816005</v>
      </c>
      <c r="N20" s="493">
        <f t="shared" si="3"/>
        <v>1.4100884949446382</v>
      </c>
      <c r="S20" s="440"/>
    </row>
    <row r="21" spans="2:19" x14ac:dyDescent="0.2">
      <c r="B21" s="491">
        <f t="shared" si="4"/>
        <v>2023</v>
      </c>
      <c r="C21" s="494">
        <f>($D$46*'Tariff Page'!D17+$D$47*'Tariff Page'!C17+$D$48*'Tariff Page'!F17+$D$49*'Tariff Page'!E17)*10</f>
        <v>44.491853881278544</v>
      </c>
      <c r="D21" s="492">
        <v>44.495643835616441</v>
      </c>
      <c r="E21" s="493">
        <f t="shared" si="0"/>
        <v>-3.7899543378969724E-3</v>
      </c>
      <c r="F21" s="494">
        <f>($H$46*'Tariff Page Wind'!D17+$H$47*'Tariff Page Wind'!C17+$H$48*'Tariff Page Wind'!F17+$H$49*'Tariff Page Wind'!E17)*10</f>
        <v>36.797245709225137</v>
      </c>
      <c r="G21" s="492">
        <v>37.239495748985057</v>
      </c>
      <c r="H21" s="493">
        <f t="shared" si="1"/>
        <v>-0.44225003975991939</v>
      </c>
      <c r="I21" s="494">
        <f>($K$46*'Tariff Page Solar Fixed'!D17+$K$47*'Tariff Page Solar Fixed'!C17+$K$48*'Tariff Page Solar Fixed'!F17+$K$49*'Tariff Page Solar Fixed'!E17)*10</f>
        <v>43.183893675517453</v>
      </c>
      <c r="J21" s="492">
        <v>41.794516500053945</v>
      </c>
      <c r="K21" s="493">
        <f t="shared" si="2"/>
        <v>1.3893771754635083</v>
      </c>
      <c r="L21" s="494">
        <f>($N$46*'Tariff Page Solar Tracking'!D17+$N$47*'Tariff Page Solar Tracking'!C17+$N$48*'Tariff Page Solar Tracking'!F17+$N$49*'Tariff Page Solar Tracking'!E17)*10</f>
        <v>43.833893675517459</v>
      </c>
      <c r="M21" s="492">
        <v>42.44451650005395</v>
      </c>
      <c r="N21" s="493">
        <f t="shared" si="3"/>
        <v>1.3893771754635083</v>
      </c>
      <c r="S21" s="440"/>
    </row>
    <row r="22" spans="2:19" x14ac:dyDescent="0.2">
      <c r="B22" s="491">
        <f t="shared" si="4"/>
        <v>2024</v>
      </c>
      <c r="C22" s="494">
        <f>($D$46*'Tariff Page'!D18+$D$47*'Tariff Page'!C18+$D$48*'Tariff Page'!F18+$D$49*'Tariff Page'!E18)*10</f>
        <v>46.512493150684932</v>
      </c>
      <c r="D22" s="492">
        <v>46.519698630136986</v>
      </c>
      <c r="E22" s="493">
        <f t="shared" si="0"/>
        <v>-7.2054794520539645E-3</v>
      </c>
      <c r="F22" s="494">
        <f>($H$46*'Tariff Page Wind'!D18+$H$47*'Tariff Page Wind'!C18+$H$48*'Tariff Page Wind'!F18+$H$49*'Tariff Page Wind'!E18)*10</f>
        <v>39.634994275896666</v>
      </c>
      <c r="G22" s="492">
        <v>40.11605766269976</v>
      </c>
      <c r="H22" s="493">
        <f t="shared" si="1"/>
        <v>-0.48106338680309335</v>
      </c>
      <c r="I22" s="494">
        <f>($K$46*'Tariff Page Solar Fixed'!D18+$K$47*'Tariff Page Solar Fixed'!C18+$K$48*'Tariff Page Solar Fixed'!F18+$K$49*'Tariff Page Solar Fixed'!E18)*10</f>
        <v>45.372753709953784</v>
      </c>
      <c r="J22" s="492">
        <v>43.8588121660787</v>
      </c>
      <c r="K22" s="493">
        <f t="shared" si="2"/>
        <v>1.5139415438750845</v>
      </c>
      <c r="L22" s="494">
        <f>($N$46*'Tariff Page Solar Tracking'!D18+$N$47*'Tariff Page Solar Tracking'!C18+$N$48*'Tariff Page Solar Tracking'!F18+$N$49*'Tariff Page Solar Tracking'!E18)*10</f>
        <v>46.022753709953783</v>
      </c>
      <c r="M22" s="492">
        <v>44.508812166078698</v>
      </c>
      <c r="N22" s="493">
        <f t="shared" si="3"/>
        <v>1.5139415438750845</v>
      </c>
      <c r="S22" s="440"/>
    </row>
    <row r="23" spans="2:19" x14ac:dyDescent="0.2">
      <c r="B23" s="491">
        <f t="shared" si="4"/>
        <v>2025</v>
      </c>
      <c r="C23" s="494">
        <f>($D$46*'Tariff Page'!D19+$D$47*'Tariff Page'!C19+$D$48*'Tariff Page'!F19+$D$49*'Tariff Page'!E19)*10</f>
        <v>48.994474885844745</v>
      </c>
      <c r="D23" s="492">
        <v>48.997260273972607</v>
      </c>
      <c r="E23" s="493">
        <f t="shared" si="0"/>
        <v>-2.7853881278616655E-3</v>
      </c>
      <c r="F23" s="494">
        <f>($H$46*'Tariff Page Wind'!D19+$H$47*'Tariff Page Wind'!C19+$H$48*'Tariff Page Wind'!F19+$H$49*'Tariff Page Wind'!E19)*10</f>
        <v>41.935635086535932</v>
      </c>
      <c r="G23" s="492">
        <v>42.459893960725594</v>
      </c>
      <c r="H23" s="493">
        <f t="shared" si="1"/>
        <v>-0.52425887418966255</v>
      </c>
      <c r="I23" s="494">
        <f>($K$46*'Tariff Page Solar Fixed'!D19+$K$47*'Tariff Page Solar Fixed'!C19+$K$48*'Tariff Page Solar Fixed'!F19+$K$49*'Tariff Page Solar Fixed'!E19)*10</f>
        <v>48.063109205959087</v>
      </c>
      <c r="J23" s="492">
        <v>46.386292865704334</v>
      </c>
      <c r="K23" s="493">
        <f t="shared" si="2"/>
        <v>1.6768163402547529</v>
      </c>
      <c r="L23" s="494">
        <f>($N$46*'Tariff Page Solar Tracking'!D19+$N$47*'Tariff Page Solar Tracking'!C19+$N$48*'Tariff Page Solar Tracking'!F19+$N$49*'Tariff Page Solar Tracking'!E19)*10</f>
        <v>48.713109205959093</v>
      </c>
      <c r="M23" s="492">
        <v>47.036292865704326</v>
      </c>
      <c r="N23" s="493">
        <f t="shared" si="3"/>
        <v>1.6768163402547671</v>
      </c>
      <c r="S23" s="440"/>
    </row>
    <row r="24" spans="2:19" x14ac:dyDescent="0.2">
      <c r="B24" s="491">
        <f t="shared" si="4"/>
        <v>2026</v>
      </c>
      <c r="C24" s="494">
        <f>($D$46*'Tariff Page'!D20+$D$47*'Tariff Page'!C20+$D$48*'Tariff Page'!F20+$D$49*'Tariff Page'!E20)*10</f>
        <v>51.197552511415516</v>
      </c>
      <c r="D24" s="492">
        <v>51.197890410958905</v>
      </c>
      <c r="E24" s="493">
        <f t="shared" si="0"/>
        <v>-3.3789954338914185E-4</v>
      </c>
      <c r="F24" s="494">
        <f>($H$46*'Tariff Page Wind'!D20+$H$47*'Tariff Page Wind'!C20+$H$48*'Tariff Page Wind'!F20+$H$49*'Tariff Page Wind'!E20)*10</f>
        <v>43.670510796812714</v>
      </c>
      <c r="G24" s="492">
        <v>44.171574619539697</v>
      </c>
      <c r="H24" s="493">
        <f t="shared" si="1"/>
        <v>-0.50106382272698369</v>
      </c>
      <c r="I24" s="494">
        <f>($K$46*'Tariff Page Solar Fixed'!D20+$K$47*'Tariff Page Solar Fixed'!C20+$K$48*'Tariff Page Solar Fixed'!F20+$K$49*'Tariff Page Solar Fixed'!E20)*10</f>
        <v>50.284189246727905</v>
      </c>
      <c r="J24" s="492">
        <v>48.62207009299177</v>
      </c>
      <c r="K24" s="493">
        <f t="shared" si="2"/>
        <v>1.6621191537361355</v>
      </c>
      <c r="L24" s="494">
        <f>($N$46*'Tariff Page Solar Tracking'!D20+$N$47*'Tariff Page Solar Tracking'!C20+$N$48*'Tariff Page Solar Tracking'!F20+$N$49*'Tariff Page Solar Tracking'!E20)*10</f>
        <v>50.934189246727897</v>
      </c>
      <c r="M24" s="492">
        <v>49.272070092991775</v>
      </c>
      <c r="N24" s="493">
        <f t="shared" si="3"/>
        <v>1.6621191537361213</v>
      </c>
      <c r="S24" s="440"/>
    </row>
    <row r="25" spans="2:19" x14ac:dyDescent="0.2">
      <c r="B25" s="491">
        <f t="shared" si="4"/>
        <v>2027</v>
      </c>
      <c r="C25" s="494">
        <f>($D$46*'Tariff Page'!D21+$D$47*'Tariff Page'!C21+$D$48*'Tariff Page'!F21+$D$49*'Tariff Page'!E21)*10</f>
        <v>60.448136986301364</v>
      </c>
      <c r="D25" s="492">
        <v>60.448136986301364</v>
      </c>
      <c r="E25" s="493">
        <f t="shared" si="0"/>
        <v>0</v>
      </c>
      <c r="F25" s="494">
        <f>($H$46*'Tariff Page Wind'!D21+$H$47*'Tariff Page Wind'!C21+$H$48*'Tariff Page Wind'!F21+$H$49*'Tariff Page Wind'!E21)*10</f>
        <v>38.101800192172412</v>
      </c>
      <c r="G25" s="492">
        <v>38.101800192172412</v>
      </c>
      <c r="H25" s="493">
        <f t="shared" si="1"/>
        <v>0</v>
      </c>
      <c r="I25" s="494">
        <f>($K$46*'Tariff Page Solar Fixed'!D21+$K$47*'Tariff Page Solar Fixed'!C21+$K$48*'Tariff Page Solar Fixed'!F21+$K$49*'Tariff Page Solar Fixed'!E21)*10</f>
        <v>61.439737692921462</v>
      </c>
      <c r="J25" s="492">
        <v>61.439737692921462</v>
      </c>
      <c r="K25" s="493">
        <f t="shared" si="2"/>
        <v>0</v>
      </c>
      <c r="L25" s="494">
        <f>($N$46*'Tariff Page Solar Tracking'!D21+$N$47*'Tariff Page Solar Tracking'!C21+$N$48*'Tariff Page Solar Tracking'!F21+$N$49*'Tariff Page Solar Tracking'!E21)*10</f>
        <v>67.277905913980391</v>
      </c>
      <c r="M25" s="492">
        <v>67.277905913980391</v>
      </c>
      <c r="N25" s="493">
        <f t="shared" si="3"/>
        <v>0</v>
      </c>
      <c r="S25" s="440"/>
    </row>
    <row r="26" spans="2:19" x14ac:dyDescent="0.2">
      <c r="B26" s="491">
        <f t="shared" si="4"/>
        <v>2028</v>
      </c>
      <c r="C26" s="494">
        <f>($D$46*'Tariff Page'!D22+$D$47*'Tariff Page'!C22+$D$48*'Tariff Page'!F22+$D$49*'Tariff Page'!E22)*10</f>
        <v>62.385789954337895</v>
      </c>
      <c r="D26" s="492">
        <v>62.385789954337895</v>
      </c>
      <c r="E26" s="493">
        <f t="shared" si="0"/>
        <v>0</v>
      </c>
      <c r="F26" s="494">
        <f>($H$46*'Tariff Page Wind'!D22+$H$47*'Tariff Page Wind'!C22+$H$48*'Tariff Page Wind'!F22+$H$49*'Tariff Page Wind'!E22)*10</f>
        <v>39.943171667394992</v>
      </c>
      <c r="G26" s="492">
        <v>39.943171667394992</v>
      </c>
      <c r="H26" s="493">
        <f t="shared" si="1"/>
        <v>0</v>
      </c>
      <c r="I26" s="494">
        <f>($K$46*'Tariff Page Solar Fixed'!D22+$K$47*'Tariff Page Solar Fixed'!C22+$K$48*'Tariff Page Solar Fixed'!F22+$K$49*'Tariff Page Solar Fixed'!E22)*10</f>
        <v>63.458759295816726</v>
      </c>
      <c r="J26" s="492">
        <v>63.458759295816726</v>
      </c>
      <c r="K26" s="493">
        <f t="shared" si="2"/>
        <v>0</v>
      </c>
      <c r="L26" s="494">
        <f>($N$46*'Tariff Page Solar Tracking'!D22+$N$47*'Tariff Page Solar Tracking'!C22+$N$48*'Tariff Page Solar Tracking'!F22+$N$49*'Tariff Page Solar Tracking'!E22)*10</f>
        <v>69.386722736086284</v>
      </c>
      <c r="M26" s="492">
        <v>69.386722736086284</v>
      </c>
      <c r="N26" s="493">
        <f t="shared" si="3"/>
        <v>0</v>
      </c>
      <c r="S26" s="440"/>
    </row>
    <row r="27" spans="2:19" x14ac:dyDescent="0.2">
      <c r="B27" s="491">
        <f t="shared" si="4"/>
        <v>2029</v>
      </c>
      <c r="C27" s="494">
        <f>($D$46*'Tariff Page'!D23+$D$47*'Tariff Page'!C23+$D$48*'Tariff Page'!F23+$D$49*'Tariff Page'!E23)*10</f>
        <v>64.6490502283105</v>
      </c>
      <c r="D27" s="492">
        <v>64.6490502283105</v>
      </c>
      <c r="E27" s="493">
        <f t="shared" si="0"/>
        <v>0</v>
      </c>
      <c r="F27" s="494">
        <f>($H$46*'Tariff Page Wind'!D23+$H$47*'Tariff Page Wind'!C23+$H$48*'Tariff Page Wind'!F23+$H$49*'Tariff Page Wind'!E23)*10</f>
        <v>41.474543142617577</v>
      </c>
      <c r="G27" s="492">
        <v>41.474543142617577</v>
      </c>
      <c r="H27" s="493">
        <f t="shared" si="1"/>
        <v>0</v>
      </c>
      <c r="I27" s="494">
        <f>($K$46*'Tariff Page Solar Fixed'!D23+$K$47*'Tariff Page Solar Fixed'!C23+$K$48*'Tariff Page Solar Fixed'!F23+$K$49*'Tariff Page Solar Fixed'!E23)*10</f>
        <v>65.797780898711963</v>
      </c>
      <c r="J27" s="492">
        <v>65.797780898711963</v>
      </c>
      <c r="K27" s="493">
        <f t="shared" si="2"/>
        <v>0</v>
      </c>
      <c r="L27" s="494">
        <f>($N$46*'Tariff Page Solar Tracking'!D23+$N$47*'Tariff Page Solar Tracking'!C23+$N$48*'Tariff Page Solar Tracking'!F23+$N$49*'Tariff Page Solar Tracking'!E23)*10</f>
        <v>71.835494051350096</v>
      </c>
      <c r="M27" s="492">
        <v>71.835494051350096</v>
      </c>
      <c r="N27" s="493">
        <f t="shared" si="3"/>
        <v>0</v>
      </c>
      <c r="S27" s="440"/>
    </row>
    <row r="28" spans="2:19" x14ac:dyDescent="0.2">
      <c r="B28" s="491">
        <f t="shared" si="4"/>
        <v>2030</v>
      </c>
      <c r="C28" s="494">
        <f>($D$46*'Tariff Page'!D24+$D$47*'Tariff Page'!C24+$D$48*'Tariff Page'!F24+$D$49*'Tariff Page'!E24)*10</f>
        <v>66.94352511415525</v>
      </c>
      <c r="D28" s="492">
        <v>66.94352511415525</v>
      </c>
      <c r="E28" s="493">
        <f t="shared" si="0"/>
        <v>0</v>
      </c>
      <c r="F28" s="494">
        <f>($H$46*'Tariff Page Wind'!D24+$H$47*'Tariff Page Wind'!C24+$H$48*'Tariff Page Wind'!F24+$H$49*'Tariff Page Wind'!E24)*10</f>
        <v>43.665914617840158</v>
      </c>
      <c r="G28" s="492">
        <v>43.665914617840158</v>
      </c>
      <c r="H28" s="493">
        <f t="shared" si="1"/>
        <v>0</v>
      </c>
      <c r="I28" s="494">
        <f>($K$46*'Tariff Page Solar Fixed'!D24+$K$47*'Tariff Page Solar Fixed'!C24+$K$48*'Tariff Page Solar Fixed'!F24+$K$49*'Tariff Page Solar Fixed'!E24)*10</f>
        <v>68.156802501607231</v>
      </c>
      <c r="J28" s="492">
        <v>68.156802501607231</v>
      </c>
      <c r="K28" s="493">
        <f t="shared" si="2"/>
        <v>0</v>
      </c>
      <c r="L28" s="494">
        <f>($N$46*'Tariff Page Solar Tracking'!D24+$N$47*'Tariff Page Solar Tracking'!C24+$N$48*'Tariff Page Solar Tracking'!F24+$N$49*'Tariff Page Solar Tracking'!E24)*10</f>
        <v>74.294288120034949</v>
      </c>
      <c r="M28" s="492">
        <v>74.294288120034949</v>
      </c>
      <c r="N28" s="493">
        <f t="shared" si="3"/>
        <v>0</v>
      </c>
      <c r="S28" s="440"/>
    </row>
    <row r="29" spans="2:19" x14ac:dyDescent="0.2">
      <c r="B29" s="491">
        <f t="shared" si="4"/>
        <v>2031</v>
      </c>
      <c r="C29" s="494">
        <f>($D$46*'Tariff Page'!D25+$D$47*'Tariff Page'!C25+$D$48*'Tariff Page'!F25+$D$49*'Tariff Page'!E25)*10</f>
        <v>68.324821917808208</v>
      </c>
      <c r="D29" s="492">
        <v>68.324821917808208</v>
      </c>
      <c r="E29" s="493">
        <f t="shared" si="0"/>
        <v>0</v>
      </c>
      <c r="F29" s="494">
        <f>($H$46*'Tariff Page Wind'!D25+$H$47*'Tariff Page Wind'!C25+$H$48*'Tariff Page Wind'!F25+$H$49*'Tariff Page Wind'!E25)*10</f>
        <v>43.921237745002941</v>
      </c>
      <c r="G29" s="492">
        <v>43.921237745002941</v>
      </c>
      <c r="H29" s="493">
        <f t="shared" si="1"/>
        <v>0</v>
      </c>
      <c r="I29" s="494">
        <f>($K$46*'Tariff Page Solar Fixed'!D25+$K$47*'Tariff Page Solar Fixed'!C25+$K$48*'Tariff Page Solar Fixed'!F25+$K$49*'Tariff Page Solar Fixed'!E25)*10</f>
        <v>69.625733090818315</v>
      </c>
      <c r="J29" s="492">
        <v>69.625733090818315</v>
      </c>
      <c r="K29" s="493">
        <f t="shared" si="2"/>
        <v>0</v>
      </c>
      <c r="L29" s="494">
        <f>($N$46*'Tariff Page Solar Tracking'!D25+$N$47*'Tariff Page Solar Tracking'!C25+$N$48*'Tariff Page Solar Tracking'!F25+$N$49*'Tariff Page Solar Tracking'!E25)*10</f>
        <v>75.872968421614587</v>
      </c>
      <c r="M29" s="492">
        <v>75.872968421614587</v>
      </c>
      <c r="N29" s="493">
        <f t="shared" si="3"/>
        <v>0</v>
      </c>
      <c r="S29" s="440"/>
    </row>
    <row r="30" spans="2:19" x14ac:dyDescent="0.2">
      <c r="B30" s="491">
        <f t="shared" si="4"/>
        <v>2032</v>
      </c>
      <c r="C30" s="494">
        <f>($D$46*'Tariff Page'!D26+$D$47*'Tariff Page'!C26+$D$48*'Tariff Page'!F26+$D$49*'Tariff Page'!E26)*10</f>
        <v>69.657333333333341</v>
      </c>
      <c r="D30" s="492">
        <v>69.657333333333341</v>
      </c>
      <c r="E30" s="493">
        <f t="shared" si="0"/>
        <v>0</v>
      </c>
      <c r="F30" s="494">
        <f>($H$46*'Tariff Page Wind'!D26+$H$47*'Tariff Page Wind'!C26+$H$48*'Tariff Page Wind'!F26+$H$49*'Tariff Page Wind'!E26)*10</f>
        <v>44.626560872165726</v>
      </c>
      <c r="G30" s="492">
        <v>44.626560872165726</v>
      </c>
      <c r="H30" s="493">
        <f t="shared" si="1"/>
        <v>0</v>
      </c>
      <c r="I30" s="494">
        <f>($K$46*'Tariff Page Solar Fixed'!D26+$K$47*'Tariff Page Solar Fixed'!C26+$K$48*'Tariff Page Solar Fixed'!F26+$K$49*'Tariff Page Solar Fixed'!E26)*10</f>
        <v>71.034663680029425</v>
      </c>
      <c r="J30" s="492">
        <v>71.034663680029425</v>
      </c>
      <c r="K30" s="493">
        <f t="shared" si="2"/>
        <v>0</v>
      </c>
      <c r="L30" s="494">
        <f>($N$46*'Tariff Page Solar Tracking'!D26+$N$47*'Tariff Page Solar Tracking'!C26+$N$48*'Tariff Page Solar Tracking'!F26+$N$49*'Tariff Page Solar Tracking'!E26)*10</f>
        <v>77.401625969773193</v>
      </c>
      <c r="M30" s="492">
        <v>77.401625969773193</v>
      </c>
      <c r="N30" s="493">
        <f t="shared" si="3"/>
        <v>0</v>
      </c>
      <c r="S30" s="440"/>
    </row>
    <row r="31" spans="2:19" x14ac:dyDescent="0.2">
      <c r="B31" s="491">
        <f t="shared" si="4"/>
        <v>2033</v>
      </c>
      <c r="C31" s="494">
        <f>($D$46*'Tariff Page'!D27+$D$47*'Tariff Page'!C27+$D$48*'Tariff Page'!F27+$D$49*'Tariff Page'!E27)*10</f>
        <v>71.061059360730582</v>
      </c>
      <c r="D31" s="492">
        <v>71.061059360730582</v>
      </c>
      <c r="E31" s="493">
        <f t="shared" si="0"/>
        <v>0</v>
      </c>
      <c r="F31" s="494">
        <f>($H$46*'Tariff Page Wind'!D27+$H$47*'Tariff Page Wind'!C27+$H$48*'Tariff Page Wind'!F27+$H$49*'Tariff Page Wind'!E27)*10</f>
        <v>45.215835651268712</v>
      </c>
      <c r="G31" s="492">
        <v>45.215835651268712</v>
      </c>
      <c r="H31" s="493">
        <f t="shared" si="1"/>
        <v>0</v>
      </c>
      <c r="I31" s="494">
        <f>($K$46*'Tariff Page Solar Fixed'!D27+$K$47*'Tariff Page Solar Fixed'!C27+$K$48*'Tariff Page Solar Fixed'!F27+$K$49*'Tariff Page Solar Fixed'!E27)*10</f>
        <v>72.53352600897739</v>
      </c>
      <c r="J31" s="492">
        <v>72.53352600897739</v>
      </c>
      <c r="K31" s="493">
        <f t="shared" si="2"/>
        <v>0</v>
      </c>
      <c r="L31" s="494">
        <f>($N$46*'Tariff Page Solar Tracking'!D27+$N$47*'Tariff Page Solar Tracking'!C27+$N$48*'Tariff Page Solar Tracking'!F27+$N$49*'Tariff Page Solar Tracking'!E27)*10</f>
        <v>79.01023801108974</v>
      </c>
      <c r="M31" s="492">
        <v>79.01023801108974</v>
      </c>
      <c r="N31" s="493">
        <f t="shared" si="3"/>
        <v>0</v>
      </c>
      <c r="S31" s="440"/>
    </row>
    <row r="32" spans="2:19" x14ac:dyDescent="0.2">
      <c r="B32" s="491">
        <f t="shared" si="4"/>
        <v>2034</v>
      </c>
      <c r="C32" s="494">
        <f>($D$46*'Tariff Page'!D28+$D$47*'Tariff Page'!C28+$D$48*'Tariff Page'!F28+$D$49*'Tariff Page'!E28)*10</f>
        <v>72.480392694063923</v>
      </c>
      <c r="D32" s="492">
        <v>72.480392694063923</v>
      </c>
      <c r="E32" s="493">
        <f t="shared" si="0"/>
        <v>0</v>
      </c>
      <c r="F32" s="494">
        <f>($H$46*'Tariff Page Wind'!D28+$H$47*'Tariff Page Wind'!C28+$H$48*'Tariff Page Wind'!F28+$H$49*'Tariff Page Wind'!E28)*10</f>
        <v>46.115110430371686</v>
      </c>
      <c r="G32" s="492">
        <v>46.115110430371686</v>
      </c>
      <c r="H32" s="493">
        <f t="shared" si="1"/>
        <v>0</v>
      </c>
      <c r="I32" s="494">
        <f>($K$46*'Tariff Page Solar Fixed'!D28+$K$47*'Tariff Page Solar Fixed'!C28+$K$48*'Tariff Page Solar Fixed'!F28+$K$49*'Tariff Page Solar Fixed'!E28)*10</f>
        <v>74.032411091346418</v>
      </c>
      <c r="J32" s="492">
        <v>74.032411091346418</v>
      </c>
      <c r="K32" s="493">
        <f t="shared" si="2"/>
        <v>0</v>
      </c>
      <c r="L32" s="494">
        <f>($N$46*'Tariff Page Solar Tracking'!D28+$N$47*'Tariff Page Solar Tracking'!C28+$N$48*'Tariff Page Solar Tracking'!F28+$N$49*'Tariff Page Solar Tracking'!E28)*10</f>
        <v>80.618872805827294</v>
      </c>
      <c r="M32" s="492">
        <v>80.618872805827294</v>
      </c>
      <c r="N32" s="493">
        <f t="shared" si="3"/>
        <v>0</v>
      </c>
      <c r="S32" s="440"/>
    </row>
    <row r="33" spans="2:22" x14ac:dyDescent="0.2">
      <c r="B33" s="491">
        <f t="shared" si="4"/>
        <v>2035</v>
      </c>
      <c r="C33" s="494">
        <f>($D$46*'Tariff Page'!D29+$D$47*'Tariff Page'!C29+$D$48*'Tariff Page'!F29+$D$49*'Tariff Page'!E29)*10</f>
        <v>73.900940639269407</v>
      </c>
      <c r="D33" s="492">
        <v>73.900940639269407</v>
      </c>
      <c r="E33" s="493">
        <f t="shared" si="0"/>
        <v>0</v>
      </c>
      <c r="F33" s="494">
        <f>($H$46*'Tariff Page Wind'!D29+$H$47*'Tariff Page Wind'!C29+$H$48*'Tariff Page Wind'!F29+$H$49*'Tariff Page Wind'!E29)*10</f>
        <v>46.998336861414877</v>
      </c>
      <c r="G33" s="492">
        <v>46.998336861414877</v>
      </c>
      <c r="H33" s="493">
        <f t="shared" si="1"/>
        <v>0</v>
      </c>
      <c r="I33" s="494">
        <f>($K$46*'Tariff Page Solar Fixed'!D29+$K$47*'Tariff Page Solar Fixed'!C29+$K$48*'Tariff Page Solar Fixed'!F29+$K$49*'Tariff Page Solar Fixed'!E29)*10</f>
        <v>75.541250666873324</v>
      </c>
      <c r="J33" s="492">
        <v>75.541250666873324</v>
      </c>
      <c r="K33" s="493">
        <f t="shared" si="2"/>
        <v>0</v>
      </c>
      <c r="L33" s="494">
        <f>($N$46*'Tariff Page Solar Tracking'!D29+$N$47*'Tariff Page Solar Tracking'!C29+$N$48*'Tariff Page Solar Tracking'!F29+$N$49*'Tariff Page Solar Tracking'!E29)*10</f>
        <v>82.257416586880709</v>
      </c>
      <c r="M33" s="492">
        <v>82.257416586880709</v>
      </c>
      <c r="N33" s="493">
        <f t="shared" si="3"/>
        <v>0</v>
      </c>
      <c r="S33" s="440"/>
    </row>
    <row r="34" spans="2:22" x14ac:dyDescent="0.2">
      <c r="B34" s="491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</row>
    <row r="35" spans="2:22" hidden="1" x14ac:dyDescent="0.2">
      <c r="B35" s="491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</row>
    <row r="36" spans="2:22" hidden="1" x14ac:dyDescent="0.2">
      <c r="B36" s="491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</row>
    <row r="37" spans="2:22" x14ac:dyDescent="0.2">
      <c r="C37" s="431"/>
      <c r="F37" s="431"/>
      <c r="I37" s="431"/>
      <c r="L37" s="431"/>
    </row>
    <row r="38" spans="2:22" x14ac:dyDescent="0.2">
      <c r="B38" s="388" t="str">
        <f>"20 Year ("&amp;B13&amp;" to "&amp;B32&amp;") Levelized Prices (Nominal) @ "&amp;TEXT($P$39,"?.000%")&amp;" Discount Rate (2)"</f>
        <v>20 Year (2015 to 2034) Levelized Prices (Nominal) @ 6.882% Discount Rate (2)</v>
      </c>
      <c r="C38" s="431"/>
      <c r="F38" s="431"/>
      <c r="I38" s="431"/>
      <c r="L38" s="431"/>
      <c r="O38" s="496"/>
      <c r="P38" s="60" t="s">
        <v>152</v>
      </c>
    </row>
    <row r="39" spans="2:22" x14ac:dyDescent="0.2">
      <c r="B39" s="497" t="s">
        <v>40</v>
      </c>
      <c r="C39" s="492">
        <f>-PMT($P$39,COUNT(C13:C32),NPV($P$39,C13:C32))</f>
        <v>45.459908992033427</v>
      </c>
      <c r="D39" s="492">
        <f>-PMT($P$39,COUNT(D13:D32),NPV($P$39,D13:D32))</f>
        <v>45.464846863762403</v>
      </c>
      <c r="E39" s="493">
        <f t="shared" ref="E39" si="5">C39-D39</f>
        <v>-4.9378717289769725E-3</v>
      </c>
      <c r="F39" s="492">
        <f>-PMT($P$39,COUNT(F13:F32),NPV($P$39,F13:F32))</f>
        <v>35.008237221146359</v>
      </c>
      <c r="G39" s="492">
        <f>-PMT($P$39,COUNT(G13:G32),NPV($P$39,G13:G32))</f>
        <v>35.78797716884813</v>
      </c>
      <c r="H39" s="493">
        <f t="shared" ref="H39" si="6">F39-G39</f>
        <v>-0.77973994770177057</v>
      </c>
      <c r="I39" s="492">
        <f>-PMT($P$39,COUNT(I13:I32),NPV($P$39,I13:I32))</f>
        <v>46.030825792000726</v>
      </c>
      <c r="J39" s="492">
        <f>-PMT($P$39,COUNT(J13:J32),NPV($P$39,J13:J32))</f>
        <v>43.765420639297673</v>
      </c>
      <c r="K39" s="493">
        <f t="shared" ref="K39" si="7">I39-J39</f>
        <v>2.2654051527030532</v>
      </c>
      <c r="L39" s="492">
        <f>-PMT($P$39,COUNT(L13:L32),NPV($P$39,L13:L32))</f>
        <v>48.072955408155323</v>
      </c>
      <c r="M39" s="492">
        <f>-PMT($P$39,COUNT(M13:M32),NPV($P$39,M13:M32))</f>
        <v>45.80755025545227</v>
      </c>
      <c r="N39" s="493">
        <f t="shared" ref="N39" si="8">L39-M39</f>
        <v>2.2654051527030532</v>
      </c>
      <c r="O39" s="498"/>
      <c r="P39" s="184">
        <v>6.8820000000000006E-2</v>
      </c>
    </row>
    <row r="40" spans="2:22" x14ac:dyDescent="0.2"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</row>
    <row r="41" spans="2:22" x14ac:dyDescent="0.2">
      <c r="B41" s="504" t="s">
        <v>341</v>
      </c>
    </row>
    <row r="42" spans="2:22" x14ac:dyDescent="0.2">
      <c r="B42" s="504" t="s">
        <v>342</v>
      </c>
    </row>
    <row r="43" spans="2:22" x14ac:dyDescent="0.2">
      <c r="B43" s="497"/>
    </row>
    <row r="44" spans="2:22" x14ac:dyDescent="0.2">
      <c r="B44" s="500"/>
      <c r="C44" s="427"/>
      <c r="D44" s="499"/>
      <c r="E44" s="499"/>
      <c r="F44" s="427"/>
      <c r="G44" s="499"/>
      <c r="H44" s="499"/>
      <c r="I44" s="427"/>
      <c r="J44" s="499"/>
      <c r="K44" s="499"/>
      <c r="L44" s="427"/>
      <c r="M44" s="499"/>
      <c r="N44" s="499"/>
      <c r="O44" s="499"/>
      <c r="P44" s="499"/>
      <c r="Q44" s="499"/>
      <c r="R44" s="499"/>
      <c r="S44" s="501"/>
      <c r="T44" s="501"/>
      <c r="U44" s="501"/>
      <c r="V44" s="501"/>
    </row>
    <row r="45" spans="2:22" x14ac:dyDescent="0.2">
      <c r="B45"/>
      <c r="C45" t="s">
        <v>327</v>
      </c>
      <c r="D45" t="s">
        <v>328</v>
      </c>
      <c r="E45"/>
      <c r="F45" s="470"/>
      <c r="G45" t="s">
        <v>329</v>
      </c>
      <c r="H45"/>
      <c r="I45" s="470"/>
      <c r="J45" t="s">
        <v>330</v>
      </c>
      <c r="K45" s="329"/>
      <c r="L45" s="471"/>
      <c r="M45" s="329"/>
      <c r="N45" s="329"/>
    </row>
    <row r="46" spans="2:22" x14ac:dyDescent="0.2">
      <c r="B46" s="329" t="s">
        <v>269</v>
      </c>
      <c r="C46" s="329">
        <v>1632</v>
      </c>
      <c r="D46" s="246">
        <v>0.18630136986301371</v>
      </c>
      <c r="E46" s="246"/>
      <c r="F46" s="471"/>
      <c r="G46" s="246"/>
      <c r="H46" s="472">
        <v>9.8465175706031097E-2</v>
      </c>
      <c r="I46" s="471"/>
      <c r="J46" s="246"/>
      <c r="K46" s="472">
        <v>0.38376957980028714</v>
      </c>
      <c r="L46" s="471"/>
      <c r="M46" s="246"/>
      <c r="N46" s="472">
        <v>0.38376957980028714</v>
      </c>
    </row>
    <row r="47" spans="2:22" x14ac:dyDescent="0.2">
      <c r="B47" s="329" t="s">
        <v>270</v>
      </c>
      <c r="C47" s="329">
        <v>3280</v>
      </c>
      <c r="D47" s="246">
        <v>0.37442922374429222</v>
      </c>
      <c r="E47" s="246">
        <v>0.56073059360730593</v>
      </c>
      <c r="F47" s="471"/>
      <c r="G47" s="246"/>
      <c r="H47" s="472">
        <v>0.29670001831385018</v>
      </c>
      <c r="I47" s="471"/>
      <c r="J47" s="246"/>
      <c r="K47" s="472">
        <v>0.61395507809565952</v>
      </c>
      <c r="L47" s="471"/>
      <c r="M47" s="246"/>
      <c r="N47" s="472">
        <v>0.61395507809565952</v>
      </c>
    </row>
    <row r="48" spans="2:22" x14ac:dyDescent="0.2">
      <c r="B48" s="329" t="s">
        <v>271</v>
      </c>
      <c r="C48" s="329">
        <v>1296</v>
      </c>
      <c r="D48" s="246">
        <v>0.14794520547945206</v>
      </c>
      <c r="E48" s="246"/>
      <c r="F48" s="471"/>
      <c r="G48" s="246"/>
      <c r="H48" s="472">
        <v>0.15034737329992051</v>
      </c>
      <c r="I48" s="471"/>
      <c r="J48" s="246"/>
      <c r="K48" s="472">
        <v>1.4148075728142027E-3</v>
      </c>
      <c r="L48" s="471"/>
      <c r="M48" s="246"/>
      <c r="N48" s="472">
        <v>1.4148075728142027E-3</v>
      </c>
    </row>
    <row r="49" spans="2:14" x14ac:dyDescent="0.2">
      <c r="B49" s="329" t="s">
        <v>272</v>
      </c>
      <c r="C49" s="329">
        <v>2552</v>
      </c>
      <c r="D49" s="246">
        <v>0.29132420091324202</v>
      </c>
      <c r="E49" s="246">
        <v>0.43926940639269407</v>
      </c>
      <c r="F49" s="471"/>
      <c r="G49" s="329"/>
      <c r="H49" s="472">
        <v>0.45448743268019814</v>
      </c>
      <c r="I49" s="471"/>
      <c r="J49" s="329"/>
      <c r="K49" s="472">
        <v>8.605345312390851E-4</v>
      </c>
      <c r="L49" s="471"/>
      <c r="M49" s="329"/>
      <c r="N49" s="472">
        <v>8.605345312390851E-4</v>
      </c>
    </row>
    <row r="51" spans="2:14" x14ac:dyDescent="0.2">
      <c r="F51" s="502"/>
      <c r="I51" s="502"/>
      <c r="J51" s="502"/>
      <c r="K51" s="502"/>
      <c r="L51" s="502"/>
    </row>
  </sheetData>
  <pageMargins left="0.7" right="0.7" top="0.75" bottom="0.75" header="0.3" footer="0.3"/>
  <pageSetup scale="65" orientation="landscape" r:id="rId1"/>
  <headerFooter>
    <oddFooter>&amp;L&amp;F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47"/>
  <sheetViews>
    <sheetView view="pageBreakPreview" topLeftCell="A71" zoomScale="60" zoomScaleNormal="100" workbookViewId="0">
      <selection activeCell="B1" sqref="B1"/>
    </sheetView>
  </sheetViews>
  <sheetFormatPr defaultRowHeight="12.75" x14ac:dyDescent="0.2"/>
  <cols>
    <col min="1" max="1" width="1.33203125" style="56" customWidth="1"/>
    <col min="2" max="2" width="6.5" style="56" customWidth="1"/>
    <col min="3" max="3" width="9.83203125" style="56" customWidth="1"/>
    <col min="4" max="4" width="12.1640625" style="56" customWidth="1"/>
    <col min="5" max="5" width="9.1640625" style="56" customWidth="1"/>
    <col min="6" max="6" width="9.83203125" style="56" bestFit="1" customWidth="1"/>
    <col min="7" max="8" width="10.1640625" style="56" customWidth="1"/>
    <col min="9" max="9" width="9" style="56" customWidth="1"/>
    <col min="10" max="10" width="10.33203125" style="56" customWidth="1"/>
    <col min="11" max="11" width="10.5" style="56" customWidth="1"/>
    <col min="12" max="13" width="9.33203125" style="56"/>
    <col min="14" max="15" width="0" style="56" hidden="1" customWidth="1"/>
    <col min="16" max="16384" width="9.33203125" style="56"/>
  </cols>
  <sheetData>
    <row r="1" spans="1:12" ht="15.75" x14ac:dyDescent="0.25">
      <c r="B1" s="24" t="s">
        <v>85</v>
      </c>
      <c r="C1" s="129"/>
      <c r="D1" s="129"/>
      <c r="E1" s="129"/>
      <c r="F1" s="129"/>
      <c r="G1" s="129"/>
      <c r="H1" s="129"/>
      <c r="I1" s="129"/>
      <c r="J1" s="129"/>
      <c r="K1" s="24"/>
    </row>
    <row r="2" spans="1:12" ht="15.75" x14ac:dyDescent="0.25">
      <c r="B2" s="24" t="s">
        <v>86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ht="15.75" x14ac:dyDescent="0.25">
      <c r="B3" s="24"/>
      <c r="C3" s="129"/>
      <c r="D3" s="129"/>
      <c r="E3" s="129"/>
      <c r="F3" s="129"/>
      <c r="G3" s="129"/>
      <c r="H3" s="129"/>
      <c r="I3" s="129"/>
      <c r="J3" s="129"/>
      <c r="K3" s="134" t="s">
        <v>87</v>
      </c>
    </row>
    <row r="4" spans="1:12" ht="5.25" customHeight="1" x14ac:dyDescent="0.2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1:12" ht="51.75" customHeight="1" x14ac:dyDescent="0.2">
      <c r="A5" s="138"/>
      <c r="B5" s="25" t="s">
        <v>2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6" t="s">
        <v>47</v>
      </c>
      <c r="I5" s="136"/>
      <c r="J5" s="136"/>
      <c r="K5" s="136"/>
      <c r="L5" s="137"/>
    </row>
    <row r="6" spans="1:12" ht="18.75" customHeight="1" x14ac:dyDescent="0.2">
      <c r="B6" s="27"/>
      <c r="C6" s="28" t="s">
        <v>38</v>
      </c>
      <c r="D6" s="29" t="s">
        <v>39</v>
      </c>
      <c r="E6" s="29" t="s">
        <v>39</v>
      </c>
      <c r="F6" s="29" t="s">
        <v>40</v>
      </c>
      <c r="G6" s="29" t="s">
        <v>39</v>
      </c>
      <c r="H6" s="29" t="s">
        <v>39</v>
      </c>
      <c r="I6" s="136"/>
      <c r="J6" s="136"/>
      <c r="K6" s="136"/>
      <c r="L6" s="137"/>
    </row>
    <row r="7" spans="1:12" x14ac:dyDescent="0.2">
      <c r="C7" s="30" t="s">
        <v>22</v>
      </c>
      <c r="D7" s="30" t="s">
        <v>23</v>
      </c>
      <c r="E7" s="30" t="s">
        <v>24</v>
      </c>
      <c r="F7" s="30" t="s">
        <v>25</v>
      </c>
      <c r="G7" s="30" t="s">
        <v>26</v>
      </c>
      <c r="H7" s="30" t="s">
        <v>32</v>
      </c>
      <c r="I7" s="136"/>
      <c r="J7" s="136"/>
      <c r="K7" s="136"/>
    </row>
    <row r="8" spans="1:12" ht="6" customHeight="1" x14ac:dyDescent="0.2">
      <c r="I8" s="136"/>
      <c r="J8" s="136"/>
      <c r="K8" s="136"/>
    </row>
    <row r="9" spans="1:12" ht="15.75" x14ac:dyDescent="0.25">
      <c r="B9" s="31" t="str">
        <f>C43</f>
        <v>SCCT Frame "F" x 1 - East Side Resource (4,250')</v>
      </c>
      <c r="C9" s="137"/>
      <c r="E9" s="137"/>
      <c r="F9" s="137"/>
      <c r="G9" s="137"/>
      <c r="H9" s="137"/>
      <c r="I9" s="136"/>
      <c r="J9" s="136"/>
      <c r="K9" s="136"/>
      <c r="L9" s="137"/>
    </row>
    <row r="10" spans="1:12" x14ac:dyDescent="0.2">
      <c r="B10" s="139">
        <v>2012</v>
      </c>
      <c r="C10" s="140">
        <f>C45</f>
        <v>761.56</v>
      </c>
      <c r="D10" s="141">
        <f>ROUND(C10*C50,2)</f>
        <v>60.57</v>
      </c>
      <c r="E10" s="141">
        <f>C48</f>
        <v>31.22</v>
      </c>
      <c r="F10" s="141">
        <f>C49</f>
        <v>10.220000000000001</v>
      </c>
      <c r="G10" s="142">
        <f t="shared" ref="G10:G36" si="0">ROUND(F10*(8.76*$C$51)+E10,2)</f>
        <v>50.02</v>
      </c>
      <c r="H10" s="142">
        <f t="shared" ref="H10:H34" si="1">ROUND(D10+G10,2)</f>
        <v>110.59</v>
      </c>
      <c r="I10" s="136"/>
      <c r="J10" s="136"/>
      <c r="K10" s="136"/>
    </row>
    <row r="11" spans="1:12" x14ac:dyDescent="0.2">
      <c r="B11" s="139">
        <f t="shared" ref="B11:B34" si="2">B10+1</f>
        <v>2013</v>
      </c>
      <c r="C11" s="143"/>
      <c r="D11" s="141">
        <f>ROUND(D10*(1+$D$134),2)</f>
        <v>61.42</v>
      </c>
      <c r="E11" s="141">
        <f>ROUND(E10*(1+$D$134),2)</f>
        <v>31.66</v>
      </c>
      <c r="F11" s="141">
        <f>ROUND(F10*(1+$D$134),2)</f>
        <v>10.36</v>
      </c>
      <c r="G11" s="142">
        <f t="shared" si="0"/>
        <v>50.72</v>
      </c>
      <c r="H11" s="142">
        <f t="shared" si="1"/>
        <v>112.14</v>
      </c>
      <c r="I11" s="136"/>
      <c r="J11" s="136"/>
      <c r="K11" s="136"/>
    </row>
    <row r="12" spans="1:12" x14ac:dyDescent="0.2">
      <c r="B12" s="139">
        <f t="shared" si="2"/>
        <v>2014</v>
      </c>
      <c r="C12" s="143"/>
      <c r="D12" s="142">
        <f>ROUND(D11*(1+$D$135),2)</f>
        <v>62.34</v>
      </c>
      <c r="E12" s="142">
        <f>ROUND(E11*(1+$D$135),2)</f>
        <v>32.130000000000003</v>
      </c>
      <c r="F12" s="142">
        <f>ROUND(F11*(1+$D$135),2)</f>
        <v>10.52</v>
      </c>
      <c r="G12" s="142">
        <f t="shared" si="0"/>
        <v>51.48</v>
      </c>
      <c r="H12" s="142">
        <f t="shared" si="1"/>
        <v>113.82</v>
      </c>
      <c r="I12" s="144"/>
      <c r="J12" s="144"/>
      <c r="K12" s="145"/>
    </row>
    <row r="13" spans="1:12" x14ac:dyDescent="0.2">
      <c r="B13" s="139">
        <f t="shared" si="2"/>
        <v>2015</v>
      </c>
      <c r="C13" s="143"/>
      <c r="D13" s="142">
        <f>ROUND(D12*(1+$D$136),2)</f>
        <v>63.4</v>
      </c>
      <c r="E13" s="142">
        <f>ROUND(E12*(1+$D$136),2)</f>
        <v>32.68</v>
      </c>
      <c r="F13" s="142">
        <f>ROUND(F12*(1+$D$136),2)</f>
        <v>10.7</v>
      </c>
      <c r="G13" s="142">
        <f t="shared" si="0"/>
        <v>52.36</v>
      </c>
      <c r="H13" s="142">
        <f t="shared" si="1"/>
        <v>115.76</v>
      </c>
      <c r="I13" s="144"/>
      <c r="J13" s="144"/>
      <c r="K13" s="145"/>
    </row>
    <row r="14" spans="1:12" x14ac:dyDescent="0.2">
      <c r="B14" s="139">
        <f t="shared" si="2"/>
        <v>2016</v>
      </c>
      <c r="C14" s="143"/>
      <c r="D14" s="142">
        <f>ROUND(D13*(1+$D$137),2)</f>
        <v>64.540000000000006</v>
      </c>
      <c r="E14" s="142">
        <f>ROUND(E13*(1+$D$137),2)</f>
        <v>33.270000000000003</v>
      </c>
      <c r="F14" s="142">
        <f>ROUND(F13*(1+$D$137),2)</f>
        <v>10.89</v>
      </c>
      <c r="G14" s="142">
        <f t="shared" si="0"/>
        <v>53.3</v>
      </c>
      <c r="H14" s="142">
        <f t="shared" si="1"/>
        <v>117.84</v>
      </c>
      <c r="I14" s="144"/>
      <c r="J14" s="144"/>
      <c r="K14" s="145"/>
    </row>
    <row r="15" spans="1:12" x14ac:dyDescent="0.2">
      <c r="B15" s="139">
        <f t="shared" si="2"/>
        <v>2017</v>
      </c>
      <c r="C15" s="143"/>
      <c r="D15" s="142">
        <f>ROUND(D14*(1+$D$138),2)</f>
        <v>65.7</v>
      </c>
      <c r="E15" s="142">
        <f>ROUND(E14*(1+$D$138),2)</f>
        <v>33.869999999999997</v>
      </c>
      <c r="F15" s="142">
        <f>ROUND(F14*(1+$D$138),2)</f>
        <v>11.09</v>
      </c>
      <c r="G15" s="142">
        <f t="shared" si="0"/>
        <v>54.27</v>
      </c>
      <c r="H15" s="142">
        <f t="shared" si="1"/>
        <v>119.97</v>
      </c>
      <c r="I15" s="144"/>
      <c r="J15" s="144"/>
      <c r="K15" s="145"/>
    </row>
    <row r="16" spans="1:12" x14ac:dyDescent="0.2">
      <c r="B16" s="139">
        <f t="shared" si="2"/>
        <v>2018</v>
      </c>
      <c r="C16" s="143"/>
      <c r="D16" s="142">
        <f>ROUND(D15*(1+$D$139),2)</f>
        <v>66.88</v>
      </c>
      <c r="E16" s="142">
        <f>ROUND(E15*(1+$D$139),2)</f>
        <v>34.479999999999997</v>
      </c>
      <c r="F16" s="142">
        <f>ROUND(F15*(1+$D$139),2)</f>
        <v>11.29</v>
      </c>
      <c r="G16" s="142">
        <f t="shared" si="0"/>
        <v>55.25</v>
      </c>
      <c r="H16" s="142">
        <f t="shared" si="1"/>
        <v>122.13</v>
      </c>
      <c r="I16" s="144"/>
      <c r="J16" s="144"/>
      <c r="K16" s="145"/>
    </row>
    <row r="17" spans="2:11" x14ac:dyDescent="0.2">
      <c r="B17" s="139">
        <f t="shared" si="2"/>
        <v>2019</v>
      </c>
      <c r="C17" s="143"/>
      <c r="D17" s="146">
        <f>ROUND(D16*(1+$D$140),2)</f>
        <v>68.02</v>
      </c>
      <c r="E17" s="146">
        <f>ROUND(E16*(1+$D$140),2)</f>
        <v>35.07</v>
      </c>
      <c r="F17" s="146">
        <f>ROUND(F16*(1+$D$140),2)</f>
        <v>11.48</v>
      </c>
      <c r="G17" s="142">
        <f t="shared" si="0"/>
        <v>56.19</v>
      </c>
      <c r="H17" s="142">
        <f t="shared" si="1"/>
        <v>124.21</v>
      </c>
      <c r="I17" s="144"/>
      <c r="J17" s="144"/>
      <c r="K17" s="145"/>
    </row>
    <row r="18" spans="2:11" x14ac:dyDescent="0.2">
      <c r="B18" s="139">
        <f t="shared" si="2"/>
        <v>2020</v>
      </c>
      <c r="C18" s="143"/>
      <c r="D18" s="146">
        <f>ROUND(D17*(1+$D$141),2)</f>
        <v>69.239999999999995</v>
      </c>
      <c r="E18" s="146">
        <f>ROUND(E17*(1+$D$141),2)</f>
        <v>35.700000000000003</v>
      </c>
      <c r="F18" s="146">
        <f>ROUND(F17*(1+$D$141),2)</f>
        <v>11.69</v>
      </c>
      <c r="G18" s="142">
        <f t="shared" si="0"/>
        <v>57.2</v>
      </c>
      <c r="H18" s="142">
        <f t="shared" si="1"/>
        <v>126.44</v>
      </c>
      <c r="I18" s="144"/>
      <c r="J18" s="144"/>
      <c r="K18" s="145"/>
    </row>
    <row r="19" spans="2:11" x14ac:dyDescent="0.2">
      <c r="B19" s="139">
        <f t="shared" si="2"/>
        <v>2021</v>
      </c>
      <c r="C19" s="143"/>
      <c r="D19" s="146">
        <f>ROUND(D18*(1+$G$133),2)</f>
        <v>70.56</v>
      </c>
      <c r="E19" s="146">
        <f>ROUND(E18*(1+$G$133),2)</f>
        <v>36.380000000000003</v>
      </c>
      <c r="F19" s="146">
        <f>ROUND(F18*(1+$G$133),2)</f>
        <v>11.91</v>
      </c>
      <c r="G19" s="142">
        <f t="shared" si="0"/>
        <v>58.29</v>
      </c>
      <c r="H19" s="142">
        <f t="shared" si="1"/>
        <v>128.85</v>
      </c>
      <c r="I19" s="144"/>
      <c r="J19" s="144"/>
      <c r="K19" s="145"/>
    </row>
    <row r="20" spans="2:11" x14ac:dyDescent="0.2">
      <c r="B20" s="139">
        <f t="shared" si="2"/>
        <v>2022</v>
      </c>
      <c r="C20" s="143"/>
      <c r="D20" s="146">
        <f>ROUND(D19*(1+$G$134),2)</f>
        <v>71.83</v>
      </c>
      <c r="E20" s="146">
        <f>ROUND(E19*(1+$G$134),2)</f>
        <v>37.03</v>
      </c>
      <c r="F20" s="146">
        <f>ROUND(F19*(1+$G$134),2)</f>
        <v>12.12</v>
      </c>
      <c r="G20" s="142">
        <f t="shared" si="0"/>
        <v>59.33</v>
      </c>
      <c r="H20" s="142">
        <f t="shared" si="1"/>
        <v>131.16</v>
      </c>
      <c r="I20" s="144"/>
      <c r="J20" s="144"/>
      <c r="K20" s="145"/>
    </row>
    <row r="21" spans="2:11" x14ac:dyDescent="0.2">
      <c r="B21" s="139">
        <f t="shared" si="2"/>
        <v>2023</v>
      </c>
      <c r="C21" s="143"/>
      <c r="D21" s="146">
        <f>ROUND(D20*(1+$G$135),2)</f>
        <v>73.12</v>
      </c>
      <c r="E21" s="146">
        <f>ROUND(E20*(1+$G$135),2)</f>
        <v>37.700000000000003</v>
      </c>
      <c r="F21" s="146">
        <f>ROUND(F20*(1+$G$135),2)</f>
        <v>12.34</v>
      </c>
      <c r="G21" s="142">
        <f t="shared" si="0"/>
        <v>60.4</v>
      </c>
      <c r="H21" s="142">
        <f t="shared" si="1"/>
        <v>133.52000000000001</v>
      </c>
      <c r="I21" s="144"/>
      <c r="J21" s="144"/>
      <c r="K21" s="145"/>
    </row>
    <row r="22" spans="2:11" x14ac:dyDescent="0.2">
      <c r="B22" s="139">
        <f t="shared" si="2"/>
        <v>2024</v>
      </c>
      <c r="C22" s="143"/>
      <c r="D22" s="146">
        <f>ROUND(D21*(1+$G$136),2)</f>
        <v>74.44</v>
      </c>
      <c r="E22" s="146">
        <f>ROUND(E21*(1+$G$136),2)</f>
        <v>38.380000000000003</v>
      </c>
      <c r="F22" s="146">
        <f>ROUND(F21*(1+$G$136),2)</f>
        <v>12.56</v>
      </c>
      <c r="G22" s="142">
        <f t="shared" si="0"/>
        <v>61.49</v>
      </c>
      <c r="H22" s="142">
        <f t="shared" si="1"/>
        <v>135.93</v>
      </c>
      <c r="I22" s="144"/>
      <c r="J22" s="144"/>
      <c r="K22" s="145"/>
    </row>
    <row r="23" spans="2:11" x14ac:dyDescent="0.2">
      <c r="B23" s="139">
        <f t="shared" si="2"/>
        <v>2025</v>
      </c>
      <c r="C23" s="143"/>
      <c r="D23" s="146">
        <f>ROUND(D22*(1+$G$137),2)</f>
        <v>75.78</v>
      </c>
      <c r="E23" s="146">
        <f>ROUND(E22*(1+$G$137),2)</f>
        <v>39.07</v>
      </c>
      <c r="F23" s="146">
        <f>ROUND(F22*(1+$G$137),2)</f>
        <v>12.79</v>
      </c>
      <c r="G23" s="142">
        <f t="shared" si="0"/>
        <v>62.6</v>
      </c>
      <c r="H23" s="142">
        <f t="shared" si="1"/>
        <v>138.38</v>
      </c>
      <c r="I23" s="144"/>
      <c r="J23" s="144"/>
      <c r="K23" s="145"/>
    </row>
    <row r="24" spans="2:11" x14ac:dyDescent="0.2">
      <c r="B24" s="139">
        <f t="shared" si="2"/>
        <v>2026</v>
      </c>
      <c r="C24" s="143"/>
      <c r="D24" s="146">
        <f>ROUND(D23*(1+$G$138),2)</f>
        <v>77.22</v>
      </c>
      <c r="E24" s="146">
        <f>ROUND(E23*(1+$G$138),2)</f>
        <v>39.81</v>
      </c>
      <c r="F24" s="146">
        <f>ROUND(F23*(1+$G$138),2)</f>
        <v>13.03</v>
      </c>
      <c r="G24" s="142">
        <f t="shared" si="0"/>
        <v>63.78</v>
      </c>
      <c r="H24" s="142">
        <f t="shared" si="1"/>
        <v>141</v>
      </c>
      <c r="I24" s="144"/>
      <c r="J24" s="144"/>
      <c r="K24" s="145"/>
    </row>
    <row r="25" spans="2:11" x14ac:dyDescent="0.2">
      <c r="B25" s="139">
        <f t="shared" si="2"/>
        <v>2027</v>
      </c>
      <c r="C25" s="143"/>
      <c r="D25" s="146">
        <f>ROUND(D24*(1+$G$139),2)</f>
        <v>78.69</v>
      </c>
      <c r="E25" s="146">
        <f>ROUND(E24*(1+$G$139),2)</f>
        <v>40.57</v>
      </c>
      <c r="F25" s="146">
        <f>ROUND(F24*(1+$G$139),2)</f>
        <v>13.28</v>
      </c>
      <c r="G25" s="142">
        <f t="shared" si="0"/>
        <v>65</v>
      </c>
      <c r="H25" s="142">
        <f t="shared" si="1"/>
        <v>143.69</v>
      </c>
      <c r="I25" s="144"/>
      <c r="J25" s="144"/>
      <c r="K25" s="145"/>
    </row>
    <row r="26" spans="2:11" x14ac:dyDescent="0.2">
      <c r="B26" s="139">
        <f t="shared" si="2"/>
        <v>2028</v>
      </c>
      <c r="C26" s="143"/>
      <c r="D26" s="146">
        <f>ROUND(D25*(1+$G$140),2)</f>
        <v>80.19</v>
      </c>
      <c r="E26" s="146">
        <f>ROUND(E25*(1+$G$140),2)</f>
        <v>41.34</v>
      </c>
      <c r="F26" s="146">
        <f>ROUND(F25*(1+$G$140),2)</f>
        <v>13.53</v>
      </c>
      <c r="G26" s="142">
        <f t="shared" si="0"/>
        <v>66.23</v>
      </c>
      <c r="H26" s="142">
        <f t="shared" si="1"/>
        <v>146.41999999999999</v>
      </c>
      <c r="I26" s="144"/>
      <c r="J26" s="144"/>
      <c r="K26" s="145"/>
    </row>
    <row r="27" spans="2:11" x14ac:dyDescent="0.2">
      <c r="B27" s="139">
        <f t="shared" si="2"/>
        <v>2029</v>
      </c>
      <c r="C27" s="143"/>
      <c r="D27" s="146">
        <f>ROUND(D26*(1+$G$141),2)</f>
        <v>81.709999999999994</v>
      </c>
      <c r="E27" s="146">
        <f>ROUND(E26*(1+$G$141),2)</f>
        <v>42.13</v>
      </c>
      <c r="F27" s="146">
        <f>ROUND(F26*(1+$G$141),2)</f>
        <v>13.79</v>
      </c>
      <c r="G27" s="142">
        <f t="shared" si="0"/>
        <v>67.5</v>
      </c>
      <c r="H27" s="142">
        <f t="shared" si="1"/>
        <v>149.21</v>
      </c>
      <c r="I27" s="144"/>
      <c r="J27" s="144"/>
      <c r="K27" s="145"/>
    </row>
    <row r="28" spans="2:11" x14ac:dyDescent="0.2">
      <c r="B28" s="139">
        <f t="shared" si="2"/>
        <v>2030</v>
      </c>
      <c r="C28" s="143"/>
      <c r="D28" s="146">
        <f>ROUND(D27*(1+$J$133),2)</f>
        <v>83.26</v>
      </c>
      <c r="E28" s="146">
        <f>ROUND(E27*(1+$J$133),2)</f>
        <v>42.93</v>
      </c>
      <c r="F28" s="146">
        <f>ROUND(F27*(1+$J$133),2)</f>
        <v>14.05</v>
      </c>
      <c r="G28" s="142">
        <f t="shared" si="0"/>
        <v>68.78</v>
      </c>
      <c r="H28" s="142">
        <f t="shared" si="1"/>
        <v>152.04</v>
      </c>
      <c r="I28" s="144"/>
      <c r="J28" s="144"/>
      <c r="K28" s="145"/>
    </row>
    <row r="29" spans="2:11" x14ac:dyDescent="0.2">
      <c r="B29" s="139">
        <f t="shared" si="2"/>
        <v>2031</v>
      </c>
      <c r="C29" s="143"/>
      <c r="D29" s="146">
        <f>ROUND(D28*(1+$J$134),2)</f>
        <v>84.93</v>
      </c>
      <c r="E29" s="146">
        <f>ROUND(E28*(1+$J$134),2)</f>
        <v>43.79</v>
      </c>
      <c r="F29" s="146">
        <f>ROUND(F28*(1+$J$134),2)</f>
        <v>14.33</v>
      </c>
      <c r="G29" s="142">
        <f t="shared" si="0"/>
        <v>70.150000000000006</v>
      </c>
      <c r="H29" s="142">
        <f t="shared" si="1"/>
        <v>155.08000000000001</v>
      </c>
      <c r="I29" s="144"/>
      <c r="J29" s="144"/>
      <c r="K29" s="145"/>
    </row>
    <row r="30" spans="2:11" x14ac:dyDescent="0.2">
      <c r="B30" s="139">
        <f t="shared" si="2"/>
        <v>2032</v>
      </c>
      <c r="C30" s="143"/>
      <c r="D30" s="146">
        <f>ROUND(D29*(1+$J$135),2)</f>
        <v>86.63</v>
      </c>
      <c r="E30" s="146">
        <f>ROUND(E29*(1+$J$135),2)</f>
        <v>44.67</v>
      </c>
      <c r="F30" s="146">
        <f>ROUND(F29*(1+$J$135),2)</f>
        <v>14.62</v>
      </c>
      <c r="G30" s="142">
        <f t="shared" si="0"/>
        <v>71.56</v>
      </c>
      <c r="H30" s="142">
        <f t="shared" si="1"/>
        <v>158.19</v>
      </c>
      <c r="I30" s="144"/>
      <c r="J30" s="144"/>
      <c r="K30" s="145"/>
    </row>
    <row r="31" spans="2:11" x14ac:dyDescent="0.2">
      <c r="B31" s="139">
        <f t="shared" si="2"/>
        <v>2033</v>
      </c>
      <c r="C31" s="143"/>
      <c r="D31" s="146">
        <f>ROUND(D30*(1+$J$136),2)</f>
        <v>88.36</v>
      </c>
      <c r="E31" s="146">
        <f>ROUND(E30*(1+$J$136),2)</f>
        <v>45.56</v>
      </c>
      <c r="F31" s="146">
        <f>ROUND(F30*(1+$J$136),2)</f>
        <v>14.91</v>
      </c>
      <c r="G31" s="142">
        <f t="shared" si="0"/>
        <v>72.989999999999995</v>
      </c>
      <c r="H31" s="142">
        <f t="shared" si="1"/>
        <v>161.35</v>
      </c>
      <c r="I31" s="144"/>
      <c r="J31" s="144"/>
      <c r="K31" s="145"/>
    </row>
    <row r="32" spans="2:11" x14ac:dyDescent="0.2">
      <c r="B32" s="139">
        <f t="shared" si="2"/>
        <v>2034</v>
      </c>
      <c r="C32" s="143"/>
      <c r="D32" s="146">
        <f>ROUND(D31*(1+$J$137),2)</f>
        <v>90.13</v>
      </c>
      <c r="E32" s="146">
        <f>ROUND(E31*(1+$J$137),2)</f>
        <v>46.47</v>
      </c>
      <c r="F32" s="146">
        <f>ROUND(F31*(1+$J$137),2)</f>
        <v>15.21</v>
      </c>
      <c r="G32" s="142">
        <f t="shared" si="0"/>
        <v>74.45</v>
      </c>
      <c r="H32" s="142">
        <f t="shared" si="1"/>
        <v>164.58</v>
      </c>
      <c r="I32" s="144"/>
      <c r="J32" s="144"/>
      <c r="K32" s="145"/>
    </row>
    <row r="33" spans="2:12" x14ac:dyDescent="0.2">
      <c r="B33" s="139">
        <f t="shared" si="2"/>
        <v>2035</v>
      </c>
      <c r="C33" s="143"/>
      <c r="D33" s="146">
        <f>ROUND(D32*(1+$J$138),2)</f>
        <v>91.93</v>
      </c>
      <c r="E33" s="146">
        <f>ROUND(E32*(1+$J$138),2)</f>
        <v>47.4</v>
      </c>
      <c r="F33" s="146">
        <f>ROUND(F32*(1+$J$138),2)</f>
        <v>15.51</v>
      </c>
      <c r="G33" s="142">
        <f t="shared" ref="G33:G34" si="3">ROUND(F33*(8.76*$C$51)+E33,2)</f>
        <v>75.930000000000007</v>
      </c>
      <c r="H33" s="142">
        <f t="shared" si="1"/>
        <v>167.86</v>
      </c>
      <c r="I33" s="144"/>
      <c r="J33" s="144"/>
      <c r="K33" s="145"/>
    </row>
    <row r="34" spans="2:12" x14ac:dyDescent="0.2">
      <c r="B34" s="139">
        <f t="shared" si="2"/>
        <v>2036</v>
      </c>
      <c r="C34" s="143"/>
      <c r="D34" s="146">
        <f>ROUND(D33*(1+$J$139),2)</f>
        <v>93.86</v>
      </c>
      <c r="E34" s="146">
        <f>ROUND(E33*(1+$J$139),2)</f>
        <v>48.4</v>
      </c>
      <c r="F34" s="146">
        <f>ROUND(F33*(1+$J$139),2)</f>
        <v>15.84</v>
      </c>
      <c r="G34" s="142">
        <f t="shared" si="3"/>
        <v>77.540000000000006</v>
      </c>
      <c r="H34" s="142">
        <f t="shared" si="1"/>
        <v>171.4</v>
      </c>
      <c r="I34" s="144"/>
      <c r="J34" s="144"/>
      <c r="K34" s="145"/>
    </row>
    <row r="35" spans="2:12" x14ac:dyDescent="0.2">
      <c r="B35" s="139">
        <f>B34+1</f>
        <v>2037</v>
      </c>
      <c r="C35" s="143"/>
      <c r="D35" s="146">
        <f>ROUND(D34*(1+$J$140),2)</f>
        <v>95.83</v>
      </c>
      <c r="E35" s="146">
        <f>ROUND(E34*(1+$J$140),2)</f>
        <v>49.42</v>
      </c>
      <c r="F35" s="146">
        <f>ROUND(F34*(1+$J$140),2)</f>
        <v>16.170000000000002</v>
      </c>
      <c r="G35" s="142">
        <f t="shared" si="0"/>
        <v>79.17</v>
      </c>
      <c r="H35" s="142">
        <f>ROUND(D35+G35,2)</f>
        <v>175</v>
      </c>
      <c r="I35" s="144"/>
      <c r="J35" s="144"/>
      <c r="K35" s="145"/>
    </row>
    <row r="36" spans="2:12" x14ac:dyDescent="0.2">
      <c r="B36" s="139">
        <f t="shared" ref="B36" si="4">B35+1</f>
        <v>2038</v>
      </c>
      <c r="C36" s="143"/>
      <c r="D36" s="146">
        <f>ROUND(D35*(1+$J$141),2)</f>
        <v>97.84</v>
      </c>
      <c r="E36" s="146">
        <f>ROUND(E35*(1+$J$141),2)</f>
        <v>50.46</v>
      </c>
      <c r="F36" s="146">
        <f>ROUND(F35*(1+$J$141),2)</f>
        <v>16.510000000000002</v>
      </c>
      <c r="G36" s="142">
        <f t="shared" si="0"/>
        <v>80.83</v>
      </c>
      <c r="H36" s="142">
        <f t="shared" ref="H36" si="5">ROUND(D36+G36,2)</f>
        <v>178.67</v>
      </c>
      <c r="I36" s="144"/>
      <c r="J36" s="144"/>
      <c r="K36" s="145"/>
    </row>
    <row r="37" spans="2:12" ht="12.75" customHeight="1" x14ac:dyDescent="0.2">
      <c r="B37" s="147"/>
      <c r="C37" s="148"/>
      <c r="D37" s="149"/>
      <c r="E37" s="146"/>
      <c r="F37" s="146"/>
      <c r="G37" s="146"/>
      <c r="H37" s="146"/>
      <c r="I37" s="144"/>
      <c r="J37" s="144"/>
      <c r="K37" s="150"/>
    </row>
    <row r="38" spans="2:12" x14ac:dyDescent="0.2">
      <c r="B38" s="71" t="str">
        <f>B96</f>
        <v>Source: (a)(c)(d)</v>
      </c>
      <c r="C38" s="71"/>
      <c r="D38" s="71" t="str">
        <f>D96</f>
        <v>Plant Costs  - 2013 IRP - Table 6.1 &amp; 6.2</v>
      </c>
      <c r="E38" s="71"/>
      <c r="F38" s="71"/>
      <c r="G38" s="71"/>
      <c r="H38" s="71"/>
      <c r="I38" s="71"/>
      <c r="J38" s="71"/>
      <c r="K38" s="71"/>
      <c r="L38" s="71"/>
    </row>
    <row r="39" spans="2:12" x14ac:dyDescent="0.2">
      <c r="B39" s="71"/>
      <c r="C39" s="151" t="str">
        <f>D7</f>
        <v>(b)</v>
      </c>
      <c r="D39" s="152" t="str">
        <f>"= "&amp;C7&amp;" x "&amp;C50&amp;D50</f>
        <v>= (a) x 0.07954  Payment Factor</v>
      </c>
      <c r="E39" s="71"/>
      <c r="F39" s="71"/>
      <c r="G39" s="71"/>
      <c r="H39" s="71"/>
      <c r="I39" s="71"/>
      <c r="J39" s="71"/>
      <c r="K39" s="71"/>
      <c r="L39" s="71"/>
    </row>
    <row r="40" spans="2:12" x14ac:dyDescent="0.2">
      <c r="B40" s="71"/>
      <c r="C40" s="151" t="str">
        <f>G7</f>
        <v>(e)</v>
      </c>
      <c r="D40" s="152" t="str">
        <f>"= "&amp;$F$7&amp;" x  (8.76 x "&amp;TEXT(C51,"?%")&amp;" ) + "&amp;$E$7</f>
        <v>= (d) x  (8.76 x 21% ) + (c)</v>
      </c>
      <c r="E40" s="71"/>
      <c r="F40" s="71"/>
      <c r="G40" s="71"/>
      <c r="H40" s="71"/>
      <c r="I40" s="71"/>
      <c r="J40" s="71"/>
      <c r="K40" s="71"/>
      <c r="L40" s="71"/>
    </row>
    <row r="41" spans="2:12" x14ac:dyDescent="0.2">
      <c r="B41" s="71"/>
      <c r="C41" s="151" t="str">
        <f>H7</f>
        <v>(f)</v>
      </c>
      <c r="D41" s="152" t="str">
        <f>"= "&amp;D7&amp;" + "&amp;G7</f>
        <v>= (b) + (e)</v>
      </c>
      <c r="E41" s="71"/>
      <c r="F41" s="71"/>
      <c r="G41" s="71"/>
      <c r="H41" s="71"/>
      <c r="I41" s="71"/>
      <c r="J41" s="71"/>
      <c r="K41" s="71"/>
      <c r="L41" s="71"/>
    </row>
    <row r="42" spans="2:12" ht="6" customHeight="1" thickBot="1" x14ac:dyDescent="0.25">
      <c r="B42" s="71"/>
      <c r="C42" s="151"/>
      <c r="D42" s="152"/>
      <c r="E42" s="71"/>
      <c r="F42" s="71"/>
      <c r="G42" s="71"/>
      <c r="H42" s="71"/>
      <c r="I42" s="71"/>
      <c r="J42" s="71"/>
      <c r="K42" s="71"/>
      <c r="L42" s="71"/>
    </row>
    <row r="43" spans="2:12" ht="13.5" thickBot="1" x14ac:dyDescent="0.25">
      <c r="B43" s="71"/>
      <c r="C43" s="32" t="s">
        <v>257</v>
      </c>
      <c r="D43" s="325"/>
      <c r="E43" s="326"/>
      <c r="F43" s="325"/>
      <c r="G43" s="325"/>
      <c r="H43" s="325"/>
      <c r="I43" s="325"/>
      <c r="J43" s="327"/>
      <c r="K43" s="328"/>
    </row>
    <row r="44" spans="2:12" x14ac:dyDescent="0.2">
      <c r="B44" s="71"/>
      <c r="C44" s="71">
        <v>181</v>
      </c>
      <c r="D44" s="56" t="s">
        <v>88</v>
      </c>
      <c r="E44" s="71"/>
      <c r="J44" s="71"/>
      <c r="K44" s="71"/>
    </row>
    <row r="45" spans="2:12" x14ac:dyDescent="0.2">
      <c r="B45" s="71"/>
      <c r="C45" s="62">
        <f>761.56</f>
        <v>761.56</v>
      </c>
      <c r="D45" s="56" t="s">
        <v>89</v>
      </c>
      <c r="E45" s="153"/>
      <c r="F45" s="19"/>
      <c r="G45" s="20"/>
      <c r="H45" s="71"/>
      <c r="I45" s="71"/>
      <c r="J45" s="71"/>
      <c r="K45" s="71"/>
    </row>
    <row r="46" spans="2:12" x14ac:dyDescent="0.2">
      <c r="B46" s="71"/>
      <c r="C46" s="63">
        <f>8.67+0.12</f>
        <v>8.7899999999999991</v>
      </c>
      <c r="D46" s="60" t="str">
        <f>E121</f>
        <v xml:space="preserve">  Fixed O&amp;M &amp; Capitalized O&amp;M</v>
      </c>
      <c r="E46" s="153"/>
      <c r="F46" s="19"/>
      <c r="G46" s="20"/>
      <c r="H46" s="71"/>
      <c r="I46" s="71"/>
      <c r="J46" s="71"/>
      <c r="K46" s="71"/>
    </row>
    <row r="47" spans="2:12" x14ac:dyDescent="0.2">
      <c r="B47" s="71"/>
      <c r="C47" s="40">
        <v>22.43</v>
      </c>
      <c r="D47" s="60" t="str">
        <f t="shared" ref="D47:D49" si="6">E122</f>
        <v xml:space="preserve">  Fixed Pipeline</v>
      </c>
      <c r="E47" s="153"/>
      <c r="F47" s="19"/>
      <c r="G47" s="20"/>
      <c r="H47" s="71"/>
      <c r="I47" s="71"/>
      <c r="J47" s="71"/>
      <c r="K47" s="71"/>
    </row>
    <row r="48" spans="2:12" x14ac:dyDescent="0.2">
      <c r="B48" s="71"/>
      <c r="C48" s="63">
        <f>C46+C47</f>
        <v>31.22</v>
      </c>
      <c r="D48" s="60" t="str">
        <f t="shared" si="6"/>
        <v xml:space="preserve">  Fixed O&amp;M including Fixed Pipeline &amp; Capitalized O&amp;M ($/kW-Yr)</v>
      </c>
      <c r="E48" s="153"/>
      <c r="F48" s="19"/>
      <c r="G48" s="20"/>
      <c r="H48" s="71"/>
      <c r="I48" s="71"/>
      <c r="J48" s="71"/>
      <c r="K48" s="71"/>
    </row>
    <row r="49" spans="2:12" x14ac:dyDescent="0.2">
      <c r="B49" s="71"/>
      <c r="C49" s="63">
        <f>9.48+0.74</f>
        <v>10.220000000000001</v>
      </c>
      <c r="D49" s="60" t="str">
        <f t="shared" si="6"/>
        <v xml:space="preserve">  Variable O&amp;M Costs &amp; Capitalized Variable O&amp;M ($/MWh)</v>
      </c>
      <c r="E49" s="153"/>
      <c r="F49" s="19"/>
      <c r="G49" s="20"/>
      <c r="H49" s="71"/>
      <c r="I49" s="71"/>
      <c r="J49" s="71"/>
      <c r="K49" s="71"/>
    </row>
    <row r="50" spans="2:12" x14ac:dyDescent="0.2">
      <c r="B50" s="71"/>
      <c r="C50" s="209">
        <v>7.954E-2</v>
      </c>
      <c r="D50" s="56" t="s">
        <v>90</v>
      </c>
      <c r="E50" s="71"/>
      <c r="F50" s="71"/>
      <c r="G50" s="71"/>
      <c r="H50" s="71"/>
      <c r="I50" s="71"/>
      <c r="J50" s="71"/>
      <c r="K50" s="71"/>
    </row>
    <row r="51" spans="2:12" x14ac:dyDescent="0.2">
      <c r="B51" s="71"/>
      <c r="C51" s="154">
        <v>0.21</v>
      </c>
      <c r="D51" s="56" t="s">
        <v>91</v>
      </c>
      <c r="E51" s="71"/>
      <c r="F51" s="71"/>
      <c r="G51" s="71"/>
      <c r="H51" s="71"/>
      <c r="I51" s="71"/>
      <c r="J51" s="71"/>
      <c r="K51" s="71"/>
    </row>
    <row r="52" spans="2:12" ht="3.75" customHeight="1" x14ac:dyDescent="0.2">
      <c r="B52" s="71"/>
      <c r="C52" s="71"/>
      <c r="D52" s="155"/>
      <c r="E52" s="156"/>
      <c r="F52" s="157"/>
      <c r="G52" s="71"/>
      <c r="H52" s="71"/>
      <c r="I52" s="71"/>
      <c r="J52" s="71"/>
      <c r="K52" s="71"/>
    </row>
    <row r="53" spans="2:12" ht="15.75" x14ac:dyDescent="0.25">
      <c r="B53" s="24" t="str">
        <f>$B$1</f>
        <v>Table 8</v>
      </c>
      <c r="C53" s="129"/>
      <c r="D53" s="129"/>
      <c r="E53" s="129"/>
      <c r="F53" s="129"/>
      <c r="G53" s="129"/>
      <c r="H53" s="129"/>
      <c r="I53" s="129"/>
      <c r="J53" s="129"/>
      <c r="K53" s="24"/>
    </row>
    <row r="54" spans="2:12" ht="15.75" x14ac:dyDescent="0.25">
      <c r="B54" s="24" t="str">
        <f>B2</f>
        <v>Total Cost of Displaceable Resources</v>
      </c>
      <c r="C54" s="24"/>
      <c r="D54" s="129"/>
      <c r="E54" s="129"/>
      <c r="F54" s="129"/>
      <c r="G54" s="129"/>
      <c r="H54" s="129"/>
      <c r="I54" s="129"/>
      <c r="J54" s="129"/>
      <c r="K54" s="129"/>
    </row>
    <row r="55" spans="2:12" ht="15.75" x14ac:dyDescent="0.25">
      <c r="B55" s="24"/>
      <c r="C55" s="129"/>
      <c r="D55" s="129"/>
      <c r="E55" s="129"/>
      <c r="F55" s="129"/>
      <c r="G55" s="129"/>
      <c r="H55" s="129"/>
      <c r="I55" s="129"/>
      <c r="J55" s="129"/>
      <c r="K55" s="134" t="s">
        <v>92</v>
      </c>
    </row>
    <row r="56" spans="2:12" ht="7.5" customHeight="1" x14ac:dyDescent="0.2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7"/>
    </row>
    <row r="57" spans="2:12" ht="51.75" customHeight="1" x14ac:dyDescent="0.2">
      <c r="B57" s="25" t="s">
        <v>2</v>
      </c>
      <c r="C57" s="26" t="s">
        <v>42</v>
      </c>
      <c r="D57" s="26" t="s">
        <v>43</v>
      </c>
      <c r="E57" s="26" t="s">
        <v>44</v>
      </c>
      <c r="F57" s="26" t="s">
        <v>45</v>
      </c>
      <c r="G57" s="26" t="s">
        <v>46</v>
      </c>
      <c r="H57" s="26" t="s">
        <v>47</v>
      </c>
      <c r="I57" s="73" t="s">
        <v>33</v>
      </c>
      <c r="J57" s="73" t="s">
        <v>127</v>
      </c>
      <c r="K57" s="74" t="s">
        <v>128</v>
      </c>
      <c r="L57" s="137"/>
    </row>
    <row r="58" spans="2:12" ht="18.75" customHeight="1" x14ac:dyDescent="0.2">
      <c r="B58" s="27"/>
      <c r="C58" s="28" t="s">
        <v>38</v>
      </c>
      <c r="D58" s="29" t="s">
        <v>39</v>
      </c>
      <c r="E58" s="29" t="s">
        <v>39</v>
      </c>
      <c r="F58" s="29" t="s">
        <v>40</v>
      </c>
      <c r="G58" s="29" t="s">
        <v>39</v>
      </c>
      <c r="H58" s="29" t="s">
        <v>39</v>
      </c>
      <c r="I58" s="75" t="s">
        <v>41</v>
      </c>
      <c r="J58" s="76" t="s">
        <v>129</v>
      </c>
      <c r="K58" s="76" t="s">
        <v>129</v>
      </c>
      <c r="L58" s="137"/>
    </row>
    <row r="59" spans="2:12" x14ac:dyDescent="0.2">
      <c r="C59" s="30" t="s">
        <v>22</v>
      </c>
      <c r="D59" s="30" t="s">
        <v>23</v>
      </c>
      <c r="E59" s="30" t="s">
        <v>24</v>
      </c>
      <c r="F59" s="30" t="s">
        <v>25</v>
      </c>
      <c r="G59" s="30" t="s">
        <v>26</v>
      </c>
      <c r="H59" s="30" t="s">
        <v>32</v>
      </c>
      <c r="I59" s="22" t="s">
        <v>130</v>
      </c>
      <c r="J59" s="22" t="s">
        <v>131</v>
      </c>
      <c r="K59" s="22" t="s">
        <v>132</v>
      </c>
    </row>
    <row r="60" spans="2:12" ht="6" customHeight="1" x14ac:dyDescent="0.2">
      <c r="I60" s="136"/>
      <c r="J60" s="136"/>
      <c r="K60" s="136"/>
    </row>
    <row r="61" spans="2:12" ht="15.75" x14ac:dyDescent="0.25">
      <c r="B61" s="31" t="str">
        <f>C104</f>
        <v>CCCT Dry "J", Adv 1x1 - East Side Resource (5,050')</v>
      </c>
      <c r="C61" s="137"/>
      <c r="E61" s="137"/>
      <c r="F61" s="137"/>
      <c r="G61" s="137"/>
      <c r="H61" s="137"/>
      <c r="I61" s="136"/>
      <c r="J61" s="136"/>
      <c r="K61" s="136"/>
      <c r="L61" s="137"/>
    </row>
    <row r="62" spans="2:12" x14ac:dyDescent="0.2">
      <c r="B62" s="139">
        <v>2012</v>
      </c>
      <c r="C62" s="140">
        <f>H110</f>
        <v>1015</v>
      </c>
      <c r="D62" s="141">
        <f>C62*$C$126</f>
        <v>80.042900000000003</v>
      </c>
      <c r="E62" s="158">
        <f>I110</f>
        <v>24.78</v>
      </c>
      <c r="F62" s="158">
        <f>J115</f>
        <v>2.64</v>
      </c>
      <c r="G62" s="146">
        <f t="shared" ref="G62:G88" si="7">ROUND(F62*(8.76*$G$115)+E62,2)</f>
        <v>36.78</v>
      </c>
      <c r="H62" s="146">
        <f t="shared" ref="H62:H72" si="8">ROUND(D62+G62,2)</f>
        <v>116.82</v>
      </c>
      <c r="I62" s="136"/>
      <c r="J62" s="136"/>
      <c r="K62" s="136"/>
    </row>
    <row r="63" spans="2:12" x14ac:dyDescent="0.2">
      <c r="B63" s="139">
        <f t="shared" ref="B63:B88" si="9">B62+1</f>
        <v>2013</v>
      </c>
      <c r="C63" s="143"/>
      <c r="D63" s="141">
        <f>ROUND(D62*(1+$D$134),2)</f>
        <v>81.16</v>
      </c>
      <c r="E63" s="141">
        <f>ROUND(E62*(1+$D$134),2)</f>
        <v>25.13</v>
      </c>
      <c r="F63" s="141">
        <f>ROUND(F62*(1+$D$134),2)</f>
        <v>2.68</v>
      </c>
      <c r="G63" s="142">
        <f t="shared" si="7"/>
        <v>37.31</v>
      </c>
      <c r="H63" s="146">
        <f t="shared" si="8"/>
        <v>118.47</v>
      </c>
      <c r="I63" s="136"/>
      <c r="J63" s="136"/>
      <c r="K63" s="136"/>
    </row>
    <row r="64" spans="2:12" s="137" customFormat="1" x14ac:dyDescent="0.2">
      <c r="B64" s="147">
        <f t="shared" si="9"/>
        <v>2014</v>
      </c>
      <c r="C64" s="148"/>
      <c r="D64" s="142">
        <f>ROUND(D63*(1+$D$135),2)</f>
        <v>82.38</v>
      </c>
      <c r="E64" s="142">
        <f>ROUND(E63*(1+$D$135),2)</f>
        <v>25.51</v>
      </c>
      <c r="F64" s="142">
        <f>ROUND(F63*(1+$D$135),2)</f>
        <v>2.72</v>
      </c>
      <c r="G64" s="146">
        <f t="shared" si="7"/>
        <v>37.880000000000003</v>
      </c>
      <c r="H64" s="142">
        <f t="shared" si="8"/>
        <v>120.26</v>
      </c>
      <c r="I64" s="136"/>
      <c r="J64" s="136"/>
      <c r="K64" s="136"/>
    </row>
    <row r="65" spans="2:11" s="137" customFormat="1" x14ac:dyDescent="0.2">
      <c r="B65" s="147">
        <f t="shared" si="9"/>
        <v>2015</v>
      </c>
      <c r="C65" s="148"/>
      <c r="D65" s="142">
        <f>ROUND(D64*(1+$D$136),2)</f>
        <v>83.78</v>
      </c>
      <c r="E65" s="142">
        <f>ROUND(E64*(1+$D$136),2)</f>
        <v>25.94</v>
      </c>
      <c r="F65" s="142">
        <f>ROUND(F64*(1+$D$136),2)</f>
        <v>2.77</v>
      </c>
      <c r="G65" s="146">
        <f t="shared" si="7"/>
        <v>38.53</v>
      </c>
      <c r="H65" s="146">
        <f t="shared" si="8"/>
        <v>122.31</v>
      </c>
      <c r="I65" s="136"/>
      <c r="J65" s="136"/>
      <c r="K65" s="136"/>
    </row>
    <row r="66" spans="2:11" s="137" customFormat="1" x14ac:dyDescent="0.2">
      <c r="B66" s="147">
        <f t="shared" si="9"/>
        <v>2016</v>
      </c>
      <c r="C66" s="148"/>
      <c r="D66" s="142">
        <f>ROUND(D65*(1+$D$137),2)</f>
        <v>85.29</v>
      </c>
      <c r="E66" s="142">
        <f>ROUND(E65*(1+$D$137),2)</f>
        <v>26.41</v>
      </c>
      <c r="F66" s="142">
        <f>ROUND(F65*(1+$D$137),2)</f>
        <v>2.82</v>
      </c>
      <c r="G66" s="146">
        <f t="shared" si="7"/>
        <v>39.229999999999997</v>
      </c>
      <c r="H66" s="146">
        <f t="shared" si="8"/>
        <v>124.52</v>
      </c>
      <c r="I66" s="136"/>
      <c r="J66" s="136"/>
      <c r="K66" s="136"/>
    </row>
    <row r="67" spans="2:11" s="137" customFormat="1" x14ac:dyDescent="0.2">
      <c r="B67" s="147">
        <f t="shared" si="9"/>
        <v>2017</v>
      </c>
      <c r="C67" s="148"/>
      <c r="D67" s="142">
        <f>ROUND(D66*(1+$D$138),2)</f>
        <v>86.83</v>
      </c>
      <c r="E67" s="142">
        <f>ROUND(E66*(1+$D$138),2)</f>
        <v>26.89</v>
      </c>
      <c r="F67" s="142">
        <f>ROUND(F66*(1+$D$138),2)</f>
        <v>2.87</v>
      </c>
      <c r="G67" s="146">
        <f t="shared" si="7"/>
        <v>39.94</v>
      </c>
      <c r="H67" s="146">
        <f t="shared" ref="H67:H68" si="10">ROUND(D67+G67,2)</f>
        <v>126.77</v>
      </c>
      <c r="I67" s="136"/>
      <c r="J67" s="136"/>
      <c r="K67" s="136"/>
    </row>
    <row r="68" spans="2:11" x14ac:dyDescent="0.2">
      <c r="B68" s="139">
        <f t="shared" si="9"/>
        <v>2018</v>
      </c>
      <c r="C68" s="143"/>
      <c r="D68" s="141">
        <f>ROUND(D67*(1+$D$139),2)</f>
        <v>88.39</v>
      </c>
      <c r="E68" s="141">
        <f>ROUND(E67*(1+$D$139),2)</f>
        <v>27.37</v>
      </c>
      <c r="F68" s="141">
        <f>ROUND(F67*(1+$D$139),2)</f>
        <v>2.92</v>
      </c>
      <c r="G68" s="146">
        <f t="shared" si="7"/>
        <v>40.65</v>
      </c>
      <c r="H68" s="146">
        <f t="shared" si="10"/>
        <v>129.04</v>
      </c>
      <c r="I68" s="136"/>
      <c r="J68" s="136"/>
      <c r="K68" s="136"/>
    </row>
    <row r="69" spans="2:11" x14ac:dyDescent="0.2">
      <c r="B69" s="139">
        <f t="shared" si="9"/>
        <v>2019</v>
      </c>
      <c r="C69" s="143"/>
      <c r="D69" s="146">
        <f>ROUND(D68*(1+$D$140),2)</f>
        <v>89.89</v>
      </c>
      <c r="E69" s="146">
        <f>ROUND(E68*(1+$D$140),2)</f>
        <v>27.84</v>
      </c>
      <c r="F69" s="146">
        <f>ROUND(F68*(1+$D$140),2)</f>
        <v>2.97</v>
      </c>
      <c r="G69" s="146">
        <f t="shared" si="7"/>
        <v>41.34</v>
      </c>
      <c r="H69" s="146">
        <f t="shared" si="8"/>
        <v>131.22999999999999</v>
      </c>
      <c r="I69" s="136"/>
      <c r="J69" s="136"/>
      <c r="K69" s="136"/>
    </row>
    <row r="70" spans="2:11" x14ac:dyDescent="0.2">
      <c r="B70" s="139">
        <f t="shared" si="9"/>
        <v>2020</v>
      </c>
      <c r="C70" s="143"/>
      <c r="D70" s="146">
        <f>ROUND(D69*(1+$D$141),2)</f>
        <v>91.51</v>
      </c>
      <c r="E70" s="146">
        <f>ROUND(E69*(1+$D$141),2)</f>
        <v>28.34</v>
      </c>
      <c r="F70" s="146">
        <f>ROUND(F69*(1+$D$141),2)</f>
        <v>3.02</v>
      </c>
      <c r="G70" s="146">
        <f t="shared" si="7"/>
        <v>42.07</v>
      </c>
      <c r="H70" s="146">
        <f t="shared" si="8"/>
        <v>133.58000000000001</v>
      </c>
      <c r="I70" s="136"/>
      <c r="J70" s="136"/>
      <c r="K70" s="136"/>
    </row>
    <row r="71" spans="2:11" x14ac:dyDescent="0.2">
      <c r="B71" s="139">
        <f t="shared" si="9"/>
        <v>2021</v>
      </c>
      <c r="C71" s="143"/>
      <c r="D71" s="146">
        <f>ROUND(D70*(1+$G$133),2)</f>
        <v>93.25</v>
      </c>
      <c r="E71" s="146">
        <f>ROUND(E70*(1+$G$133),2)</f>
        <v>28.88</v>
      </c>
      <c r="F71" s="146">
        <f>ROUND(F70*(1+$G$133),2)</f>
        <v>3.08</v>
      </c>
      <c r="G71" s="146">
        <f t="shared" si="7"/>
        <v>42.88</v>
      </c>
      <c r="H71" s="146">
        <f t="shared" si="8"/>
        <v>136.13</v>
      </c>
      <c r="I71" s="136"/>
      <c r="J71" s="136"/>
      <c r="K71" s="136"/>
    </row>
    <row r="72" spans="2:11" x14ac:dyDescent="0.2">
      <c r="B72" s="139">
        <f t="shared" si="9"/>
        <v>2022</v>
      </c>
      <c r="C72" s="143"/>
      <c r="D72" s="146">
        <f>ROUND(D71*(1+$G$134),2)</f>
        <v>94.93</v>
      </c>
      <c r="E72" s="146">
        <f>ROUND(E71*(1+$G$134),2)</f>
        <v>29.4</v>
      </c>
      <c r="F72" s="146">
        <f>ROUND(F71*(1+$G$134),2)</f>
        <v>3.14</v>
      </c>
      <c r="G72" s="146">
        <f t="shared" si="7"/>
        <v>43.68</v>
      </c>
      <c r="H72" s="146">
        <f t="shared" si="8"/>
        <v>138.61000000000001</v>
      </c>
      <c r="I72" s="136"/>
      <c r="J72" s="136"/>
      <c r="K72" s="136"/>
    </row>
    <row r="73" spans="2:11" x14ac:dyDescent="0.2">
      <c r="B73" s="147">
        <f t="shared" si="9"/>
        <v>2023</v>
      </c>
      <c r="C73" s="148"/>
      <c r="D73" s="142">
        <f>ROUND(D72*(1+$G$135),2)</f>
        <v>96.64</v>
      </c>
      <c r="E73" s="142">
        <f>ROUND(E72*(1+$G$135),2)</f>
        <v>29.93</v>
      </c>
      <c r="F73" s="142">
        <f>ROUND(F72*(1+$G$135),2)</f>
        <v>3.2</v>
      </c>
      <c r="G73" s="146">
        <f t="shared" si="7"/>
        <v>44.48</v>
      </c>
      <c r="H73" s="146">
        <f t="shared" ref="H73:H87" si="11">ROUND(D73+G73,2)</f>
        <v>141.12</v>
      </c>
      <c r="I73" s="77"/>
      <c r="J73" s="77"/>
      <c r="K73" s="77"/>
    </row>
    <row r="74" spans="2:11" x14ac:dyDescent="0.2">
      <c r="B74" s="147">
        <f t="shared" si="9"/>
        <v>2024</v>
      </c>
      <c r="C74" s="148"/>
      <c r="D74" s="142">
        <f>ROUND(D73*(1+$G$136),2)</f>
        <v>98.38</v>
      </c>
      <c r="E74" s="142">
        <f>ROUND(E73*(1+$G$136),2)</f>
        <v>30.47</v>
      </c>
      <c r="F74" s="142">
        <f>ROUND(F73*(1+$G$136),2)</f>
        <v>3.26</v>
      </c>
      <c r="G74" s="146">
        <f t="shared" si="7"/>
        <v>45.29</v>
      </c>
      <c r="H74" s="146">
        <f t="shared" si="11"/>
        <v>143.66999999999999</v>
      </c>
      <c r="I74" s="77"/>
      <c r="J74" s="77"/>
      <c r="K74" s="77"/>
    </row>
    <row r="75" spans="2:11" x14ac:dyDescent="0.2">
      <c r="B75" s="147">
        <f t="shared" si="9"/>
        <v>2025</v>
      </c>
      <c r="C75" s="148"/>
      <c r="D75" s="142">
        <f>ROUND(D74*(1+$G$137),2)</f>
        <v>100.15</v>
      </c>
      <c r="E75" s="142">
        <f>ROUND(E74*(1+$G$137),2)</f>
        <v>31.02</v>
      </c>
      <c r="F75" s="142">
        <f>ROUND(F74*(1+$G$137),2)</f>
        <v>3.32</v>
      </c>
      <c r="G75" s="146">
        <f t="shared" si="7"/>
        <v>46.11</v>
      </c>
      <c r="H75" s="146">
        <f t="shared" si="11"/>
        <v>146.26</v>
      </c>
      <c r="I75" s="77"/>
      <c r="J75" s="77"/>
      <c r="K75" s="77"/>
    </row>
    <row r="76" spans="2:11" ht="13.5" thickBot="1" x14ac:dyDescent="0.25">
      <c r="B76" s="159">
        <f t="shared" si="9"/>
        <v>2026</v>
      </c>
      <c r="C76" s="160"/>
      <c r="D76" s="161">
        <f>ROUND(D75*(1+$G$138),2)</f>
        <v>102.05</v>
      </c>
      <c r="E76" s="161">
        <f>ROUND(E75*(1+$G$138),2)</f>
        <v>31.61</v>
      </c>
      <c r="F76" s="161">
        <f>ROUND(F75*(1+$G$138),2)</f>
        <v>3.38</v>
      </c>
      <c r="G76" s="161">
        <f t="shared" si="7"/>
        <v>46.98</v>
      </c>
      <c r="H76" s="161">
        <f t="shared" si="11"/>
        <v>149.03</v>
      </c>
      <c r="I76" s="78"/>
      <c r="J76" s="78"/>
      <c r="K76" s="78"/>
    </row>
    <row r="77" spans="2:11" x14ac:dyDescent="0.2">
      <c r="B77" s="139">
        <f t="shared" si="9"/>
        <v>2027</v>
      </c>
      <c r="C77" s="143"/>
      <c r="D77" s="146">
        <f>ROUND(D76*(1+$G$139),2)</f>
        <v>103.99</v>
      </c>
      <c r="E77" s="146">
        <f>ROUND(E76*(1+$G$139),2)</f>
        <v>32.21</v>
      </c>
      <c r="F77" s="146">
        <f>ROUND(F76*(1+$G$139),2)</f>
        <v>3.44</v>
      </c>
      <c r="G77" s="146">
        <f t="shared" si="7"/>
        <v>47.85</v>
      </c>
      <c r="H77" s="146">
        <f t="shared" si="11"/>
        <v>151.84</v>
      </c>
      <c r="I77" s="77">
        <f>VLOOKUP(B77,'Table 9'!$B$10:$C$34,2,FALSE)</f>
        <v>6.3</v>
      </c>
      <c r="J77" s="77">
        <f t="shared" ref="J77:J88" si="12">ROUND($K$115*I77/1000,2)</f>
        <v>41.33</v>
      </c>
      <c r="K77" s="77">
        <f t="shared" ref="K77:K88" si="13">ROUND(H77*1000/8760/$G$115+J77,2)</f>
        <v>74.73</v>
      </c>
    </row>
    <row r="78" spans="2:11" x14ac:dyDescent="0.2">
      <c r="B78" s="139">
        <f t="shared" si="9"/>
        <v>2028</v>
      </c>
      <c r="C78" s="143"/>
      <c r="D78" s="146">
        <f>ROUND(D77*(1+$G$140),2)</f>
        <v>105.97</v>
      </c>
      <c r="E78" s="146">
        <f>ROUND(E77*(1+$G$140),2)</f>
        <v>32.82</v>
      </c>
      <c r="F78" s="146">
        <f>ROUND(F77*(1+$G$140),2)</f>
        <v>3.51</v>
      </c>
      <c r="G78" s="146">
        <f t="shared" si="7"/>
        <v>48.78</v>
      </c>
      <c r="H78" s="146">
        <f t="shared" si="11"/>
        <v>154.75</v>
      </c>
      <c r="I78" s="77">
        <f>VLOOKUP(B78,'Table 9'!$B$10:$C$34,2,FALSE)</f>
        <v>6.54</v>
      </c>
      <c r="J78" s="77">
        <f t="shared" si="12"/>
        <v>42.9</v>
      </c>
      <c r="K78" s="77">
        <f t="shared" si="13"/>
        <v>76.94</v>
      </c>
    </row>
    <row r="79" spans="2:11" x14ac:dyDescent="0.2">
      <c r="B79" s="139">
        <f t="shared" si="9"/>
        <v>2029</v>
      </c>
      <c r="C79" s="143"/>
      <c r="D79" s="146">
        <f>ROUND(D78*(1+$G$141),2)</f>
        <v>107.98</v>
      </c>
      <c r="E79" s="146">
        <f>ROUND(E78*(1+$G$141),2)</f>
        <v>33.44</v>
      </c>
      <c r="F79" s="146">
        <f>ROUND(F78*(1+$G$141),2)</f>
        <v>3.58</v>
      </c>
      <c r="G79" s="146">
        <f t="shared" si="7"/>
        <v>49.72</v>
      </c>
      <c r="H79" s="146">
        <f t="shared" si="11"/>
        <v>157.69999999999999</v>
      </c>
      <c r="I79" s="77">
        <f>VLOOKUP(B79,'Table 9'!$B$10:$C$34,2,FALSE)</f>
        <v>6.83</v>
      </c>
      <c r="J79" s="77">
        <f t="shared" si="12"/>
        <v>44.8</v>
      </c>
      <c r="K79" s="77">
        <f t="shared" si="13"/>
        <v>79.489999999999995</v>
      </c>
    </row>
    <row r="80" spans="2:11" x14ac:dyDescent="0.2">
      <c r="B80" s="139">
        <f t="shared" si="9"/>
        <v>2030</v>
      </c>
      <c r="C80" s="143"/>
      <c r="D80" s="146">
        <f>ROUND(D79*(1+$J$133),2)</f>
        <v>110.03</v>
      </c>
      <c r="E80" s="146">
        <f>ROUND(E79*(1+$J$133),2)</f>
        <v>34.08</v>
      </c>
      <c r="F80" s="146">
        <f>ROUND(F79*(1+$J$133),2)</f>
        <v>3.65</v>
      </c>
      <c r="G80" s="146">
        <f t="shared" si="7"/>
        <v>50.67</v>
      </c>
      <c r="H80" s="146">
        <f t="shared" si="11"/>
        <v>160.69999999999999</v>
      </c>
      <c r="I80" s="77">
        <f>VLOOKUP(B80,'Table 9'!$B$10:$C$34,2,FALSE)</f>
        <v>7.12</v>
      </c>
      <c r="J80" s="77">
        <f t="shared" si="12"/>
        <v>46.71</v>
      </c>
      <c r="K80" s="77">
        <f t="shared" si="13"/>
        <v>82.06</v>
      </c>
    </row>
    <row r="81" spans="2:15" x14ac:dyDescent="0.2">
      <c r="B81" s="139">
        <f t="shared" si="9"/>
        <v>2031</v>
      </c>
      <c r="C81" s="143"/>
      <c r="D81" s="146">
        <f>ROUND(D80*(1+$J$134),2)</f>
        <v>112.23</v>
      </c>
      <c r="E81" s="146">
        <f>ROUND(E80*(1+$J$134),2)</f>
        <v>34.76</v>
      </c>
      <c r="F81" s="146">
        <f>ROUND(F80*(1+$J$134),2)</f>
        <v>3.72</v>
      </c>
      <c r="G81" s="146">
        <f t="shared" si="7"/>
        <v>51.67</v>
      </c>
      <c r="H81" s="146">
        <f t="shared" si="11"/>
        <v>163.9</v>
      </c>
      <c r="I81" s="77">
        <f>VLOOKUP(B81,'Table 9'!$B$10:$C$34,2,FALSE)</f>
        <v>7.27</v>
      </c>
      <c r="J81" s="77">
        <f t="shared" si="12"/>
        <v>47.69</v>
      </c>
      <c r="K81" s="77">
        <f t="shared" si="13"/>
        <v>83.74</v>
      </c>
    </row>
    <row r="82" spans="2:15" x14ac:dyDescent="0.2">
      <c r="B82" s="139">
        <f t="shared" si="9"/>
        <v>2032</v>
      </c>
      <c r="C82" s="143"/>
      <c r="D82" s="146">
        <f>ROUND(D81*(1+$J$135),2)</f>
        <v>114.47</v>
      </c>
      <c r="E82" s="146">
        <f>ROUND(E81*(1+$J$135),2)</f>
        <v>35.46</v>
      </c>
      <c r="F82" s="146">
        <f>ROUND(F81*(1+$J$135),2)</f>
        <v>3.79</v>
      </c>
      <c r="G82" s="146">
        <f t="shared" si="7"/>
        <v>52.69</v>
      </c>
      <c r="H82" s="146">
        <f t="shared" si="11"/>
        <v>167.16</v>
      </c>
      <c r="I82" s="77">
        <f>VLOOKUP(B82,'Table 9'!$B$10:$C$34,2,FALSE)</f>
        <v>7.41</v>
      </c>
      <c r="J82" s="77">
        <f t="shared" si="12"/>
        <v>48.61</v>
      </c>
      <c r="K82" s="77">
        <f t="shared" si="13"/>
        <v>85.38</v>
      </c>
    </row>
    <row r="83" spans="2:15" x14ac:dyDescent="0.2">
      <c r="B83" s="139">
        <f t="shared" si="9"/>
        <v>2033</v>
      </c>
      <c r="C83" s="143"/>
      <c r="D83" s="146">
        <f>ROUND(D82*(1+$J$136),2)</f>
        <v>116.76</v>
      </c>
      <c r="E83" s="146">
        <f>ROUND(E82*(1+$J$136),2)</f>
        <v>36.17</v>
      </c>
      <c r="F83" s="146">
        <f>ROUND(F82*(1+$J$136),2)</f>
        <v>3.87</v>
      </c>
      <c r="G83" s="146">
        <f t="shared" si="7"/>
        <v>53.76</v>
      </c>
      <c r="H83" s="146">
        <f t="shared" si="11"/>
        <v>170.52</v>
      </c>
      <c r="I83" s="77">
        <f>VLOOKUP(B83,'Table 9'!$B$10:$C$34,2,FALSE)</f>
        <v>7.56</v>
      </c>
      <c r="J83" s="77">
        <f t="shared" si="12"/>
        <v>49.59</v>
      </c>
      <c r="K83" s="77">
        <f t="shared" si="13"/>
        <v>87.1</v>
      </c>
    </row>
    <row r="84" spans="2:15" x14ac:dyDescent="0.2">
      <c r="B84" s="139">
        <f t="shared" si="9"/>
        <v>2034</v>
      </c>
      <c r="C84" s="143"/>
      <c r="D84" s="146">
        <f>ROUND(D83*(1+$J$137),2)</f>
        <v>119.1</v>
      </c>
      <c r="E84" s="146">
        <f>ROUND(E83*(1+$J$137),2)</f>
        <v>36.89</v>
      </c>
      <c r="F84" s="146">
        <f>ROUND(F83*(1+$J$137),2)</f>
        <v>3.95</v>
      </c>
      <c r="G84" s="146">
        <f t="shared" si="7"/>
        <v>54.85</v>
      </c>
      <c r="H84" s="146">
        <f t="shared" si="11"/>
        <v>173.95</v>
      </c>
      <c r="I84" s="77">
        <f>VLOOKUP(B84,'Table 9'!$B$10:$C$34,2,FALSE)</f>
        <v>7.71</v>
      </c>
      <c r="J84" s="77">
        <f t="shared" si="12"/>
        <v>50.58</v>
      </c>
      <c r="K84" s="77">
        <f t="shared" si="13"/>
        <v>88.84</v>
      </c>
    </row>
    <row r="85" spans="2:15" x14ac:dyDescent="0.2">
      <c r="B85" s="139">
        <f t="shared" si="9"/>
        <v>2035</v>
      </c>
      <c r="C85" s="143"/>
      <c r="D85" s="146">
        <f>ROUND(D84*(1+$J$138),2)</f>
        <v>121.48</v>
      </c>
      <c r="E85" s="146">
        <f>ROUND(E84*(1+$J$138),2)</f>
        <v>37.630000000000003</v>
      </c>
      <c r="F85" s="146">
        <f>ROUND(F84*(1+$J$138),2)</f>
        <v>4.03</v>
      </c>
      <c r="G85" s="146">
        <f t="shared" si="7"/>
        <v>55.95</v>
      </c>
      <c r="H85" s="146">
        <f t="shared" si="11"/>
        <v>177.43</v>
      </c>
      <c r="I85" s="77">
        <f>VLOOKUP(B85,'Table 9'!$B$10:$C$34,2,FALSE)</f>
        <v>7.86</v>
      </c>
      <c r="J85" s="77">
        <f t="shared" si="12"/>
        <v>51.56</v>
      </c>
      <c r="K85" s="77">
        <f t="shared" si="13"/>
        <v>90.59</v>
      </c>
    </row>
    <row r="86" spans="2:15" x14ac:dyDescent="0.2">
      <c r="B86" s="139">
        <f t="shared" si="9"/>
        <v>2036</v>
      </c>
      <c r="C86" s="143"/>
      <c r="D86" s="146">
        <f>ROUND(D85*(1+$J$139),2)</f>
        <v>124.03</v>
      </c>
      <c r="E86" s="146">
        <f>ROUND(E85*(1+$J$139),2)</f>
        <v>38.42</v>
      </c>
      <c r="F86" s="146">
        <f>ROUND(F85*(1+$J$139),2)</f>
        <v>4.1100000000000003</v>
      </c>
      <c r="G86" s="146">
        <f t="shared" si="7"/>
        <v>57.11</v>
      </c>
      <c r="H86" s="146">
        <f t="shared" si="11"/>
        <v>181.14</v>
      </c>
      <c r="I86" s="77">
        <f>VLOOKUP(B86,'Table 9'!$B$10:$C$34,2,FALSE)</f>
        <v>8.0299999999999994</v>
      </c>
      <c r="J86" s="77">
        <f t="shared" si="12"/>
        <v>52.68</v>
      </c>
      <c r="K86" s="77">
        <f t="shared" si="13"/>
        <v>92.52</v>
      </c>
    </row>
    <row r="87" spans="2:15" x14ac:dyDescent="0.2">
      <c r="B87" s="139">
        <f t="shared" si="9"/>
        <v>2037</v>
      </c>
      <c r="C87" s="143"/>
      <c r="D87" s="146">
        <f>ROUND(D86*(1+$J$140),2)</f>
        <v>126.63</v>
      </c>
      <c r="E87" s="146">
        <f>ROUND(E86*(1+$J$140),2)</f>
        <v>39.229999999999997</v>
      </c>
      <c r="F87" s="146">
        <f>ROUND(F86*(1+$J$140),2)</f>
        <v>4.2</v>
      </c>
      <c r="G87" s="146">
        <f t="shared" si="7"/>
        <v>58.33</v>
      </c>
      <c r="H87" s="146">
        <f t="shared" si="11"/>
        <v>184.96</v>
      </c>
      <c r="I87" s="77">
        <f>VLOOKUP(B87,'Table 9'!$B$10:$C$34,2,FALSE)</f>
        <v>8.1999999999999993</v>
      </c>
      <c r="J87" s="77">
        <f t="shared" si="12"/>
        <v>53.79</v>
      </c>
      <c r="K87" s="77">
        <f t="shared" si="13"/>
        <v>94.47</v>
      </c>
    </row>
    <row r="88" spans="2:15" x14ac:dyDescent="0.2">
      <c r="B88" s="139">
        <f t="shared" si="9"/>
        <v>2038</v>
      </c>
      <c r="C88" s="143"/>
      <c r="D88" s="146">
        <f>ROUND(D87*(1+$J$141),2)</f>
        <v>129.29</v>
      </c>
      <c r="E88" s="146">
        <f>ROUND(E87*(1+$J$141),2)</f>
        <v>40.049999999999997</v>
      </c>
      <c r="F88" s="146">
        <f>ROUND(F87*(1+$J$141),2)</f>
        <v>4.29</v>
      </c>
      <c r="G88" s="146">
        <f t="shared" si="7"/>
        <v>59.55</v>
      </c>
      <c r="H88" s="146">
        <f t="shared" ref="H88" si="14">ROUND(D88+G88,2)</f>
        <v>188.84</v>
      </c>
      <c r="I88" s="77">
        <f>VLOOKUP(B88,'Table 9'!$B$10:$C$34,2,FALSE)</f>
        <v>8.3699999999999992</v>
      </c>
      <c r="J88" s="77">
        <f t="shared" si="12"/>
        <v>54.91</v>
      </c>
      <c r="K88" s="77">
        <f t="shared" si="13"/>
        <v>96.45</v>
      </c>
    </row>
    <row r="89" spans="2:15" x14ac:dyDescent="0.2">
      <c r="M89" s="139"/>
      <c r="O89" s="162"/>
    </row>
    <row r="90" spans="2:15" ht="15.75" x14ac:dyDescent="0.25">
      <c r="B90" s="24" t="str">
        <f>$B$53</f>
        <v>Table 8</v>
      </c>
      <c r="C90" s="129"/>
      <c r="D90" s="129"/>
      <c r="E90" s="129"/>
      <c r="F90" s="129"/>
      <c r="G90" s="129"/>
      <c r="H90" s="129"/>
      <c r="I90" s="129"/>
      <c r="J90" s="129"/>
      <c r="K90" s="24"/>
      <c r="M90" s="139"/>
      <c r="N90" s="162"/>
      <c r="O90" s="162"/>
    </row>
    <row r="91" spans="2:15" ht="15.75" x14ac:dyDescent="0.25">
      <c r="B91" s="24" t="str">
        <f>B2</f>
        <v>Total Cost of Displaceable Resources</v>
      </c>
      <c r="C91" s="33"/>
      <c r="D91" s="129"/>
      <c r="E91" s="129"/>
      <c r="F91" s="129"/>
      <c r="G91" s="129"/>
      <c r="H91" s="129"/>
      <c r="I91" s="129"/>
      <c r="J91" s="129"/>
      <c r="K91" s="129"/>
      <c r="M91" s="139"/>
      <c r="N91" s="162"/>
      <c r="O91" s="162"/>
    </row>
    <row r="92" spans="2:15" ht="15.75" x14ac:dyDescent="0.25">
      <c r="B92" s="24"/>
      <c r="C92" s="129"/>
      <c r="D92" s="129"/>
      <c r="E92" s="129"/>
      <c r="F92" s="129"/>
      <c r="G92" s="129"/>
      <c r="H92" s="129"/>
      <c r="I92" s="129"/>
      <c r="J92" s="129"/>
      <c r="K92" s="134" t="s">
        <v>93</v>
      </c>
      <c r="M92" s="139"/>
      <c r="N92" s="162"/>
      <c r="O92" s="162"/>
    </row>
    <row r="93" spans="2:15" ht="5.25" customHeight="1" x14ac:dyDescent="0.2"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7"/>
      <c r="M93" s="139"/>
      <c r="N93" s="162"/>
      <c r="O93" s="162"/>
    </row>
    <row r="94" spans="2:15" ht="14.25" x14ac:dyDescent="0.2">
      <c r="B94" s="33" t="s">
        <v>94</v>
      </c>
      <c r="C94" s="34"/>
      <c r="D94" s="34"/>
      <c r="E94" s="34"/>
      <c r="F94" s="34"/>
      <c r="G94" s="34"/>
      <c r="H94" s="34"/>
      <c r="I94" s="34"/>
      <c r="J94" s="34"/>
      <c r="K94" s="34"/>
      <c r="M94" s="139"/>
      <c r="N94" s="162"/>
      <c r="O94" s="162"/>
    </row>
    <row r="96" spans="2:15" x14ac:dyDescent="0.2">
      <c r="B96" s="60" t="s">
        <v>64</v>
      </c>
      <c r="C96" s="60"/>
      <c r="D96" s="71" t="s">
        <v>138</v>
      </c>
      <c r="E96" s="60"/>
      <c r="F96" s="60"/>
      <c r="G96" s="60"/>
      <c r="H96" s="60"/>
      <c r="I96" s="60"/>
    </row>
    <row r="97" spans="3:11" x14ac:dyDescent="0.2">
      <c r="C97" s="163" t="str">
        <f>D59</f>
        <v>(b)</v>
      </c>
      <c r="D97" s="146" t="str">
        <f>"= "&amp;C59&amp;" x "&amp;C126&amp;E126</f>
        <v>= (a) x 0.07886  Payment Factor</v>
      </c>
    </row>
    <row r="98" spans="3:11" x14ac:dyDescent="0.2">
      <c r="C98" s="163" t="str">
        <f>G59</f>
        <v>(e)</v>
      </c>
      <c r="D98" s="146" t="str">
        <f>"= "&amp;$F$59&amp;" x  (8.76 x "&amp;TEXT(G115,"0.0%")&amp;") + "&amp;$E$59</f>
        <v>= (d) x  (8.76 x 51.9%) + (c)</v>
      </c>
    </row>
    <row r="99" spans="3:11" x14ac:dyDescent="0.2">
      <c r="C99" s="163" t="str">
        <f>H59</f>
        <v>(f)</v>
      </c>
      <c r="D99" s="146" t="str">
        <f>"= "&amp;D59&amp;" + "&amp;G59</f>
        <v>= (b) + (e)</v>
      </c>
    </row>
    <row r="100" spans="3:11" x14ac:dyDescent="0.2">
      <c r="C100" s="163" t="str">
        <f>I59</f>
        <v>(g)</v>
      </c>
      <c r="D100" s="164" t="str">
        <f>'Table 9'!B1&amp;" - "&amp;'Table 9'!B2</f>
        <v>Table 9 - Natural Gas Price - Delivered to Plant</v>
      </c>
    </row>
    <row r="101" spans="3:11" x14ac:dyDescent="0.2">
      <c r="C101" s="163" t="str">
        <f>J59</f>
        <v>(h)</v>
      </c>
      <c r="D101" s="146" t="str">
        <f>"= "&amp;TEXT(K115,"?,0")&amp;" MMBtu/MWH x "&amp;I59</f>
        <v>= 6,560 MMBtu/MWH x (g)</v>
      </c>
    </row>
    <row r="102" spans="3:11" x14ac:dyDescent="0.2">
      <c r="C102" s="163" t="str">
        <f>K59</f>
        <v>(i)</v>
      </c>
      <c r="D102" s="165" t="str">
        <f>"= "&amp;H59&amp;" / (8.76 x 'Capacity Factor' ) + "&amp;J59</f>
        <v>= (f) / (8.76 x 'Capacity Factor' ) + (h)</v>
      </c>
    </row>
    <row r="103" spans="3:11" ht="13.5" thickBot="1" x14ac:dyDescent="0.25"/>
    <row r="104" spans="3:11" ht="13.5" thickBot="1" x14ac:dyDescent="0.25">
      <c r="C104" s="32" t="s">
        <v>139</v>
      </c>
      <c r="D104" s="54"/>
      <c r="E104" s="54"/>
      <c r="F104" s="54"/>
      <c r="G104" s="54"/>
      <c r="H104" s="54"/>
      <c r="I104" s="54"/>
      <c r="J104" s="55"/>
      <c r="K104" s="68"/>
    </row>
    <row r="105" spans="3:11" ht="5.25" customHeight="1" x14ac:dyDescent="0.2"/>
    <row r="106" spans="3:11" ht="5.25" customHeight="1" x14ac:dyDescent="0.2"/>
    <row r="107" spans="3:11" x14ac:dyDescent="0.2">
      <c r="C107" s="35" t="s">
        <v>77</v>
      </c>
      <c r="D107" s="36"/>
      <c r="E107" s="35"/>
      <c r="F107" s="37" t="s">
        <v>74</v>
      </c>
      <c r="G107" s="37" t="s">
        <v>76</v>
      </c>
      <c r="H107" s="37" t="s">
        <v>71</v>
      </c>
      <c r="I107" s="37" t="s">
        <v>72</v>
      </c>
    </row>
    <row r="108" spans="3:11" x14ac:dyDescent="0.2">
      <c r="C108" s="56" t="s">
        <v>141</v>
      </c>
      <c r="F108" s="166">
        <f>C119</f>
        <v>380</v>
      </c>
      <c r="G108" s="66">
        <f>F108/F110</f>
        <v>0.89834515366430256</v>
      </c>
      <c r="H108" s="62">
        <f>C120</f>
        <v>1075</v>
      </c>
      <c r="I108" s="63">
        <f>C123</f>
        <v>25.39</v>
      </c>
    </row>
    <row r="109" spans="3:11" x14ac:dyDescent="0.2">
      <c r="C109" s="56" t="s">
        <v>140</v>
      </c>
      <c r="F109" s="38">
        <f>D119</f>
        <v>43</v>
      </c>
      <c r="G109" s="18">
        <f>1-G108</f>
        <v>0.10165484633569744</v>
      </c>
      <c r="H109" s="39">
        <f>D120</f>
        <v>486</v>
      </c>
      <c r="I109" s="40">
        <f>D123</f>
        <v>19.41</v>
      </c>
    </row>
    <row r="110" spans="3:11" x14ac:dyDescent="0.2">
      <c r="C110" s="56" t="s">
        <v>78</v>
      </c>
      <c r="F110" s="166">
        <f>F108+F109</f>
        <v>423</v>
      </c>
      <c r="G110" s="66">
        <f>G108+G109</f>
        <v>1</v>
      </c>
      <c r="H110" s="62">
        <f>ROUND(((F108*H108)+(F109*H109))/F110,0)</f>
        <v>1015</v>
      </c>
      <c r="I110" s="63">
        <f>ROUND(((F108*I108)+(F109*I109))/F110,2)</f>
        <v>24.78</v>
      </c>
    </row>
    <row r="111" spans="3:11" x14ac:dyDescent="0.2">
      <c r="F111" s="166"/>
      <c r="G111" s="66"/>
      <c r="H111" s="62"/>
      <c r="I111" s="63"/>
    </row>
    <row r="112" spans="3:11" x14ac:dyDescent="0.2">
      <c r="C112" s="35" t="s">
        <v>77</v>
      </c>
      <c r="D112" s="36"/>
      <c r="E112" s="35"/>
      <c r="F112" s="37" t="s">
        <v>74</v>
      </c>
      <c r="G112" s="37" t="s">
        <v>79</v>
      </c>
      <c r="H112" s="37" t="s">
        <v>65</v>
      </c>
      <c r="I112" s="37" t="s">
        <v>76</v>
      </c>
      <c r="J112" s="37" t="s">
        <v>95</v>
      </c>
      <c r="K112" s="37" t="s">
        <v>73</v>
      </c>
    </row>
    <row r="113" spans="3:11" x14ac:dyDescent="0.2">
      <c r="C113" s="167" t="str">
        <f>C108</f>
        <v>CCCT Dry "J" - Turbine</v>
      </c>
      <c r="D113" s="167"/>
      <c r="E113" s="167"/>
      <c r="F113" s="56">
        <f>C119</f>
        <v>380</v>
      </c>
      <c r="G113" s="66">
        <f>C127</f>
        <v>0.56000000000000005</v>
      </c>
      <c r="H113" s="56">
        <f>G113*F113</f>
        <v>212.8</v>
      </c>
      <c r="I113" s="66">
        <f>H113/H115</f>
        <v>0.96868171886380194</v>
      </c>
      <c r="J113" s="63">
        <f>C124</f>
        <v>2.72</v>
      </c>
      <c r="K113" s="168">
        <f>C125</f>
        <v>6495</v>
      </c>
    </row>
    <row r="114" spans="3:11" x14ac:dyDescent="0.2">
      <c r="C114" s="167" t="str">
        <f>C109</f>
        <v>CCCT Dry "J" - Duct Firing</v>
      </c>
      <c r="D114" s="167"/>
      <c r="E114" s="167"/>
      <c r="F114" s="41">
        <f>D119</f>
        <v>43</v>
      </c>
      <c r="G114" s="18">
        <f>D127</f>
        <v>0.16</v>
      </c>
      <c r="H114" s="41">
        <f>G114*F114</f>
        <v>6.88</v>
      </c>
      <c r="I114" s="18">
        <f>1-I113</f>
        <v>3.1318281136198056E-2</v>
      </c>
      <c r="J114" s="42">
        <f>D124</f>
        <v>0.08</v>
      </c>
      <c r="K114" s="53">
        <f>D125</f>
        <v>8611</v>
      </c>
    </row>
    <row r="115" spans="3:11" x14ac:dyDescent="0.2">
      <c r="C115" s="56" t="s">
        <v>80</v>
      </c>
      <c r="F115" s="56">
        <f>F113+F114</f>
        <v>423</v>
      </c>
      <c r="G115" s="169">
        <f>ROUND(H115/F115,3)</f>
        <v>0.51900000000000002</v>
      </c>
      <c r="H115" s="56">
        <f>SUM(H113:H114)</f>
        <v>219.68</v>
      </c>
      <c r="I115" s="66">
        <f>I113+I114</f>
        <v>1</v>
      </c>
      <c r="J115" s="63">
        <f>ROUND(($I113*J113)+($I114*J114),2)</f>
        <v>2.64</v>
      </c>
      <c r="K115" s="166">
        <f>ROUND(($I113*K113)+($I114*K114),-1)</f>
        <v>6560</v>
      </c>
    </row>
    <row r="116" spans="3:11" x14ac:dyDescent="0.2">
      <c r="G116" s="169"/>
      <c r="I116" s="66"/>
      <c r="J116" s="63"/>
      <c r="K116" s="43" t="s">
        <v>96</v>
      </c>
    </row>
    <row r="118" spans="3:11" x14ac:dyDescent="0.2">
      <c r="C118" s="57" t="s">
        <v>97</v>
      </c>
      <c r="D118" s="57" t="s">
        <v>98</v>
      </c>
      <c r="E118" s="44" t="str">
        <f>D96</f>
        <v>Plant Costs  - 2013 IRP - Table 6.1 &amp; 6.2</v>
      </c>
      <c r="F118" s="58"/>
      <c r="G118" s="58"/>
      <c r="H118" s="58"/>
      <c r="I118" s="58"/>
      <c r="J118" s="58"/>
      <c r="K118" s="59"/>
    </row>
    <row r="119" spans="3:11" x14ac:dyDescent="0.2">
      <c r="C119" s="60">
        <v>380</v>
      </c>
      <c r="D119" s="60">
        <v>43</v>
      </c>
      <c r="E119" s="60" t="s">
        <v>88</v>
      </c>
      <c r="F119" s="60"/>
      <c r="G119" s="60"/>
      <c r="H119" s="61"/>
      <c r="I119" s="60"/>
      <c r="J119" s="60"/>
      <c r="K119" s="60"/>
    </row>
    <row r="120" spans="3:11" x14ac:dyDescent="0.2">
      <c r="C120" s="62">
        <v>1075</v>
      </c>
      <c r="D120" s="62">
        <v>486</v>
      </c>
      <c r="E120" s="60" t="s">
        <v>117</v>
      </c>
      <c r="F120" s="60"/>
      <c r="G120" s="60"/>
      <c r="H120" s="60"/>
      <c r="I120" s="60"/>
      <c r="J120" s="60"/>
      <c r="K120" s="60"/>
    </row>
    <row r="121" spans="3:11" x14ac:dyDescent="0.2">
      <c r="C121" s="63">
        <f>10.54+0.21</f>
        <v>10.75</v>
      </c>
      <c r="D121" s="63">
        <v>0</v>
      </c>
      <c r="E121" s="60" t="s">
        <v>142</v>
      </c>
      <c r="F121" s="60"/>
      <c r="G121" s="60"/>
      <c r="H121" s="60"/>
      <c r="I121" s="60"/>
      <c r="J121" s="60"/>
      <c r="K121" s="60"/>
    </row>
    <row r="122" spans="3:11" x14ac:dyDescent="0.2">
      <c r="C122" s="40">
        <v>14.64</v>
      </c>
      <c r="D122" s="40">
        <v>19.41</v>
      </c>
      <c r="E122" s="60" t="s">
        <v>126</v>
      </c>
      <c r="F122" s="60"/>
      <c r="G122" s="60"/>
      <c r="H122" s="60"/>
      <c r="I122" s="60"/>
      <c r="J122" s="60"/>
      <c r="K122" s="60"/>
    </row>
    <row r="123" spans="3:11" x14ac:dyDescent="0.2">
      <c r="C123" s="63">
        <f>C121+C122</f>
        <v>25.39</v>
      </c>
      <c r="D123" s="63">
        <f>D121+D122</f>
        <v>19.41</v>
      </c>
      <c r="E123" s="60" t="s">
        <v>143</v>
      </c>
      <c r="F123" s="60"/>
      <c r="G123" s="60"/>
      <c r="H123" s="60"/>
      <c r="I123" s="60"/>
      <c r="J123" s="60"/>
      <c r="K123" s="60"/>
    </row>
    <row r="124" spans="3:11" x14ac:dyDescent="0.2">
      <c r="C124" s="63">
        <f>2.54+0.18</f>
        <v>2.72</v>
      </c>
      <c r="D124" s="63">
        <v>0.08</v>
      </c>
      <c r="E124" s="60" t="s">
        <v>144</v>
      </c>
      <c r="F124" s="60"/>
      <c r="G124" s="60"/>
      <c r="H124" s="60"/>
      <c r="I124" s="60"/>
      <c r="J124" s="60"/>
      <c r="K124" s="60"/>
    </row>
    <row r="125" spans="3:11" x14ac:dyDescent="0.2">
      <c r="C125" s="64">
        <v>6495</v>
      </c>
      <c r="D125" s="64">
        <v>8611</v>
      </c>
      <c r="E125" s="60" t="s">
        <v>118</v>
      </c>
      <c r="F125" s="60"/>
      <c r="G125" s="60"/>
      <c r="H125" s="60"/>
      <c r="I125" s="60"/>
      <c r="J125" s="60"/>
      <c r="K125" s="60"/>
    </row>
    <row r="126" spans="3:11" x14ac:dyDescent="0.2">
      <c r="C126" s="223">
        <v>7.886E-2</v>
      </c>
      <c r="D126" s="223">
        <f>C126</f>
        <v>7.886E-2</v>
      </c>
      <c r="E126" s="60" t="s">
        <v>90</v>
      </c>
      <c r="F126" s="60"/>
      <c r="G126" s="60"/>
      <c r="H126" s="60"/>
      <c r="I126" s="60"/>
      <c r="J126" s="60"/>
      <c r="K126" s="60"/>
    </row>
    <row r="127" spans="3:11" x14ac:dyDescent="0.2">
      <c r="C127" s="65">
        <v>0.56000000000000005</v>
      </c>
      <c r="D127" s="65">
        <v>0.16</v>
      </c>
      <c r="E127" s="60" t="s">
        <v>91</v>
      </c>
      <c r="F127" s="60"/>
      <c r="G127" s="60"/>
      <c r="H127" s="60"/>
      <c r="I127" s="60"/>
      <c r="J127" s="60"/>
      <c r="K127" s="60"/>
    </row>
    <row r="128" spans="3:11" x14ac:dyDescent="0.2">
      <c r="C128" s="60"/>
      <c r="D128" s="66">
        <f>ROUND(H115/F115,3)</f>
        <v>0.51900000000000002</v>
      </c>
      <c r="E128" s="60" t="s">
        <v>119</v>
      </c>
      <c r="F128" s="60"/>
      <c r="G128" s="60"/>
      <c r="H128" s="60"/>
      <c r="I128" s="60"/>
      <c r="J128" s="60"/>
      <c r="K128" s="60"/>
    </row>
    <row r="129" spans="3:15" x14ac:dyDescent="0.2">
      <c r="C129" s="60"/>
      <c r="D129" s="248">
        <f>MIN(1,ROUND(D128/0.56,3))</f>
        <v>0.92700000000000005</v>
      </c>
      <c r="E129" s="67" t="str">
        <f>"  Capacity Factor - On-peak     "&amp;TEXT(D128,"0.0%")&amp;" / 56% (percent of hours on-peak) "</f>
        <v xml:space="preserve">  Capacity Factor - On-peak     51.9% / 56% (percent of hours on-peak) </v>
      </c>
      <c r="F129" s="60"/>
      <c r="G129" s="60"/>
      <c r="H129" s="60"/>
      <c r="I129" s="60"/>
      <c r="J129" s="60"/>
      <c r="K129" s="60"/>
    </row>
    <row r="130" spans="3:15" x14ac:dyDescent="0.2">
      <c r="C130" s="154"/>
      <c r="D130" s="154"/>
    </row>
    <row r="131" spans="3:15" ht="13.5" thickBot="1" x14ac:dyDescent="0.25"/>
    <row r="132" spans="3:15" ht="13.5" thickBot="1" x14ac:dyDescent="0.25">
      <c r="C132" s="266" t="str">
        <f>"Company Official Inflation - "&amp;'Table 9'!B37</f>
        <v>Company Official Inflation - Official Forward Price Curve dated March 2014</v>
      </c>
      <c r="D132" s="267"/>
      <c r="E132" s="267"/>
      <c r="F132" s="267"/>
      <c r="G132" s="267"/>
      <c r="H132" s="267"/>
      <c r="I132" s="267"/>
      <c r="J132" s="267"/>
      <c r="K132" s="268"/>
      <c r="N132" s="56" t="s">
        <v>116</v>
      </c>
    </row>
    <row r="133" spans="3:15" x14ac:dyDescent="0.2">
      <c r="C133" s="69">
        <v>2012</v>
      </c>
      <c r="D133" s="66">
        <v>1.9E-2</v>
      </c>
      <c r="E133" s="60"/>
      <c r="F133" s="69">
        <v>2021</v>
      </c>
      <c r="G133" s="66">
        <v>1.9E-2</v>
      </c>
      <c r="H133" s="60"/>
      <c r="I133" s="69">
        <v>2030</v>
      </c>
      <c r="J133" s="66">
        <v>1.9E-2</v>
      </c>
      <c r="K133" s="69"/>
      <c r="N133" s="69">
        <v>2009</v>
      </c>
      <c r="O133" s="66">
        <v>4.0000000000000001E-3</v>
      </c>
    </row>
    <row r="134" spans="3:15" x14ac:dyDescent="0.2">
      <c r="C134" s="69">
        <v>2013</v>
      </c>
      <c r="D134" s="66">
        <v>1.4E-2</v>
      </c>
      <c r="E134" s="60"/>
      <c r="F134" s="69">
        <v>2022</v>
      </c>
      <c r="G134" s="66">
        <v>1.7999999999999999E-2</v>
      </c>
      <c r="H134" s="60"/>
      <c r="I134" s="69">
        <v>2031</v>
      </c>
      <c r="J134" s="66">
        <v>0.02</v>
      </c>
      <c r="K134" s="69"/>
      <c r="N134" s="69">
        <f t="shared" ref="N134:N147" si="15">N133+1</f>
        <v>2010</v>
      </c>
      <c r="O134" s="66">
        <v>1.2999999999999999E-2</v>
      </c>
    </row>
    <row r="135" spans="3:15" x14ac:dyDescent="0.2">
      <c r="C135" s="69">
        <v>2014</v>
      </c>
      <c r="D135" s="66">
        <v>1.4999999999999999E-2</v>
      </c>
      <c r="E135" s="60"/>
      <c r="F135" s="69">
        <v>2023</v>
      </c>
      <c r="G135" s="66">
        <v>1.7999999999999999E-2</v>
      </c>
      <c r="H135" s="60"/>
      <c r="I135" s="69">
        <v>2032</v>
      </c>
      <c r="J135" s="66">
        <v>0.02</v>
      </c>
      <c r="K135" s="69"/>
      <c r="N135" s="69">
        <f t="shared" si="15"/>
        <v>2011</v>
      </c>
      <c r="O135" s="66">
        <v>1.7000000000000001E-2</v>
      </c>
    </row>
    <row r="136" spans="3:15" x14ac:dyDescent="0.2">
      <c r="C136" s="69">
        <v>2015</v>
      </c>
      <c r="D136" s="66">
        <v>1.7000000000000001E-2</v>
      </c>
      <c r="E136" s="60"/>
      <c r="F136" s="69">
        <v>2024</v>
      </c>
      <c r="G136" s="66">
        <v>1.7999999999999999E-2</v>
      </c>
      <c r="H136" s="60"/>
      <c r="I136" s="69">
        <v>2033</v>
      </c>
      <c r="J136" s="66">
        <v>0.02</v>
      </c>
      <c r="K136" s="69"/>
      <c r="N136" s="69">
        <f t="shared" si="15"/>
        <v>2012</v>
      </c>
      <c r="O136" s="66">
        <v>0.02</v>
      </c>
    </row>
    <row r="137" spans="3:15" x14ac:dyDescent="0.2">
      <c r="C137" s="69">
        <v>2016</v>
      </c>
      <c r="D137" s="66">
        <v>1.7999999999999999E-2</v>
      </c>
      <c r="E137" s="60"/>
      <c r="F137" s="69">
        <v>2025</v>
      </c>
      <c r="G137" s="66">
        <v>1.7999999999999999E-2</v>
      </c>
      <c r="H137" s="60"/>
      <c r="I137" s="69">
        <v>2034</v>
      </c>
      <c r="J137" s="66">
        <v>0.02</v>
      </c>
      <c r="K137" s="69"/>
      <c r="N137" s="69">
        <f t="shared" si="15"/>
        <v>2013</v>
      </c>
      <c r="O137" s="66">
        <v>0.02</v>
      </c>
    </row>
    <row r="138" spans="3:15" x14ac:dyDescent="0.2">
      <c r="C138" s="69">
        <v>2017</v>
      </c>
      <c r="D138" s="66">
        <v>1.7999999999999999E-2</v>
      </c>
      <c r="E138" s="60"/>
      <c r="F138" s="69">
        <v>2026</v>
      </c>
      <c r="G138" s="66">
        <v>1.9E-2</v>
      </c>
      <c r="H138" s="60"/>
      <c r="I138" s="69">
        <v>2035</v>
      </c>
      <c r="J138" s="66">
        <v>0.02</v>
      </c>
      <c r="K138" s="69"/>
      <c r="N138" s="69">
        <f t="shared" si="15"/>
        <v>2014</v>
      </c>
      <c r="O138" s="66">
        <v>1.9E-2</v>
      </c>
    </row>
    <row r="139" spans="3:15" s="137" customFormat="1" x14ac:dyDescent="0.2">
      <c r="C139" s="69">
        <v>2018</v>
      </c>
      <c r="D139" s="66">
        <v>1.7999999999999999E-2</v>
      </c>
      <c r="E139" s="70"/>
      <c r="F139" s="69">
        <v>2027</v>
      </c>
      <c r="G139" s="66">
        <v>1.9E-2</v>
      </c>
      <c r="H139" s="70"/>
      <c r="I139" s="69">
        <v>2036</v>
      </c>
      <c r="J139" s="66">
        <v>2.1000000000000001E-2</v>
      </c>
      <c r="K139" s="69"/>
      <c r="N139" s="69">
        <f t="shared" si="15"/>
        <v>2015</v>
      </c>
      <c r="O139" s="66">
        <v>1.9E-2</v>
      </c>
    </row>
    <row r="140" spans="3:15" s="137" customFormat="1" x14ac:dyDescent="0.2">
      <c r="C140" s="69">
        <v>2019</v>
      </c>
      <c r="D140" s="66">
        <v>1.7000000000000001E-2</v>
      </c>
      <c r="E140" s="70"/>
      <c r="F140" s="69">
        <v>2028</v>
      </c>
      <c r="G140" s="66">
        <v>1.9E-2</v>
      </c>
      <c r="H140" s="70"/>
      <c r="I140" s="69">
        <v>2037</v>
      </c>
      <c r="J140" s="66">
        <v>2.1000000000000001E-2</v>
      </c>
      <c r="K140" s="69"/>
      <c r="N140" s="69">
        <f t="shared" si="15"/>
        <v>2016</v>
      </c>
      <c r="O140" s="66">
        <v>1.9E-2</v>
      </c>
    </row>
    <row r="141" spans="3:15" s="137" customFormat="1" x14ac:dyDescent="0.2">
      <c r="C141" s="69">
        <v>2020</v>
      </c>
      <c r="D141" s="66">
        <v>1.7999999999999999E-2</v>
      </c>
      <c r="E141" s="70"/>
      <c r="F141" s="69">
        <v>2029</v>
      </c>
      <c r="G141" s="66">
        <v>1.9E-2</v>
      </c>
      <c r="H141" s="70"/>
      <c r="I141" s="69">
        <v>2038</v>
      </c>
      <c r="J141" s="66">
        <v>2.1000000000000001E-2</v>
      </c>
      <c r="K141" s="69"/>
      <c r="N141" s="69">
        <f t="shared" si="15"/>
        <v>2017</v>
      </c>
      <c r="O141" s="66">
        <v>1.9E-2</v>
      </c>
    </row>
    <row r="142" spans="3:15" x14ac:dyDescent="0.2">
      <c r="C142" s="170"/>
      <c r="D142" s="171"/>
      <c r="N142" s="69" t="e">
        <f>#REF!+1</f>
        <v>#REF!</v>
      </c>
      <c r="O142" s="66">
        <v>1.7000000000000001E-2</v>
      </c>
    </row>
    <row r="143" spans="3:15" x14ac:dyDescent="0.2">
      <c r="C143" s="170"/>
      <c r="D143" s="171"/>
      <c r="N143" s="69" t="e">
        <f t="shared" si="15"/>
        <v>#REF!</v>
      </c>
      <c r="O143" s="66">
        <v>1.6E-2</v>
      </c>
    </row>
    <row r="144" spans="3:15" x14ac:dyDescent="0.2">
      <c r="C144" s="170"/>
      <c r="D144" s="171"/>
      <c r="N144" s="69" t="e">
        <f t="shared" si="15"/>
        <v>#REF!</v>
      </c>
      <c r="O144" s="66">
        <v>1.6E-2</v>
      </c>
    </row>
    <row r="145" spans="3:15" x14ac:dyDescent="0.2">
      <c r="C145" s="170"/>
      <c r="D145" s="171"/>
      <c r="N145" s="69" t="e">
        <f t="shared" si="15"/>
        <v>#REF!</v>
      </c>
      <c r="O145" s="66">
        <v>1.6E-2</v>
      </c>
    </row>
    <row r="146" spans="3:15" x14ac:dyDescent="0.2">
      <c r="C146" s="170"/>
      <c r="D146" s="171"/>
      <c r="N146" s="69" t="e">
        <f t="shared" si="15"/>
        <v>#REF!</v>
      </c>
      <c r="O146" s="66">
        <v>1.7000000000000001E-2</v>
      </c>
    </row>
    <row r="147" spans="3:15" x14ac:dyDescent="0.2">
      <c r="C147" s="170"/>
      <c r="D147" s="171"/>
      <c r="N147" s="69" t="e">
        <f t="shared" si="15"/>
        <v>#REF!</v>
      </c>
      <c r="O147" s="66">
        <v>1.7000000000000001E-2</v>
      </c>
    </row>
  </sheetData>
  <phoneticPr fontId="7" type="noConversion"/>
  <printOptions horizontalCentered="1"/>
  <pageMargins left="0.25" right="0.25" top="0.75" bottom="0.75" header="0.3" footer="0.3"/>
  <pageSetup scale="95" fitToHeight="2" orientation="portrait" r:id="rId1"/>
  <headerFooter alignWithMargins="0">
    <oddFooter>&amp;L&amp;8&amp;F&amp;C &amp;R &amp;8&amp;D  &amp;T</oddFooter>
  </headerFooter>
  <rowBreaks count="2" manualBreakCount="2">
    <brk id="52" min="1" max="10" man="1"/>
    <brk id="89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37"/>
  <sheetViews>
    <sheetView zoomScaleNormal="100" workbookViewId="0">
      <selection activeCell="B1" sqref="B1"/>
    </sheetView>
  </sheetViews>
  <sheetFormatPr defaultRowHeight="12.75" x14ac:dyDescent="0.2"/>
  <cols>
    <col min="1" max="1" width="2" style="56" customWidth="1"/>
    <col min="2" max="2" width="24.5" style="56" customWidth="1"/>
    <col min="3" max="3" width="31.5" style="56" customWidth="1"/>
    <col min="4" max="4" width="2.1640625" style="56" customWidth="1"/>
    <col min="5" max="16384" width="9.33203125" style="56"/>
  </cols>
  <sheetData>
    <row r="1" spans="2:3" ht="15.75" x14ac:dyDescent="0.25">
      <c r="B1" s="24" t="s">
        <v>99</v>
      </c>
      <c r="C1" s="33"/>
    </row>
    <row r="2" spans="2:3" ht="15.75" x14ac:dyDescent="0.25">
      <c r="B2" s="24" t="s">
        <v>106</v>
      </c>
      <c r="C2" s="33"/>
    </row>
    <row r="3" spans="2:3" ht="15.75" x14ac:dyDescent="0.25">
      <c r="B3" s="24" t="s">
        <v>41</v>
      </c>
      <c r="C3" s="129"/>
    </row>
    <row r="4" spans="2:3" ht="15.75" x14ac:dyDescent="0.25">
      <c r="B4" s="24"/>
      <c r="C4" s="129"/>
    </row>
    <row r="5" spans="2:3" x14ac:dyDescent="0.2">
      <c r="B5" s="25"/>
      <c r="C5" s="25" t="s">
        <v>100</v>
      </c>
    </row>
    <row r="6" spans="2:3" x14ac:dyDescent="0.2">
      <c r="B6" s="45" t="s">
        <v>2</v>
      </c>
      <c r="C6" s="45" t="s">
        <v>105</v>
      </c>
    </row>
    <row r="7" spans="2:3" x14ac:dyDescent="0.2">
      <c r="B7" s="130"/>
      <c r="C7" s="46" t="s">
        <v>33</v>
      </c>
    </row>
    <row r="8" spans="2:3" x14ac:dyDescent="0.2">
      <c r="C8" s="135" t="s">
        <v>22</v>
      </c>
    </row>
    <row r="9" spans="2:3" x14ac:dyDescent="0.2">
      <c r="C9" s="131"/>
    </row>
    <row r="10" spans="2:3" x14ac:dyDescent="0.2">
      <c r="B10" s="132">
        <f>'Tables 3 to 6'!$B$13</f>
        <v>2014</v>
      </c>
      <c r="C10" s="133">
        <v>4.75</v>
      </c>
    </row>
    <row r="11" spans="2:3" x14ac:dyDescent="0.2">
      <c r="B11" s="132">
        <f>B10+1</f>
        <v>2015</v>
      </c>
      <c r="C11" s="133">
        <v>4.17</v>
      </c>
    </row>
    <row r="12" spans="2:3" x14ac:dyDescent="0.2">
      <c r="B12" s="132">
        <f t="shared" ref="B12:B34" si="0">B11+1</f>
        <v>2016</v>
      </c>
      <c r="C12" s="133">
        <v>3.96</v>
      </c>
    </row>
    <row r="13" spans="2:3" x14ac:dyDescent="0.2">
      <c r="B13" s="132">
        <f t="shared" si="0"/>
        <v>2017</v>
      </c>
      <c r="C13" s="133">
        <v>3.98</v>
      </c>
    </row>
    <row r="14" spans="2:3" x14ac:dyDescent="0.2">
      <c r="B14" s="132">
        <f t="shared" si="0"/>
        <v>2018</v>
      </c>
      <c r="C14" s="133">
        <v>4.18</v>
      </c>
    </row>
    <row r="15" spans="2:3" x14ac:dyDescent="0.2">
      <c r="B15" s="132">
        <f t="shared" si="0"/>
        <v>2019</v>
      </c>
      <c r="C15" s="133">
        <v>4.37</v>
      </c>
    </row>
    <row r="16" spans="2:3" x14ac:dyDescent="0.2">
      <c r="B16" s="132">
        <f t="shared" si="0"/>
        <v>2020</v>
      </c>
      <c r="C16" s="133">
        <v>4.7300000000000004</v>
      </c>
    </row>
    <row r="17" spans="2:3" x14ac:dyDescent="0.2">
      <c r="B17" s="132">
        <f t="shared" si="0"/>
        <v>2021</v>
      </c>
      <c r="C17" s="133">
        <v>5.1100000000000003</v>
      </c>
    </row>
    <row r="18" spans="2:3" x14ac:dyDescent="0.2">
      <c r="B18" s="132">
        <f t="shared" si="0"/>
        <v>2022</v>
      </c>
      <c r="C18" s="133">
        <v>5.35</v>
      </c>
    </row>
    <row r="19" spans="2:3" x14ac:dyDescent="0.2">
      <c r="B19" s="132">
        <f t="shared" si="0"/>
        <v>2023</v>
      </c>
      <c r="C19" s="133">
        <v>5.54</v>
      </c>
    </row>
    <row r="20" spans="2:3" x14ac:dyDescent="0.2">
      <c r="B20" s="132">
        <f t="shared" si="0"/>
        <v>2024</v>
      </c>
      <c r="C20" s="133">
        <v>5.73</v>
      </c>
    </row>
    <row r="21" spans="2:3" x14ac:dyDescent="0.2">
      <c r="B21" s="132">
        <f t="shared" si="0"/>
        <v>2025</v>
      </c>
      <c r="C21" s="133">
        <v>5.87</v>
      </c>
    </row>
    <row r="22" spans="2:3" x14ac:dyDescent="0.2">
      <c r="B22" s="132">
        <f t="shared" si="0"/>
        <v>2026</v>
      </c>
      <c r="C22" s="133">
        <v>6.06</v>
      </c>
    </row>
    <row r="23" spans="2:3" x14ac:dyDescent="0.2">
      <c r="B23" s="132">
        <f t="shared" si="0"/>
        <v>2027</v>
      </c>
      <c r="C23" s="133">
        <v>6.3</v>
      </c>
    </row>
    <row r="24" spans="2:3" x14ac:dyDescent="0.2">
      <c r="B24" s="132">
        <f t="shared" si="0"/>
        <v>2028</v>
      </c>
      <c r="C24" s="133">
        <v>6.54</v>
      </c>
    </row>
    <row r="25" spans="2:3" x14ac:dyDescent="0.2">
      <c r="B25" s="132">
        <f t="shared" si="0"/>
        <v>2029</v>
      </c>
      <c r="C25" s="133">
        <v>6.83</v>
      </c>
    </row>
    <row r="26" spans="2:3" x14ac:dyDescent="0.2">
      <c r="B26" s="132">
        <f t="shared" si="0"/>
        <v>2030</v>
      </c>
      <c r="C26" s="133">
        <v>7.12</v>
      </c>
    </row>
    <row r="27" spans="2:3" x14ac:dyDescent="0.2">
      <c r="B27" s="132">
        <f t="shared" si="0"/>
        <v>2031</v>
      </c>
      <c r="C27" s="133">
        <v>7.27</v>
      </c>
    </row>
    <row r="28" spans="2:3" x14ac:dyDescent="0.2">
      <c r="B28" s="132">
        <f t="shared" si="0"/>
        <v>2032</v>
      </c>
      <c r="C28" s="133">
        <v>7.41</v>
      </c>
    </row>
    <row r="29" spans="2:3" x14ac:dyDescent="0.2">
      <c r="B29" s="132">
        <f t="shared" si="0"/>
        <v>2033</v>
      </c>
      <c r="C29" s="133">
        <v>7.56</v>
      </c>
    </row>
    <row r="30" spans="2:3" x14ac:dyDescent="0.2">
      <c r="B30" s="132">
        <f t="shared" si="0"/>
        <v>2034</v>
      </c>
      <c r="C30" s="133">
        <v>7.71</v>
      </c>
    </row>
    <row r="31" spans="2:3" x14ac:dyDescent="0.2">
      <c r="B31" s="132">
        <f t="shared" si="0"/>
        <v>2035</v>
      </c>
      <c r="C31" s="133">
        <v>7.86</v>
      </c>
    </row>
    <row r="32" spans="2:3" x14ac:dyDescent="0.2">
      <c r="B32" s="132">
        <f t="shared" si="0"/>
        <v>2036</v>
      </c>
      <c r="C32" s="133">
        <v>8.0299999999999994</v>
      </c>
    </row>
    <row r="33" spans="2:3" x14ac:dyDescent="0.2">
      <c r="B33" s="132">
        <f t="shared" si="0"/>
        <v>2037</v>
      </c>
      <c r="C33" s="133">
        <v>8.1999999999999993</v>
      </c>
    </row>
    <row r="34" spans="2:3" x14ac:dyDescent="0.2">
      <c r="B34" s="132">
        <f t="shared" si="0"/>
        <v>2038</v>
      </c>
      <c r="C34" s="133">
        <v>8.3699999999999992</v>
      </c>
    </row>
    <row r="35" spans="2:3" x14ac:dyDescent="0.2">
      <c r="B35" s="132"/>
      <c r="C35" s="133"/>
    </row>
    <row r="36" spans="2:3" x14ac:dyDescent="0.2">
      <c r="B36" s="47" t="s">
        <v>101</v>
      </c>
    </row>
    <row r="37" spans="2:3" x14ac:dyDescent="0.2">
      <c r="B37" s="508" t="s">
        <v>279</v>
      </c>
      <c r="C37" s="508"/>
    </row>
  </sheetData>
  <mergeCells count="1">
    <mergeCell ref="B37:C37"/>
  </mergeCells>
  <phoneticPr fontId="7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34</vt:i4>
      </vt:variant>
    </vt:vector>
  </HeadingPairs>
  <TitlesOfParts>
    <vt:vector size="52" baseType="lpstr">
      <vt:lpstr>Table 1</vt:lpstr>
      <vt:lpstr>Table 2A BaseLoad</vt:lpstr>
      <vt:lpstr>Table 2B Wind</vt:lpstr>
      <vt:lpstr>Table 2C SolarFixed</vt:lpstr>
      <vt:lpstr>Table 2D SolarTracking</vt:lpstr>
      <vt:lpstr>Tables 3 to 6</vt:lpstr>
      <vt:lpstr>Table 7</vt:lpstr>
      <vt:lpstr>Table 8</vt:lpstr>
      <vt:lpstr>Table 9</vt:lpstr>
      <vt:lpstr>Table 10</vt:lpstr>
      <vt:lpstr>Table 11</vt:lpstr>
      <vt:lpstr>Table 12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'Table 2B Wind'!Capacity_Contr_Solar_Fixed</vt:lpstr>
      <vt:lpstr>'Table 2C SolarFixed'!Capacity_Contr_Solar_Fixed</vt:lpstr>
      <vt:lpstr>Capacity_Contr_Solar_Fixed</vt:lpstr>
      <vt:lpstr>'Table 2B Wind'!Capacity_Contr_Solar_Tracking</vt:lpstr>
      <vt:lpstr>'Table 2C SolarFixed'!Capacity_Contr_Solar_Tracking</vt:lpstr>
      <vt:lpstr>'Table 2D SolarTracking'!Capacity_Contr_Solar_Tracking</vt:lpstr>
      <vt:lpstr>Capacity_Contr_Solar_Tracking</vt:lpstr>
      <vt:lpstr>'Table 2B Wind'!Capacity_Contr_Wind</vt:lpstr>
      <vt:lpstr>'Table 2C SolarFixed'!Capacity_Contr_Wind</vt:lpstr>
      <vt:lpstr>'Table 2D SolarTracking'!Capacity_Contr_Wind</vt:lpstr>
      <vt:lpstr>Capacity_Contr_Wind</vt:lpstr>
      <vt:lpstr>'OFPC Source'!Print_Area</vt:lpstr>
      <vt:lpstr>'Table 1'!Print_Area</vt:lpstr>
      <vt:lpstr>'Table 10'!Print_Area</vt:lpstr>
      <vt:lpstr>'Table 11'!Print_Area</vt:lpstr>
      <vt:lpstr>'Table 12'!Print_Area</vt:lpstr>
      <vt:lpstr>'Table 2A BaseLoad'!Print_Area</vt:lpstr>
      <vt:lpstr>'Table 2B Wind'!Print_Area</vt:lpstr>
      <vt:lpstr>'Table 2C SolarFixed'!Print_Area</vt:lpstr>
      <vt:lpstr>'Table 2D SolarTracking'!Print_Area</vt:lpstr>
      <vt:lpstr>'Table 7'!Print_Area</vt:lpstr>
      <vt:lpstr>'Table 8'!Print_Area</vt:lpstr>
      <vt:lpstr>'Table 9'!Print_Area</vt:lpstr>
      <vt:lpstr>'Tables 3 to 6'!Print_Area</vt:lpstr>
      <vt:lpstr>'Tariff Page'!Print_Area</vt:lpstr>
      <vt:lpstr>'Tariff Page Solar Fixed'!Print_Area</vt:lpstr>
      <vt:lpstr>'Tariff Page Solar Tracking'!Print_Area</vt:lpstr>
      <vt:lpstr>'Tariff Page Wind'!Print_Area</vt:lpstr>
      <vt:lpstr>'Table 2A BaseLoad'!Print_Titles</vt:lpstr>
      <vt:lpstr>'Table 2B Wind'!Print_Titles</vt:lpstr>
      <vt:lpstr>'Table 2C SolarFixed'!Print_Titles</vt:lpstr>
      <vt:lpstr>'Table 2D SolarTracking'!Print_Titles</vt:lpstr>
      <vt:lpstr>Solar_Fixed_integr_cost</vt:lpstr>
      <vt:lpstr>Solar_Tracking_integr_cost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mpaschal</cp:lastModifiedBy>
  <cp:lastPrinted>2015-01-22T18:34:28Z</cp:lastPrinted>
  <dcterms:created xsi:type="dcterms:W3CDTF">2001-03-19T15:45:46Z</dcterms:created>
  <dcterms:modified xsi:type="dcterms:W3CDTF">2015-01-26T19:42:27Z</dcterms:modified>
</cp:coreProperties>
</file>