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67\"/>
    </mc:Choice>
  </mc:AlternateContent>
  <bookViews>
    <workbookView xWindow="480" yWindow="45" windowWidth="18195" windowHeight="10290" activeTab="1"/>
  </bookViews>
  <sheets>
    <sheet name="Workpaper Index" sheetId="1" r:id="rId1"/>
    <sheet name="(Exh.1) A1 Scalar Method" sheetId="2" r:id="rId2"/>
    <sheet name="(Exh.2)09-035-15 Comm Ord Methd" sheetId="3" r:id="rId3"/>
    <sheet name="(Exh.3) A2 Method" sheetId="4" r:id="rId4"/>
    <sheet name="(Exh.4) A3 Method" sheetId="5" r:id="rId5"/>
  </sheets>
  <externalReferences>
    <externalReference r:id="rId6"/>
    <externalReference r:id="rId7"/>
    <externalReference r:id="rId8"/>
    <externalReference r:id="rId9"/>
  </externalReferences>
  <definedNames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localSheetId="3" hidden="1">#REF!</definedName>
    <definedName name="_Sort" localSheetId="4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 localSheetId="1">#REF!</definedName>
    <definedName name="ActualROR" localSheetId="3">#REF!</definedName>
    <definedName name="ActualROR" localSheetId="4">#REF!</definedName>
    <definedName name="ActualROR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'[2]Check Dollars'!$R$258:$S$643</definedName>
    <definedName name="ContractTypeMWh">'[2]Check MWh'!$R$258:$S$643</definedName>
    <definedName name="COSFacVal">[1]Inputs!$W$11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Factorck">'[1]COS Factor Table'!$Q$15:$Q$136</definedName>
    <definedName name="FactSum">'[1]COS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IncomeTaxOptVal">[3]Inputs!$Y$11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'[4](6.4) Base UTGRC12 Stlmt NPC'!$F$7:$Q$7</definedName>
    <definedName name="NetToGross">[1]Inputs!$H$21</definedName>
    <definedName name="OH">[1]Inputs!$D$24</definedName>
    <definedName name="Page110" localSheetId="1">#REF!</definedName>
    <definedName name="Page110" localSheetId="3">#REF!</definedName>
    <definedName name="Page110" localSheetId="4">#REF!</definedName>
    <definedName name="Page110">#REF!</definedName>
    <definedName name="Page111" localSheetId="1">#REF!</definedName>
    <definedName name="Page111" localSheetId="3">#REF!</definedName>
    <definedName name="Page111" localSheetId="4">#REF!</definedName>
    <definedName name="Page111">#REF!</definedName>
    <definedName name="Page112" localSheetId="1">#REF!</definedName>
    <definedName name="Page112" localSheetId="3">#REF!</definedName>
    <definedName name="Page112" localSheetId="4">#REF!</definedName>
    <definedName name="Page112">#REF!</definedName>
    <definedName name="Page113" localSheetId="1">#REF!</definedName>
    <definedName name="Page113" localSheetId="3">#REF!</definedName>
    <definedName name="Page113" localSheetId="4">#REF!</definedName>
    <definedName name="Page113">#REF!</definedName>
    <definedName name="Page114" localSheetId="1">#REF!</definedName>
    <definedName name="Page114" localSheetId="3">#REF!</definedName>
    <definedName name="Page114" localSheetId="4">#REF!</definedName>
    <definedName name="Page114">#REF!</definedName>
    <definedName name="Page115" localSheetId="1">#REF!</definedName>
    <definedName name="Page115" localSheetId="3">#REF!</definedName>
    <definedName name="Page115" localSheetId="4">#REF!</definedName>
    <definedName name="Page115">#REF!</definedName>
    <definedName name="Page116" localSheetId="1">#REF!</definedName>
    <definedName name="Page116" localSheetId="3">#REF!</definedName>
    <definedName name="Page116" localSheetId="4">#REF!</definedName>
    <definedName name="Page116">#REF!</definedName>
    <definedName name="Page117" localSheetId="1">#REF!</definedName>
    <definedName name="Page117" localSheetId="3">#REF!</definedName>
    <definedName name="Page117" localSheetId="4">#REF!</definedName>
    <definedName name="Page117">#REF!</definedName>
    <definedName name="Page118" localSheetId="1">#REF!</definedName>
    <definedName name="Page118" localSheetId="3">#REF!</definedName>
    <definedName name="Page118" localSheetId="4">#REF!</definedName>
    <definedName name="Page118">#REF!</definedName>
    <definedName name="Page119" localSheetId="1">#REF!</definedName>
    <definedName name="Page119" localSheetId="3">#REF!</definedName>
    <definedName name="Page119" localSheetId="4">#REF!</definedName>
    <definedName name="Page119">#REF!</definedName>
    <definedName name="Page120" localSheetId="1">#REF!</definedName>
    <definedName name="Page120" localSheetId="3">#REF!</definedName>
    <definedName name="Page120" localSheetId="4">#REF!</definedName>
    <definedName name="Page120">#REF!</definedName>
    <definedName name="Page121" localSheetId="1">#REF!</definedName>
    <definedName name="Page121" localSheetId="3">#REF!</definedName>
    <definedName name="Page121" localSheetId="4">#REF!</definedName>
    <definedName name="Page121">#REF!</definedName>
    <definedName name="Page122" localSheetId="1">#REF!</definedName>
    <definedName name="Page122" localSheetId="3">#REF!</definedName>
    <definedName name="Page122" localSheetId="4">#REF!</definedName>
    <definedName name="Page122">#REF!</definedName>
    <definedName name="Page123" localSheetId="1">#REF!</definedName>
    <definedName name="Page123" localSheetId="3">#REF!</definedName>
    <definedName name="Page123" localSheetId="4">#REF!</definedName>
    <definedName name="Page123">#REF!</definedName>
    <definedName name="page63" localSheetId="1">'[1]Energy Factor'!#REF!</definedName>
    <definedName name="page63" localSheetId="3">'[1]Energy Factor'!#REF!</definedName>
    <definedName name="page63" localSheetId="4">'[1]Energy Factor'!#REF!</definedName>
    <definedName name="page63">'[1]Energy Factor'!#REF!</definedName>
    <definedName name="page64" localSheetId="1">'[1]Energy Factor'!#REF!</definedName>
    <definedName name="page64" localSheetId="3">'[1]Energy Factor'!#REF!</definedName>
    <definedName name="page64" localSheetId="4">'[1]Energy Factor'!#REF!</definedName>
    <definedName name="page64">'[1]Energy Factor'!#REF!</definedName>
    <definedName name="PSATable">[2]Hermiston!$A$41:$E$56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</workbook>
</file>

<file path=xl/calcChain.xml><?xml version="1.0" encoding="utf-8"?>
<calcChain xmlns="http://schemas.openxmlformats.org/spreadsheetml/2006/main">
  <c r="S41" i="5" l="1"/>
  <c r="G40" i="5"/>
  <c r="H40" i="5" s="1"/>
  <c r="F35" i="5"/>
  <c r="F24" i="5"/>
  <c r="F21" i="5"/>
  <c r="F20" i="5"/>
  <c r="F22" i="5" s="1"/>
  <c r="F14" i="5"/>
  <c r="F11" i="5"/>
  <c r="F10" i="5"/>
  <c r="F12" i="5" s="1"/>
  <c r="G6" i="5"/>
  <c r="G21" i="5" s="1"/>
  <c r="A3" i="5"/>
  <c r="A2" i="5"/>
  <c r="A1" i="5"/>
  <c r="S41" i="4"/>
  <c r="G40" i="4"/>
  <c r="H40" i="4" s="1"/>
  <c r="F35" i="4"/>
  <c r="F24" i="4"/>
  <c r="F21" i="4"/>
  <c r="F20" i="4"/>
  <c r="F22" i="4" s="1"/>
  <c r="F14" i="4"/>
  <c r="F11" i="4"/>
  <c r="F10" i="4"/>
  <c r="F12" i="4" s="1"/>
  <c r="F16" i="4" s="1"/>
  <c r="G6" i="4"/>
  <c r="G10" i="4" s="1"/>
  <c r="A3" i="4"/>
  <c r="A2" i="4"/>
  <c r="A1" i="4"/>
  <c r="Q44" i="3"/>
  <c r="P44" i="3"/>
  <c r="O44" i="3"/>
  <c r="N44" i="3"/>
  <c r="M44" i="3"/>
  <c r="L44" i="3"/>
  <c r="K44" i="3"/>
  <c r="J44" i="3"/>
  <c r="I44" i="3"/>
  <c r="S41" i="3"/>
  <c r="G40" i="3"/>
  <c r="H40" i="3" s="1"/>
  <c r="F35" i="3"/>
  <c r="F24" i="3"/>
  <c r="F21" i="3"/>
  <c r="F20" i="3"/>
  <c r="F22" i="3" s="1"/>
  <c r="F14" i="3"/>
  <c r="F11" i="3"/>
  <c r="H10" i="3"/>
  <c r="G10" i="3"/>
  <c r="F10" i="3"/>
  <c r="H6" i="3"/>
  <c r="H20" i="3" s="1"/>
  <c r="G6" i="3"/>
  <c r="G20" i="3" s="1"/>
  <c r="A3" i="3"/>
  <c r="A2" i="3"/>
  <c r="A1" i="3"/>
  <c r="S50" i="2"/>
  <c r="G49" i="2"/>
  <c r="H49" i="2" s="1"/>
  <c r="F44" i="2"/>
  <c r="S33" i="2"/>
  <c r="H33" i="2"/>
  <c r="G33" i="2"/>
  <c r="F33" i="2"/>
  <c r="F30" i="2"/>
  <c r="D30" i="2"/>
  <c r="F29" i="2"/>
  <c r="F24" i="2"/>
  <c r="H21" i="2"/>
  <c r="G21" i="2"/>
  <c r="F21" i="2"/>
  <c r="D21" i="2"/>
  <c r="F18" i="2"/>
  <c r="G14" i="2"/>
  <c r="H14" i="2" s="1"/>
  <c r="S14" i="2" s="1"/>
  <c r="F11" i="2"/>
  <c r="H10" i="2"/>
  <c r="G10" i="2"/>
  <c r="F10" i="2"/>
  <c r="F12" i="2" s="1"/>
  <c r="F16" i="2" s="1"/>
  <c r="F20" i="2" s="1"/>
  <c r="G6" i="2"/>
  <c r="G29" i="2" s="1"/>
  <c r="A3" i="2"/>
  <c r="A2" i="2"/>
  <c r="A1" i="2"/>
  <c r="B33" i="1"/>
  <c r="B30" i="1"/>
  <c r="D21" i="4" s="1"/>
  <c r="B24" i="1"/>
  <c r="D20" i="3" s="1"/>
  <c r="B17" i="1"/>
  <c r="D29" i="2" l="1"/>
  <c r="D20" i="4"/>
  <c r="G14" i="5"/>
  <c r="F31" i="2"/>
  <c r="F35" i="2" s="1"/>
  <c r="G24" i="3"/>
  <c r="G35" i="5"/>
  <c r="S21" i="2"/>
  <c r="D33" i="2"/>
  <c r="B25" i="1"/>
  <c r="B26" i="1" s="1"/>
  <c r="B27" i="1" s="1"/>
  <c r="S10" i="2"/>
  <c r="G35" i="4"/>
  <c r="G14" i="4"/>
  <c r="F22" i="2"/>
  <c r="F25" i="2" s="1"/>
  <c r="F39" i="2" s="1"/>
  <c r="F41" i="2" s="1"/>
  <c r="F26" i="3"/>
  <c r="D11" i="2"/>
  <c r="A11" i="3"/>
  <c r="A12" i="3" s="1"/>
  <c r="A10" i="3"/>
  <c r="G44" i="2"/>
  <c r="H6" i="2"/>
  <c r="A10" i="2"/>
  <c r="G11" i="2"/>
  <c r="G12" i="2" s="1"/>
  <c r="G16" i="2" s="1"/>
  <c r="G30" i="2"/>
  <c r="S24" i="3"/>
  <c r="G11" i="4"/>
  <c r="D10" i="3"/>
  <c r="D10" i="5"/>
  <c r="D10" i="4"/>
  <c r="B18" i="1"/>
  <c r="B19" i="1" s="1"/>
  <c r="B20" i="1" s="1"/>
  <c r="B21" i="1" s="1"/>
  <c r="D10" i="2"/>
  <c r="G18" i="2"/>
  <c r="G24" i="2"/>
  <c r="F26" i="5"/>
  <c r="B34" i="1"/>
  <c r="D18" i="2"/>
  <c r="H24" i="3"/>
  <c r="I6" i="3"/>
  <c r="J6" i="3" s="1"/>
  <c r="K6" i="3" s="1"/>
  <c r="L6" i="3" s="1"/>
  <c r="M6" i="3" s="1"/>
  <c r="N6" i="3" s="1"/>
  <c r="O6" i="3" s="1"/>
  <c r="P6" i="3" s="1"/>
  <c r="Q6" i="3" s="1"/>
  <c r="H14" i="3"/>
  <c r="S10" i="3"/>
  <c r="F12" i="3"/>
  <c r="H11" i="3"/>
  <c r="H12" i="3" s="1"/>
  <c r="H16" i="3" s="1"/>
  <c r="S14" i="3"/>
  <c r="S20" i="3"/>
  <c r="H21" i="3"/>
  <c r="H22" i="3" s="1"/>
  <c r="H26" i="3" s="1"/>
  <c r="H35" i="3"/>
  <c r="G24" i="4"/>
  <c r="H6" i="4"/>
  <c r="G21" i="4"/>
  <c r="G20" i="4"/>
  <c r="F26" i="4"/>
  <c r="F30" i="4" s="1"/>
  <c r="F32" i="4" s="1"/>
  <c r="F16" i="5"/>
  <c r="D21" i="3"/>
  <c r="D11" i="3"/>
  <c r="D11" i="4"/>
  <c r="D11" i="5"/>
  <c r="G20" i="5"/>
  <c r="G24" i="5"/>
  <c r="H6" i="5"/>
  <c r="G10" i="5"/>
  <c r="G11" i="5"/>
  <c r="D20" i="5"/>
  <c r="D21" i="5"/>
  <c r="G21" i="3"/>
  <c r="S21" i="3" s="1"/>
  <c r="G35" i="3"/>
  <c r="G11" i="3"/>
  <c r="S11" i="3" s="1"/>
  <c r="G14" i="3"/>
  <c r="A10" i="4"/>
  <c r="A10" i="5"/>
  <c r="A11" i="5" s="1"/>
  <c r="A12" i="5" s="1"/>
  <c r="A11" i="4" l="1"/>
  <c r="A12" i="4" s="1"/>
  <c r="A14" i="4" s="1"/>
  <c r="S35" i="3"/>
  <c r="H30" i="3"/>
  <c r="H32" i="3" s="1"/>
  <c r="H34" i="3" s="1"/>
  <c r="H36" i="3" s="1"/>
  <c r="H42" i="3" s="1"/>
  <c r="G22" i="3"/>
  <c r="G26" i="3" s="1"/>
  <c r="G20" i="2"/>
  <c r="G22" i="2" s="1"/>
  <c r="G25" i="2" s="1"/>
  <c r="A14" i="5"/>
  <c r="D16" i="5" s="1"/>
  <c r="A16" i="5"/>
  <c r="A20" i="5" s="1"/>
  <c r="F34" i="4"/>
  <c r="G22" i="5"/>
  <c r="D14" i="3"/>
  <c r="B35" i="1"/>
  <c r="G12" i="3"/>
  <c r="G16" i="3" s="1"/>
  <c r="S22" i="3"/>
  <c r="S26" i="3" s="1"/>
  <c r="D12" i="4"/>
  <c r="G12" i="5"/>
  <c r="A11" i="2"/>
  <c r="F30" i="5"/>
  <c r="F32" i="5" s="1"/>
  <c r="G22" i="4"/>
  <c r="H30" i="2"/>
  <c r="S30" i="2" s="1"/>
  <c r="H11" i="2"/>
  <c r="H24" i="2"/>
  <c r="H18" i="2"/>
  <c r="S18" i="2" s="1"/>
  <c r="I6" i="2"/>
  <c r="J6" i="2" s="1"/>
  <c r="K6" i="2" s="1"/>
  <c r="L6" i="2" s="1"/>
  <c r="M6" i="2" s="1"/>
  <c r="N6" i="2" s="1"/>
  <c r="O6" i="2" s="1"/>
  <c r="P6" i="2" s="1"/>
  <c r="Q6" i="2" s="1"/>
  <c r="H44" i="2"/>
  <c r="S44" i="2" s="1"/>
  <c r="H29" i="2"/>
  <c r="D12" i="5"/>
  <c r="H35" i="5"/>
  <c r="S35" i="5" s="1"/>
  <c r="H21" i="5"/>
  <c r="S21" i="5" s="1"/>
  <c r="H10" i="5"/>
  <c r="S10" i="5" s="1"/>
  <c r="H20" i="5"/>
  <c r="H22" i="5" s="1"/>
  <c r="H14" i="5"/>
  <c r="S14" i="5" s="1"/>
  <c r="H11" i="5"/>
  <c r="S11" i="5" s="1"/>
  <c r="H24" i="5"/>
  <c r="S24" i="5" s="1"/>
  <c r="I6" i="5"/>
  <c r="J6" i="5" s="1"/>
  <c r="K6" i="5" s="1"/>
  <c r="L6" i="5" s="1"/>
  <c r="M6" i="5" s="1"/>
  <c r="N6" i="5" s="1"/>
  <c r="O6" i="5" s="1"/>
  <c r="P6" i="5" s="1"/>
  <c r="Q6" i="5" s="1"/>
  <c r="S21" i="4"/>
  <c r="S12" i="3"/>
  <c r="S16" i="3" s="1"/>
  <c r="F16" i="3"/>
  <c r="F30" i="3" s="1"/>
  <c r="F32" i="3" s="1"/>
  <c r="G31" i="2"/>
  <c r="H35" i="4"/>
  <c r="S35" i="4" s="1"/>
  <c r="H21" i="4"/>
  <c r="H10" i="4"/>
  <c r="H20" i="4"/>
  <c r="H14" i="4"/>
  <c r="S14" i="4" s="1"/>
  <c r="H11" i="4"/>
  <c r="S11" i="4" s="1"/>
  <c r="H24" i="4"/>
  <c r="S24" i="4" s="1"/>
  <c r="I6" i="4"/>
  <c r="J6" i="4" s="1"/>
  <c r="K6" i="4" s="1"/>
  <c r="L6" i="4" s="1"/>
  <c r="M6" i="4" s="1"/>
  <c r="N6" i="4" s="1"/>
  <c r="O6" i="4" s="1"/>
  <c r="P6" i="4" s="1"/>
  <c r="Q6" i="4" s="1"/>
  <c r="S24" i="2"/>
  <c r="D12" i="3"/>
  <c r="A14" i="3"/>
  <c r="G12" i="4"/>
  <c r="F43" i="2"/>
  <c r="G30" i="3" l="1"/>
  <c r="G32" i="3" s="1"/>
  <c r="G34" i="3" s="1"/>
  <c r="G36" i="3" s="1"/>
  <c r="G42" i="3" s="1"/>
  <c r="H26" i="5"/>
  <c r="H22" i="4"/>
  <c r="H26" i="4" s="1"/>
  <c r="S30" i="3"/>
  <c r="H12" i="2"/>
  <c r="H16" i="2" s="1"/>
  <c r="H20" i="2" s="1"/>
  <c r="S11" i="2"/>
  <c r="S12" i="2" s="1"/>
  <c r="S16" i="2" s="1"/>
  <c r="G16" i="5"/>
  <c r="F36" i="4"/>
  <c r="A12" i="2"/>
  <c r="H12" i="4"/>
  <c r="H16" i="4" s="1"/>
  <c r="S10" i="4"/>
  <c r="G35" i="2"/>
  <c r="G26" i="4"/>
  <c r="G26" i="5"/>
  <c r="S22" i="5"/>
  <c r="S26" i="5" s="1"/>
  <c r="G39" i="2"/>
  <c r="G41" i="2" s="1"/>
  <c r="F45" i="2"/>
  <c r="A16" i="4"/>
  <c r="A16" i="3"/>
  <c r="A20" i="3" s="1"/>
  <c r="F34" i="3"/>
  <c r="S32" i="3"/>
  <c r="H31" i="2"/>
  <c r="H35" i="2" s="1"/>
  <c r="S29" i="2"/>
  <c r="F34" i="5"/>
  <c r="D12" i="2"/>
  <c r="D14" i="5"/>
  <c r="D14" i="4"/>
  <c r="D24" i="2"/>
  <c r="D16" i="4"/>
  <c r="G16" i="4"/>
  <c r="G30" i="4" s="1"/>
  <c r="G32" i="4" s="1"/>
  <c r="S12" i="4"/>
  <c r="S16" i="4" s="1"/>
  <c r="A21" i="5"/>
  <c r="H12" i="5"/>
  <c r="H16" i="5" s="1"/>
  <c r="H30" i="5" s="1"/>
  <c r="H32" i="5" s="1"/>
  <c r="H34" i="5" s="1"/>
  <c r="H36" i="5" s="1"/>
  <c r="H42" i="5" s="1"/>
  <c r="S20" i="4"/>
  <c r="A20" i="4"/>
  <c r="S20" i="5"/>
  <c r="D16" i="3"/>
  <c r="S22" i="4" l="1"/>
  <c r="S26" i="4" s="1"/>
  <c r="S30" i="4"/>
  <c r="H22" i="2"/>
  <c r="H25" i="2" s="1"/>
  <c r="H39" i="2" s="1"/>
  <c r="H41" i="2" s="1"/>
  <c r="H43" i="2" s="1"/>
  <c r="H45" i="2" s="1"/>
  <c r="H51" i="2" s="1"/>
  <c r="S20" i="2"/>
  <c r="S22" i="2" s="1"/>
  <c r="S25" i="2" s="1"/>
  <c r="G43" i="2"/>
  <c r="S41" i="2"/>
  <c r="A24" i="5"/>
  <c r="F36" i="3"/>
  <c r="S34" i="3"/>
  <c r="F51" i="2"/>
  <c r="S31" i="2"/>
  <c r="S35" i="2" s="1"/>
  <c r="S12" i="5"/>
  <c r="S16" i="5" s="1"/>
  <c r="S30" i="5" s="1"/>
  <c r="A26" i="5"/>
  <c r="D30" i="5" s="1"/>
  <c r="F36" i="5"/>
  <c r="A21" i="4"/>
  <c r="A21" i="3"/>
  <c r="A22" i="5"/>
  <c r="H30" i="4"/>
  <c r="H32" i="4" s="1"/>
  <c r="H34" i="4" s="1"/>
  <c r="H36" i="4" s="1"/>
  <c r="H42" i="4" s="1"/>
  <c r="F42" i="4"/>
  <c r="G30" i="5"/>
  <c r="G32" i="5" s="1"/>
  <c r="G34" i="4"/>
  <c r="D22" i="5"/>
  <c r="A14" i="2"/>
  <c r="A16" i="2" s="1"/>
  <c r="G36" i="4" l="1"/>
  <c r="S34" i="4"/>
  <c r="A24" i="3"/>
  <c r="A30" i="5"/>
  <c r="A22" i="4"/>
  <c r="A24" i="4" s="1"/>
  <c r="A26" i="4" s="1"/>
  <c r="D30" i="4" s="1"/>
  <c r="D22" i="4"/>
  <c r="D16" i="2"/>
  <c r="A18" i="2"/>
  <c r="D22" i="3"/>
  <c r="F43" i="4"/>
  <c r="F44" i="4"/>
  <c r="G41" i="4" s="1"/>
  <c r="F52" i="2"/>
  <c r="F53" i="2"/>
  <c r="G50" i="2" s="1"/>
  <c r="S39" i="2"/>
  <c r="A22" i="3"/>
  <c r="A26" i="3" s="1"/>
  <c r="D30" i="3" s="1"/>
  <c r="F42" i="5"/>
  <c r="S36" i="3"/>
  <c r="F42" i="3"/>
  <c r="A32" i="5"/>
  <c r="S32" i="4"/>
  <c r="G34" i="5"/>
  <c r="S32" i="5"/>
  <c r="D26" i="5"/>
  <c r="G45" i="2"/>
  <c r="S43" i="2"/>
  <c r="D34" i="5" l="1"/>
  <c r="A34" i="5"/>
  <c r="A35" i="5" s="1"/>
  <c r="S42" i="3"/>
  <c r="F43" i="3"/>
  <c r="F44" i="3"/>
  <c r="G41" i="3" s="1"/>
  <c r="F43" i="5"/>
  <c r="F44" i="5" s="1"/>
  <c r="G41" i="5" s="1"/>
  <c r="A30" i="3"/>
  <c r="D32" i="3" s="1"/>
  <c r="D32" i="5"/>
  <c r="G51" i="2"/>
  <c r="S51" i="2" s="1"/>
  <c r="S45" i="2"/>
  <c r="G36" i="5"/>
  <c r="S34" i="5"/>
  <c r="D20" i="2"/>
  <c r="D26" i="3"/>
  <c r="D26" i="4"/>
  <c r="A30" i="4"/>
  <c r="G42" i="4"/>
  <c r="S42" i="4" s="1"/>
  <c r="S36" i="4"/>
  <c r="A20" i="2"/>
  <c r="A32" i="3" l="1"/>
  <c r="D34" i="3" s="1"/>
  <c r="A36" i="5"/>
  <c r="G42" i="5"/>
  <c r="S42" i="5" s="1"/>
  <c r="S36" i="5"/>
  <c r="A34" i="3"/>
  <c r="G43" i="3"/>
  <c r="G44" i="3"/>
  <c r="H41" i="3" s="1"/>
  <c r="A21" i="2"/>
  <c r="A22" i="2" s="1"/>
  <c r="D32" i="4"/>
  <c r="A32" i="4"/>
  <c r="G43" i="4"/>
  <c r="G52" i="2"/>
  <c r="D36" i="5"/>
  <c r="D22" i="2" l="1"/>
  <c r="H43" i="3"/>
  <c r="S43" i="3" s="1"/>
  <c r="S44" i="3" s="1"/>
  <c r="A35" i="3"/>
  <c r="G43" i="5"/>
  <c r="G44" i="5" s="1"/>
  <c r="H41" i="5" s="1"/>
  <c r="D34" i="4"/>
  <c r="A34" i="4"/>
  <c r="G53" i="2"/>
  <c r="H50" i="2" s="1"/>
  <c r="D42" i="5"/>
  <c r="A40" i="5"/>
  <c r="A24" i="2"/>
  <c r="A25" i="2" s="1"/>
  <c r="G44" i="4"/>
  <c r="H41" i="4" s="1"/>
  <c r="H44" i="3" l="1"/>
  <c r="A29" i="2"/>
  <c r="H52" i="2"/>
  <c r="S52" i="2" s="1"/>
  <c r="S53" i="2" s="1"/>
  <c r="H43" i="5"/>
  <c r="H44" i="5" s="1"/>
  <c r="D25" i="2"/>
  <c r="A35" i="4"/>
  <c r="A36" i="4" s="1"/>
  <c r="A36" i="3"/>
  <c r="D42" i="3" s="1"/>
  <c r="A41" i="5"/>
  <c r="D36" i="3"/>
  <c r="H43" i="4"/>
  <c r="S43" i="4" s="1"/>
  <c r="S44" i="4" s="1"/>
  <c r="S43" i="5"/>
  <c r="S44" i="5" s="1"/>
  <c r="D36" i="4" l="1"/>
  <c r="H44" i="4"/>
  <c r="A40" i="3"/>
  <c r="A30" i="2"/>
  <c r="A31" i="2" s="1"/>
  <c r="A41" i="3"/>
  <c r="H53" i="2"/>
  <c r="A42" i="5"/>
  <c r="D42" i="4"/>
  <c r="A40" i="4"/>
  <c r="A42" i="3" l="1"/>
  <c r="A43" i="3" s="1"/>
  <c r="A44" i="3" s="1"/>
  <c r="D41" i="3" s="1"/>
  <c r="A43" i="5"/>
  <c r="D43" i="5"/>
  <c r="D43" i="3"/>
  <c r="A33" i="2"/>
  <c r="A35" i="2" s="1"/>
  <c r="A41" i="4"/>
  <c r="D31" i="2"/>
  <c r="A39" i="2" l="1"/>
  <c r="D39" i="2"/>
  <c r="D35" i="2"/>
  <c r="A44" i="5"/>
  <c r="D41" i="5" s="1"/>
  <c r="D44" i="5"/>
  <c r="A42" i="4"/>
  <c r="D44" i="3"/>
  <c r="A43" i="4" l="1"/>
  <c r="D43" i="4"/>
  <c r="A41" i="2"/>
  <c r="D41" i="2"/>
  <c r="D43" i="2" l="1"/>
  <c r="A43" i="2"/>
  <c r="A44" i="4"/>
  <c r="D41" i="4" s="1"/>
  <c r="D44" i="4"/>
  <c r="A44" i="2" l="1"/>
  <c r="A45" i="2" s="1"/>
  <c r="D51" i="2" l="1"/>
  <c r="A49" i="2"/>
  <c r="D45" i="2"/>
  <c r="A50" i="2" l="1"/>
  <c r="A51" i="2" l="1"/>
  <c r="A52" i="2" s="1"/>
  <c r="A53" i="2" s="1"/>
  <c r="D50" i="2" s="1"/>
  <c r="D52" i="2" l="1"/>
  <c r="D53" i="2"/>
</calcChain>
</file>

<file path=xl/sharedStrings.xml><?xml version="1.0" encoding="utf-8"?>
<sst xmlns="http://schemas.openxmlformats.org/spreadsheetml/2006/main" count="169" uniqueCount="76">
  <si>
    <t>Workpaper Index</t>
  </si>
  <si>
    <t>Description:</t>
  </si>
  <si>
    <t>Utah Energy Balancing Account Mechanism</t>
  </si>
  <si>
    <t>Deferral Period:</t>
  </si>
  <si>
    <t>January 1, 2014 - December 31, 2014</t>
  </si>
  <si>
    <t>Exhibit 1</t>
  </si>
  <si>
    <t>Stipulated Scalar Energy Balancing Account Calculation</t>
  </si>
  <si>
    <t>Exhibit 2</t>
  </si>
  <si>
    <t>Docket 09-035-15 Commission Order Calculation (Dynamic Annual Allocation Factor)</t>
  </si>
  <si>
    <t>Exhibit 3</t>
  </si>
  <si>
    <t>Docket 11-035-200 Stipulation Exhibit A2 Method (Simplified Annual Allocation)</t>
  </si>
  <si>
    <t>Exhibit 4</t>
  </si>
  <si>
    <t>Docket 11-035-200 Stipulation Exhibit A3 Method (Monthly Allocation)</t>
  </si>
  <si>
    <t>Workpaper 5</t>
  </si>
  <si>
    <t>Calculation of Utah Allocated Actual Net Power Cost</t>
  </si>
  <si>
    <t>Utah Allocated Adjusted Actual Net Power Cost</t>
  </si>
  <si>
    <t>Adjusted Actual Net Power Cost by Category</t>
  </si>
  <si>
    <t>Adjusted Actual Net Power Cost</t>
  </si>
  <si>
    <t>Out-of-Period Adjustments</t>
  </si>
  <si>
    <t>Actual Net Power Cost as Booked</t>
  </si>
  <si>
    <t>Workpaper 6</t>
  </si>
  <si>
    <t>Calculation of Utah Base Net Power Cost</t>
  </si>
  <si>
    <t>Base Net Power Cost Summary</t>
  </si>
  <si>
    <t>Utah Allocated Base Net Power Cost in Docket 11-035-200</t>
  </si>
  <si>
    <t>Base Net Power Cost by Category in Docket 11-035-200</t>
  </si>
  <si>
    <t>Base Net Power Cost in Docket 11-035-200</t>
  </si>
  <si>
    <t>Workpaper 7</t>
  </si>
  <si>
    <t>Wheeling Revenues</t>
  </si>
  <si>
    <t>Wheeling Revenues: In-Rates and Actuals</t>
  </si>
  <si>
    <t>Workpaper 8</t>
  </si>
  <si>
    <t>Allocation Factors and Sales</t>
  </si>
  <si>
    <t>Actual Allocation Factors</t>
  </si>
  <si>
    <t>Dynamic Scalar</t>
  </si>
  <si>
    <t>Utah Jurisdictional Sales</t>
  </si>
  <si>
    <t>Line No.</t>
  </si>
  <si>
    <t>Reference</t>
  </si>
  <si>
    <t>Total</t>
  </si>
  <si>
    <t>Actual:</t>
  </si>
  <si>
    <t>Total Company NPC</t>
  </si>
  <si>
    <t>Net System Load</t>
  </si>
  <si>
    <t>Total Company NPC $/MWH</t>
  </si>
  <si>
    <t>PRIOR YEAR</t>
  </si>
  <si>
    <t>Scaled Utah NPC $/MWH</t>
  </si>
  <si>
    <t>Utah Load</t>
  </si>
  <si>
    <t>Utah Allocated NPC</t>
  </si>
  <si>
    <t>Utah Allocated Wheeling Revenues</t>
  </si>
  <si>
    <t>Total Energy Balancing Account Costs</t>
  </si>
  <si>
    <t>Utah Sales</t>
  </si>
  <si>
    <t xml:space="preserve">Utah EBA $/MWh </t>
  </si>
  <si>
    <t>Base:</t>
  </si>
  <si>
    <t>NPC</t>
  </si>
  <si>
    <t>Wheeling Revenue</t>
  </si>
  <si>
    <t>Jurisdictional Sales</t>
  </si>
  <si>
    <t>Base Utah EBA $/MWh</t>
  </si>
  <si>
    <t>Deferral:</t>
  </si>
  <si>
    <t>$/ MWH Differential</t>
  </si>
  <si>
    <t>Total Deferrable</t>
  </si>
  <si>
    <t>Incremental EBA Deferral at 70% Sharing</t>
  </si>
  <si>
    <t>Additional FERC ER11-3643 Revenues</t>
  </si>
  <si>
    <t>Note 1</t>
  </si>
  <si>
    <t xml:space="preserve">Incremental Deferral </t>
  </si>
  <si>
    <t>Energy Balancing Account:</t>
  </si>
  <si>
    <t>Monthly Interest Rate</t>
  </si>
  <si>
    <t>Note 2</t>
  </si>
  <si>
    <t>Beginning Balance</t>
  </si>
  <si>
    <t>Incremental Deferral</t>
  </si>
  <si>
    <t>Interest</t>
  </si>
  <si>
    <t>Ending Balance</t>
  </si>
  <si>
    <t xml:space="preserve">Notes: </t>
  </si>
  <si>
    <t xml:space="preserve">FERC issued an order approving a settlement in ER11-3643 May 23, 2013.  The impact of the order is under review and will be reflected in the Company's annual EBA filing. </t>
  </si>
  <si>
    <t>Docket No. 09-035-15, March 2, 2011 Report and Order, Page 79</t>
  </si>
  <si>
    <t>Actual: Utah Allocated</t>
  </si>
  <si>
    <t>Actual Utah $/MWh</t>
  </si>
  <si>
    <t>Base:  Utah Allocated</t>
  </si>
  <si>
    <t>Base Utah $/MWh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</si>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</sst>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%"/>
    <numFmt numFmtId="166" formatCode="_(&quot;$&quot;\ #,##0.00_);_(&quot;$&quot;* \(#,##0.00\);_(&quot;$&quot;* &quot;-&quot;??_);_(@_)"/>
    <numFmt numFmtId="167" formatCode="_(* #,##0.00000_);_(* \(#,##0.00000\);_(* &quot;-&quot;_);_(@_)"/>
    <numFmt numFmtId="168" formatCode="_(* #,##0_);_(* \(#,##0\);_(* &quot;-&quot;??_);_(@_)"/>
    <numFmt numFmtId="169" formatCode="_(&quot;$&quot;\ #,##0.00_);_(&quot;$&quot;\ \(#,##0.00\);_(&quot;$&quot;\ &quot;-&quot;??_);_(@_)"/>
    <numFmt numFmtId="170" formatCode="_-* #,##0\ &quot;F&quot;_-;\-* #,##0\ &quot;F&quot;_-;_-* &quot;-&quot;\ &quot;F&quot;_-;_-@_-"/>
    <numFmt numFmtId="171" formatCode="_(* #,##0.00_);[Red]_(* \(#,##0.00\);_(* &quot;-&quot;??_);_(@_)"/>
    <numFmt numFmtId="172" formatCode="&quot;$&quot;###0;[Red]\(&quot;$&quot;###0\)"/>
    <numFmt numFmtId="173" formatCode="0.0"/>
    <numFmt numFmtId="174" formatCode="#,##0.000;[Red]\-#,##0.000"/>
    <numFmt numFmtId="175" formatCode="_(* #,##0_);[Red]_(* \(#,##0\);_(* &quot;-&quot;_);_(@_)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Helv"/>
    </font>
    <font>
      <b/>
      <sz val="16"/>
      <name val="Times New Roman"/>
      <family val="1"/>
    </font>
    <font>
      <sz val="8"/>
      <color theme="1"/>
      <name val="Courier New"/>
      <family val="2"/>
    </font>
    <font>
      <sz val="10"/>
      <name val="Swiss"/>
      <family val="2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0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8" fillId="2" borderId="0" applyNumberFormat="0" applyBorder="0" applyAlignment="0" applyProtection="0"/>
    <xf numFmtId="0" fontId="11" fillId="0" borderId="0"/>
    <xf numFmtId="0" fontId="3" fillId="0" borderId="4" applyNumberFormat="0" applyAlignment="0" applyProtection="0">
      <alignment horizontal="left" vertical="center"/>
    </xf>
    <xf numFmtId="0" fontId="3" fillId="0" borderId="5">
      <alignment horizontal="left" vertical="center"/>
    </xf>
    <xf numFmtId="10" fontId="8" fillId="3" borderId="6" applyNumberFormat="0" applyBorder="0" applyAlignment="0" applyProtection="0"/>
    <xf numFmtId="173" fontId="7" fillId="0" borderId="0" applyNumberFormat="0" applyFill="0" applyBorder="0" applyAlignment="0" applyProtection="0"/>
    <xf numFmtId="0" fontId="8" fillId="0" borderId="7" applyNumberFormat="0" applyBorder="0" applyAlignment="0"/>
    <xf numFmtId="174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175" fontId="2" fillId="0" borderId="0"/>
    <xf numFmtId="41" fontId="2" fillId="0" borderId="0"/>
    <xf numFmtId="0" fontId="2" fillId="0" borderId="0"/>
    <xf numFmtId="0" fontId="1" fillId="0" borderId="0"/>
    <xf numFmtId="0" fontId="2" fillId="0" borderId="0"/>
    <xf numFmtId="41" fontId="13" fillId="0" borderId="0" applyFont="0" applyFill="0" applyBorder="0" applyAlignment="0" applyProtection="0"/>
    <xf numFmtId="175" fontId="2" fillId="0" borderId="0"/>
    <xf numFmtId="0" fontId="2" fillId="0" borderId="0"/>
    <xf numFmtId="175" fontId="2" fillId="0" borderId="0"/>
    <xf numFmtId="0" fontId="14" fillId="0" borderId="0"/>
    <xf numFmtId="0" fontId="2" fillId="0" borderId="0"/>
    <xf numFmtId="0" fontId="12" fillId="0" borderId="0"/>
    <xf numFmtId="12" fontId="3" fillId="4" borderId="8">
      <alignment horizontal="left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6" fillId="5" borderId="9" applyNumberFormat="0" applyProtection="0">
      <alignment vertical="center"/>
    </xf>
    <xf numFmtId="4" fontId="17" fillId="6" borderId="9" applyNumberFormat="0" applyProtection="0">
      <alignment vertical="center"/>
    </xf>
    <xf numFmtId="4" fontId="16" fillId="6" borderId="9" applyNumberFormat="0" applyProtection="0">
      <alignment vertical="center"/>
    </xf>
    <xf numFmtId="0" fontId="16" fillId="6" borderId="9" applyNumberFormat="0" applyProtection="0">
      <alignment horizontal="left" vertical="top" indent="1"/>
    </xf>
    <xf numFmtId="4" fontId="16" fillId="7" borderId="10" applyNumberFormat="0" applyProtection="0">
      <alignment vertical="center"/>
    </xf>
    <xf numFmtId="4" fontId="14" fillId="8" borderId="9" applyNumberFormat="0" applyProtection="0">
      <alignment horizontal="right" vertical="center"/>
    </xf>
    <xf numFmtId="4" fontId="14" fillId="9" borderId="9" applyNumberFormat="0" applyProtection="0">
      <alignment horizontal="right" vertical="center"/>
    </xf>
    <xf numFmtId="4" fontId="14" fillId="10" borderId="9" applyNumberFormat="0" applyProtection="0">
      <alignment horizontal="right" vertical="center"/>
    </xf>
    <xf numFmtId="4" fontId="14" fillId="11" borderId="9" applyNumberFormat="0" applyProtection="0">
      <alignment horizontal="right" vertical="center"/>
    </xf>
    <xf numFmtId="4" fontId="14" fillId="12" borderId="9" applyNumberFormat="0" applyProtection="0">
      <alignment horizontal="right" vertical="center"/>
    </xf>
    <xf numFmtId="4" fontId="14" fillId="13" borderId="9" applyNumberFormat="0" applyProtection="0">
      <alignment horizontal="right" vertical="center"/>
    </xf>
    <xf numFmtId="4" fontId="14" fillId="14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16" borderId="9" applyNumberFormat="0" applyProtection="0">
      <alignment horizontal="right" vertical="center"/>
    </xf>
    <xf numFmtId="4" fontId="16" fillId="17" borderId="11" applyNumberFormat="0" applyProtection="0">
      <alignment horizontal="left" vertical="center" indent="1"/>
    </xf>
    <xf numFmtId="4" fontId="14" fillId="18" borderId="0" applyNumberFormat="0" applyProtection="0">
      <alignment horizontal="left" vertical="center" indent="1"/>
    </xf>
    <xf numFmtId="4" fontId="18" fillId="19" borderId="0" applyNumberFormat="0" applyProtection="0">
      <alignment horizontal="left" vertical="center" indent="1"/>
    </xf>
    <xf numFmtId="4" fontId="14" fillId="20" borderId="9" applyNumberFormat="0" applyProtection="0">
      <alignment horizontal="right" vertical="center"/>
    </xf>
    <xf numFmtId="4" fontId="19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top" indent="1"/>
    </xf>
    <xf numFmtId="0" fontId="2" fillId="7" borderId="9" applyNumberFormat="0" applyProtection="0">
      <alignment horizontal="left" vertical="center" indent="1"/>
    </xf>
    <xf numFmtId="0" fontId="2" fillId="7" borderId="9" applyNumberFormat="0" applyProtection="0">
      <alignment horizontal="left" vertical="top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top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top" indent="1"/>
    </xf>
    <xf numFmtId="4" fontId="14" fillId="3" borderId="9" applyNumberFormat="0" applyProtection="0">
      <alignment vertical="center"/>
    </xf>
    <xf numFmtId="4" fontId="21" fillId="3" borderId="9" applyNumberFormat="0" applyProtection="0">
      <alignment vertical="center"/>
    </xf>
    <xf numFmtId="4" fontId="14" fillId="3" borderId="9" applyNumberFormat="0" applyProtection="0">
      <alignment horizontal="left" vertical="center" indent="1"/>
    </xf>
    <xf numFmtId="0" fontId="14" fillId="3" borderId="9" applyNumberFormat="0" applyProtection="0">
      <alignment horizontal="left" vertical="top" indent="1"/>
    </xf>
    <xf numFmtId="4" fontId="14" fillId="23" borderId="12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14" fillId="20" borderId="9" applyNumberFormat="0" applyProtection="0">
      <alignment horizontal="left" vertical="center" indent="1"/>
    </xf>
    <xf numFmtId="0" fontId="14" fillId="7" borderId="9" applyNumberFormat="0" applyProtection="0">
      <alignment horizontal="center" vertical="top"/>
    </xf>
    <xf numFmtId="4" fontId="22" fillId="0" borderId="0" applyNumberFormat="0" applyProtection="0">
      <alignment horizontal="left" vertical="center"/>
    </xf>
    <xf numFmtId="4" fontId="23" fillId="24" borderId="0" applyNumberFormat="0" applyProtection="0">
      <alignment horizontal="left"/>
    </xf>
    <xf numFmtId="4" fontId="24" fillId="18" borderId="9" applyNumberFormat="0" applyProtection="0">
      <alignment horizontal="right" vertical="center"/>
    </xf>
    <xf numFmtId="0" fontId="5" fillId="0" borderId="6">
      <alignment horizontal="center" vertical="center" wrapText="1"/>
    </xf>
    <xf numFmtId="37" fontId="8" fillId="6" borderId="0" applyNumberFormat="0" applyBorder="0" applyAlignment="0" applyProtection="0"/>
    <xf numFmtId="37" fontId="8" fillId="0" borderId="0"/>
    <xf numFmtId="3" fontId="25" fillId="25" borderId="13" applyProtection="0"/>
  </cellStyleXfs>
  <cellXfs count="86">
    <xf numFmtId="0" fontId="0" fillId="0" borderId="0" xfId="0"/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center" vertical="center"/>
    </xf>
    <xf numFmtId="0" fontId="8" fillId="0" borderId="0" xfId="0" quotePrefix="1" applyFont="1" applyFill="1" applyAlignment="1">
      <alignment horizontal="center" vertical="center" wrapText="1"/>
    </xf>
    <xf numFmtId="41" fontId="8" fillId="0" borderId="0" xfId="0" applyNumberFormat="1" applyFont="1" applyFill="1" applyAlignment="1">
      <alignment horizontal="center" vertical="center"/>
    </xf>
    <xf numFmtId="165" fontId="8" fillId="0" borderId="0" xfId="3" applyNumberFormat="1" applyFont="1" applyAlignment="1">
      <alignment vertical="center"/>
    </xf>
    <xf numFmtId="4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6" fontId="8" fillId="0" borderId="0" xfId="2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10" fontId="8" fillId="0" borderId="0" xfId="3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166" fontId="7" fillId="0" borderId="0" xfId="2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8" fillId="0" borderId="0" xfId="3" applyNumberFormat="1" applyFont="1" applyAlignment="1">
      <alignment vertical="center"/>
    </xf>
    <xf numFmtId="168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41" fontId="8" fillId="0" borderId="2" xfId="0" applyNumberFormat="1" applyFont="1" applyFill="1" applyBorder="1" applyAlignment="1">
      <alignment horizontal="right" vertical="center"/>
    </xf>
    <xf numFmtId="168" fontId="7" fillId="0" borderId="0" xfId="1" applyNumberFormat="1" applyFont="1" applyFill="1" applyAlignment="1">
      <alignment horizontal="center" vertical="center"/>
    </xf>
    <xf numFmtId="169" fontId="8" fillId="0" borderId="0" xfId="2" applyNumberFormat="1" applyFont="1" applyFill="1" applyAlignment="1">
      <alignment horizontal="center" vertical="center"/>
    </xf>
    <xf numFmtId="41" fontId="7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/>
    </xf>
    <xf numFmtId="38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10" fontId="8" fillId="0" borderId="0" xfId="0" applyNumberFormat="1" applyFont="1" applyFill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1" fontId="8" fillId="0" borderId="1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41" fontId="8" fillId="0" borderId="0" xfId="0" quotePrefix="1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1" fontId="8" fillId="0" borderId="0" xfId="0" applyNumberFormat="1" applyFont="1" applyAlignment="1">
      <alignment vertical="center"/>
    </xf>
    <xf numFmtId="41" fontId="7" fillId="0" borderId="3" xfId="0" applyNumberFormat="1" applyFont="1" applyFill="1" applyBorder="1" applyAlignment="1">
      <alignment horizontal="right" vertical="center"/>
    </xf>
  </cellXfs>
  <cellStyles count="110">
    <cellStyle name="Comma" xfId="1" builtinId="3"/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Comma 2" xfId="12"/>
    <cellStyle name="Comma 2 2" xfId="13"/>
    <cellStyle name="Comma 2 2 2" xfId="14"/>
    <cellStyle name="Comma 3" xfId="15"/>
    <cellStyle name="Comma 3 2" xfId="16"/>
    <cellStyle name="Comma 4" xfId="17"/>
    <cellStyle name="Comma 5" xfId="18"/>
    <cellStyle name="Comma 6" xfId="19"/>
    <cellStyle name="Comma0" xfId="20"/>
    <cellStyle name="Currency" xfId="2" builtinId="4"/>
    <cellStyle name="Currency 2" xfId="21"/>
    <cellStyle name="Currency 2 2" xfId="22"/>
    <cellStyle name="Currency 2 2 2" xfId="23"/>
    <cellStyle name="Currency 3" xfId="24"/>
    <cellStyle name="Currency No Comma" xfId="25"/>
    <cellStyle name="Currency0" xfId="26"/>
    <cellStyle name="Date" xfId="27"/>
    <cellStyle name="Fixed" xfId="28"/>
    <cellStyle name="Grey" xfId="29"/>
    <cellStyle name="header" xfId="30"/>
    <cellStyle name="Header1" xfId="31"/>
    <cellStyle name="Header2" xfId="32"/>
    <cellStyle name="Input [yellow]" xfId="33"/>
    <cellStyle name="MCP" xfId="34"/>
    <cellStyle name="noninput" xfId="35"/>
    <cellStyle name="Normal" xfId="0" builtinId="0"/>
    <cellStyle name="Normal - Style1" xfId="36"/>
    <cellStyle name="Normal 10" xfId="37"/>
    <cellStyle name="Normal 11" xfId="38"/>
    <cellStyle name="Normal 12" xfId="39"/>
    <cellStyle name="Normal 13" xfId="40"/>
    <cellStyle name="Normal 14" xfId="41"/>
    <cellStyle name="Normal 2" xfId="42"/>
    <cellStyle name="Normal 2 2" xfId="43"/>
    <cellStyle name="Normal 2 3" xfId="44"/>
    <cellStyle name="Normal 2 3 2" xfId="45"/>
    <cellStyle name="Normal 3" xfId="46"/>
    <cellStyle name="Normal 3 2" xfId="47"/>
    <cellStyle name="Normal 3 2 2" xfId="48"/>
    <cellStyle name="Normal 3 3" xfId="49"/>
    <cellStyle name="Normal 4" xfId="50"/>
    <cellStyle name="Normal 4 2" xfId="51"/>
    <cellStyle name="Normal 5" xfId="52"/>
    <cellStyle name="Normal 6" xfId="53"/>
    <cellStyle name="Normal 6 2" xfId="54"/>
    <cellStyle name="Normal 7" xfId="55"/>
    <cellStyle name="Normal 8" xfId="56"/>
    <cellStyle name="Normal 9" xfId="57"/>
    <cellStyle name="Password" xfId="58"/>
    <cellStyle name="Percent" xfId="3" builtinId="5"/>
    <cellStyle name="Percent [2]" xfId="59"/>
    <cellStyle name="Percent 2" xfId="60"/>
    <cellStyle name="Percent 2 2" xfId="61"/>
    <cellStyle name="Percent 2 2 2" xfId="62"/>
    <cellStyle name="Percent 2 3" xfId="63"/>
    <cellStyle name="Percent 3" xfId="64"/>
    <cellStyle name="Percent 3 2" xfId="65"/>
    <cellStyle name="Percent 4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X" xfId="88"/>
    <cellStyle name="SAPBEXHLevel1" xfId="89"/>
    <cellStyle name="SAPBEXHLevel1X" xfId="90"/>
    <cellStyle name="SAPBEXHLevel2" xfId="91"/>
    <cellStyle name="SAPBEXHLevel2X" xfId="92"/>
    <cellStyle name="SAPBEXHLevel3" xfId="93"/>
    <cellStyle name="SAPBEXHLevel3X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title 2" xfId="104"/>
    <cellStyle name="SAPBEXundefined" xfId="105"/>
    <cellStyle name="Titles" xfId="106"/>
    <cellStyle name="Unprot" xfId="107"/>
    <cellStyle name="Unprot$" xfId="108"/>
    <cellStyle name="Unprotect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UT%20EBA%20(MAR2014)%20CONF_2014%2005%2028%20-%20sent%20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Exh.1) A1 Scalar Method"/>
      <sheetName val="(Exh.2)09-035-15 Comm Ord Meth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d Base NPC (GRC12)"/>
      <sheetName val="(6.3) Base NPC by Cat (GRC12)"/>
      <sheetName val="(6.4) Base UTGRC12 Stlmt NPC"/>
      <sheetName val="(7.1) Wheeling Revenues"/>
      <sheetName val="(8.1) Actual Factors"/>
      <sheetName val="(8.2) Dynamic Scalar"/>
      <sheetName val="(8.3) Utah Sales"/>
    </sheetNames>
    <sheetDataSet>
      <sheetData sheetId="0"/>
      <sheetData sheetId="1"/>
      <sheetData sheetId="2"/>
      <sheetData sheetId="3"/>
      <sheetData sheetId="4"/>
      <sheetData sheetId="5">
        <row r="38">
          <cell r="I38">
            <v>141769459.84999999</v>
          </cell>
          <cell r="J38">
            <v>137918738.13</v>
          </cell>
          <cell r="K38">
            <v>125617267.73000003</v>
          </cell>
        </row>
        <row r="46">
          <cell r="E46" t="str">
            <v>ALLOCATION</v>
          </cell>
          <cell r="G46" t="str">
            <v>Total</v>
          </cell>
          <cell r="I46">
            <v>41640</v>
          </cell>
          <cell r="J46">
            <v>41671</v>
          </cell>
          <cell r="K46">
            <v>41699</v>
          </cell>
          <cell r="L46">
            <v>41730</v>
          </cell>
          <cell r="M46">
            <v>41760</v>
          </cell>
          <cell r="N46">
            <v>41791</v>
          </cell>
          <cell r="O46">
            <v>41821</v>
          </cell>
          <cell r="P46">
            <v>41852</v>
          </cell>
          <cell r="Q46">
            <v>41883</v>
          </cell>
          <cell r="R46">
            <v>41913</v>
          </cell>
          <cell r="S46">
            <v>41944</v>
          </cell>
          <cell r="T46">
            <v>41974</v>
          </cell>
        </row>
        <row r="78">
          <cell r="C78" t="str">
            <v>ADJUSTED ACTUAL NET POWER COST</v>
          </cell>
          <cell r="G78">
            <v>174171848.35440272</v>
          </cell>
          <cell r="I78">
            <v>60928980.487033918</v>
          </cell>
          <cell r="J78">
            <v>59283125.398437418</v>
          </cell>
          <cell r="K78">
            <v>53959742.468931392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86">
          <cell r="E86" t="str">
            <v>ALLOCATION</v>
          </cell>
          <cell r="G86" t="str">
            <v>Total</v>
          </cell>
          <cell r="I86">
            <v>41640</v>
          </cell>
          <cell r="J86">
            <v>41671</v>
          </cell>
          <cell r="K86">
            <v>41699</v>
          </cell>
          <cell r="L86">
            <v>41730</v>
          </cell>
          <cell r="M86">
            <v>41760</v>
          </cell>
          <cell r="N86">
            <v>41791</v>
          </cell>
          <cell r="O86">
            <v>41821</v>
          </cell>
          <cell r="P86">
            <v>41852</v>
          </cell>
          <cell r="Q86">
            <v>41883</v>
          </cell>
          <cell r="R86">
            <v>41913</v>
          </cell>
          <cell r="S86">
            <v>41944</v>
          </cell>
          <cell r="T86">
            <v>41974</v>
          </cell>
        </row>
        <row r="118">
          <cell r="C118" t="str">
            <v>PRORATED ACTUAL NET POWER COST</v>
          </cell>
          <cell r="G118">
            <v>167300699.34684789</v>
          </cell>
          <cell r="I118">
            <v>58673679.854816258</v>
          </cell>
          <cell r="J118">
            <v>56058666.542560413</v>
          </cell>
          <cell r="K118">
            <v>52568352.949471213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</sheetData>
      <sheetData sheetId="6"/>
      <sheetData sheetId="7"/>
      <sheetData sheetId="8"/>
      <sheetData sheetId="9"/>
      <sheetData sheetId="10">
        <row r="21">
          <cell r="J21">
            <v>1982626.99979</v>
          </cell>
          <cell r="K21">
            <v>1789929.9980000001</v>
          </cell>
          <cell r="L21">
            <v>1910070.0009899999</v>
          </cell>
        </row>
        <row r="22">
          <cell r="D22" t="str">
            <v>Base Utah NPC</v>
          </cell>
          <cell r="H22">
            <v>636001721</v>
          </cell>
          <cell r="J22">
            <v>50011065.137238234</v>
          </cell>
          <cell r="K22">
            <v>45985167.100023851</v>
          </cell>
          <cell r="L22">
            <v>49906973.15688844</v>
          </cell>
          <cell r="M22">
            <v>48917079.303698763</v>
          </cell>
          <cell r="N22">
            <v>52873367.693607651</v>
          </cell>
          <cell r="O22">
            <v>53728239.205889396</v>
          </cell>
          <cell r="P22">
            <v>63466696.84056095</v>
          </cell>
          <cell r="Q22">
            <v>66758059.057229094</v>
          </cell>
          <cell r="R22">
            <v>57122257.463790625</v>
          </cell>
          <cell r="S22">
            <v>50900050.110836901</v>
          </cell>
          <cell r="T22">
            <v>47730263.688800253</v>
          </cell>
          <cell r="U22">
            <v>48602502.241435856</v>
          </cell>
        </row>
        <row r="30">
          <cell r="H30" t="str">
            <v>Total</v>
          </cell>
          <cell r="J30">
            <v>41640</v>
          </cell>
          <cell r="K30">
            <v>41671</v>
          </cell>
          <cell r="L30">
            <v>41699</v>
          </cell>
          <cell r="M30">
            <v>41730</v>
          </cell>
          <cell r="N30">
            <v>41760</v>
          </cell>
          <cell r="O30">
            <v>41791</v>
          </cell>
          <cell r="P30">
            <v>41821</v>
          </cell>
          <cell r="Q30">
            <v>41852</v>
          </cell>
          <cell r="R30">
            <v>41883</v>
          </cell>
          <cell r="S30">
            <v>41913</v>
          </cell>
          <cell r="T30">
            <v>41944</v>
          </cell>
          <cell r="U30">
            <v>41974</v>
          </cell>
        </row>
        <row r="41">
          <cell r="D41" t="str">
            <v>Base Utah MWh</v>
          </cell>
          <cell r="H41">
            <v>23734642.546709999</v>
          </cell>
          <cell r="J41">
            <v>1982626.99979</v>
          </cell>
          <cell r="K41">
            <v>1789929.9980000001</v>
          </cell>
          <cell r="L41">
            <v>1910070.0009899999</v>
          </cell>
          <cell r="M41">
            <v>1856810.0009900001</v>
          </cell>
          <cell r="N41">
            <v>1998460.00202</v>
          </cell>
          <cell r="O41">
            <v>1912132.46205</v>
          </cell>
          <cell r="P41">
            <v>2266364.4785400005</v>
          </cell>
          <cell r="Q41">
            <v>2314401.9906899994</v>
          </cell>
          <cell r="R41">
            <v>1968925.9935399997</v>
          </cell>
          <cell r="S41">
            <v>1906260.0009999997</v>
          </cell>
          <cell r="T41">
            <v>1856770.00499</v>
          </cell>
          <cell r="U41">
            <v>1971890.61411</v>
          </cell>
        </row>
        <row r="42">
          <cell r="D42" t="str">
            <v>Base Utah NPC</v>
          </cell>
          <cell r="H42">
            <v>636001721.21197641</v>
          </cell>
          <cell r="J42">
            <v>52796307.735829368</v>
          </cell>
          <cell r="K42">
            <v>47750729.137930557</v>
          </cell>
          <cell r="L42">
            <v>51724279.274898469</v>
          </cell>
          <cell r="M42">
            <v>49460054.219588622</v>
          </cell>
          <cell r="N42">
            <v>51997639.587114565</v>
          </cell>
          <cell r="O42">
            <v>53284300.664967395</v>
          </cell>
          <cell r="P42">
            <v>60964992.780957758</v>
          </cell>
          <cell r="Q42">
            <v>62157762.395888053</v>
          </cell>
          <cell r="R42">
            <v>54972668.512711853</v>
          </cell>
          <cell r="S42">
            <v>50916604.3044829</v>
          </cell>
          <cell r="T42">
            <v>49157003.453889117</v>
          </cell>
          <cell r="U42">
            <v>50819379.143717781</v>
          </cell>
        </row>
        <row r="61">
          <cell r="D61" t="str">
            <v>Base Utah MWh</v>
          </cell>
          <cell r="H61">
            <v>23734642.546709999</v>
          </cell>
          <cell r="J61">
            <v>1982626.99979</v>
          </cell>
          <cell r="K61">
            <v>1789929.9980000001</v>
          </cell>
          <cell r="L61">
            <v>1910070.0009899999</v>
          </cell>
          <cell r="M61">
            <v>1856810.0009900001</v>
          </cell>
          <cell r="N61">
            <v>1998460.00202</v>
          </cell>
          <cell r="O61">
            <v>1912132.46205</v>
          </cell>
          <cell r="P61">
            <v>2266364.4785400005</v>
          </cell>
          <cell r="Q61">
            <v>2314401.9906899994</v>
          </cell>
          <cell r="R61">
            <v>1968925.9935399997</v>
          </cell>
          <cell r="S61">
            <v>1906260.0009999997</v>
          </cell>
          <cell r="T61">
            <v>1856770.00499</v>
          </cell>
          <cell r="U61">
            <v>1971890.61411</v>
          </cell>
        </row>
        <row r="62">
          <cell r="D62" t="str">
            <v>Base Utah NPC</v>
          </cell>
          <cell r="H62">
            <v>636001721.21197641</v>
          </cell>
          <cell r="J62">
            <v>52808576.86786487</v>
          </cell>
          <cell r="K62">
            <v>47751766.215919696</v>
          </cell>
          <cell r="L62">
            <v>51717005.50693883</v>
          </cell>
          <cell r="M62">
            <v>49432306.181200609</v>
          </cell>
          <cell r="N62">
            <v>51962691.99899593</v>
          </cell>
          <cell r="O62">
            <v>53272422.259827644</v>
          </cell>
          <cell r="P62">
            <v>60959067.642701879</v>
          </cell>
          <cell r="Q62">
            <v>62156253.654774278</v>
          </cell>
          <cell r="R62">
            <v>54982894.5326159</v>
          </cell>
          <cell r="S62">
            <v>50937959.383127972</v>
          </cell>
          <cell r="T62">
            <v>49183492.342126973</v>
          </cell>
          <cell r="U62">
            <v>50837284.625881799</v>
          </cell>
        </row>
        <row r="81">
          <cell r="D81" t="str">
            <v>Base Utah MWh</v>
          </cell>
          <cell r="H81">
            <v>23734642.546709999</v>
          </cell>
          <cell r="J81">
            <v>1982626.99979</v>
          </cell>
          <cell r="K81">
            <v>1789929.9980000001</v>
          </cell>
          <cell r="L81">
            <v>1910070.0009899999</v>
          </cell>
          <cell r="M81">
            <v>1856810.0009900001</v>
          </cell>
          <cell r="N81">
            <v>1998460.00202</v>
          </cell>
          <cell r="O81">
            <v>1912132.46205</v>
          </cell>
          <cell r="P81">
            <v>2266364.4785400005</v>
          </cell>
          <cell r="Q81">
            <v>2314401.9906899994</v>
          </cell>
          <cell r="R81">
            <v>1968925.9935399997</v>
          </cell>
          <cell r="S81">
            <v>1906260.0009999997</v>
          </cell>
          <cell r="T81">
            <v>1856770.00499</v>
          </cell>
          <cell r="U81">
            <v>1971890.61411</v>
          </cell>
        </row>
        <row r="82">
          <cell r="D82" t="str">
            <v>Base Utah NPC</v>
          </cell>
          <cell r="H82">
            <v>636001721.21197641</v>
          </cell>
          <cell r="J82">
            <v>49303185.701585226</v>
          </cell>
          <cell r="K82">
            <v>45475669.649817154</v>
          </cell>
          <cell r="L82">
            <v>49321841.767926015</v>
          </cell>
          <cell r="M82">
            <v>48151326.485147625</v>
          </cell>
          <cell r="N82">
            <v>54404743.894118764</v>
          </cell>
          <cell r="O82">
            <v>54344975.267398842</v>
          </cell>
          <cell r="P82">
            <v>63720157.892045878</v>
          </cell>
          <cell r="Q82">
            <v>66891132.250358388</v>
          </cell>
          <cell r="R82">
            <v>57505636.985292926</v>
          </cell>
          <cell r="S82">
            <v>50594578.633538291</v>
          </cell>
          <cell r="T82">
            <v>47745574.198106132</v>
          </cell>
          <cell r="U82">
            <v>48542898.486641221</v>
          </cell>
        </row>
      </sheetData>
      <sheetData sheetId="11"/>
      <sheetData sheetId="12"/>
      <sheetData sheetId="13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4">
        <row r="10">
          <cell r="C10" t="str">
            <v>FERC</v>
          </cell>
          <cell r="D10" t="str">
            <v>Firm / Non-Firm</v>
          </cell>
          <cell r="E10" t="str">
            <v>SAP</v>
          </cell>
          <cell r="F10" t="str">
            <v>Description</v>
          </cell>
          <cell r="G10">
            <v>41640</v>
          </cell>
          <cell r="H10">
            <v>41671</v>
          </cell>
          <cell r="I10">
            <v>41699</v>
          </cell>
          <cell r="J10">
            <v>41730</v>
          </cell>
          <cell r="K10">
            <v>41760</v>
          </cell>
          <cell r="L10">
            <v>41791</v>
          </cell>
          <cell r="M10">
            <v>41821</v>
          </cell>
          <cell r="N10">
            <v>41852</v>
          </cell>
          <cell r="O10">
            <v>41883</v>
          </cell>
          <cell r="P10">
            <v>41913</v>
          </cell>
          <cell r="Q10">
            <v>41944</v>
          </cell>
          <cell r="R10">
            <v>41974</v>
          </cell>
          <cell r="T10" t="str">
            <v>Total</v>
          </cell>
        </row>
        <row r="63">
          <cell r="F63" t="str">
            <v>Utah Allocated Additional FERC ER11-3643 Revenues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</row>
        <row r="64">
          <cell r="F64" t="str">
            <v>Utah Allocated Actual Wheeling Revenues</v>
          </cell>
          <cell r="G64">
            <v>-2950361.6492699687</v>
          </cell>
          <cell r="H64">
            <v>-2828346.9204758881</v>
          </cell>
          <cell r="I64">
            <v>-3029377.4964753715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T64">
            <v>-8808086.0662212297</v>
          </cell>
        </row>
        <row r="78">
          <cell r="F78" t="str">
            <v>Total Wheeling Revenue in Rates UT Allocated</v>
          </cell>
          <cell r="G78">
            <v>-2684824.28561325</v>
          </cell>
          <cell r="H78">
            <v>-2684824.28561325</v>
          </cell>
          <cell r="I78">
            <v>-2684824.28561325</v>
          </cell>
          <cell r="J78">
            <v>-2684824.28561325</v>
          </cell>
          <cell r="K78">
            <v>-2684824.28561325</v>
          </cell>
          <cell r="L78">
            <v>-2684824.28561325</v>
          </cell>
          <cell r="M78">
            <v>-2684824.28561325</v>
          </cell>
          <cell r="N78">
            <v>-2684824.28561325</v>
          </cell>
          <cell r="O78">
            <v>-2684824.28561325</v>
          </cell>
          <cell r="P78">
            <v>-2684824.28561325</v>
          </cell>
          <cell r="Q78">
            <v>-2684824.28561325</v>
          </cell>
          <cell r="R78">
            <v>-2684824.28561325</v>
          </cell>
          <cell r="T78">
            <v>-32217891.427359</v>
          </cell>
        </row>
      </sheetData>
      <sheetData sheetId="15">
        <row r="56">
          <cell r="C56">
            <v>41365</v>
          </cell>
          <cell r="K56">
            <v>1863136.3669988008</v>
          </cell>
          <cell r="P56">
            <v>4444207.2020520642</v>
          </cell>
        </row>
        <row r="57">
          <cell r="C57">
            <v>41395</v>
          </cell>
          <cell r="K57">
            <v>1989009.0236021804</v>
          </cell>
          <cell r="P57">
            <v>4718856.393412387</v>
          </cell>
        </row>
        <row r="58">
          <cell r="C58">
            <v>41426</v>
          </cell>
          <cell r="K58">
            <v>2259639.9481957811</v>
          </cell>
          <cell r="P58">
            <v>5114425.3092754046</v>
          </cell>
        </row>
        <row r="59">
          <cell r="C59">
            <v>41456</v>
          </cell>
          <cell r="K59">
            <v>2606693.8852596283</v>
          </cell>
          <cell r="P59">
            <v>5754894.3985189861</v>
          </cell>
        </row>
        <row r="60">
          <cell r="C60">
            <v>41487</v>
          </cell>
          <cell r="K60">
            <v>2534176.2322200686</v>
          </cell>
          <cell r="P60">
            <v>5501805.8194004754</v>
          </cell>
        </row>
        <row r="61">
          <cell r="C61">
            <v>41518</v>
          </cell>
          <cell r="K61">
            <v>2078647.8306589208</v>
          </cell>
          <cell r="P61">
            <v>4699006.9886634955</v>
          </cell>
        </row>
        <row r="62">
          <cell r="C62">
            <v>41548</v>
          </cell>
          <cell r="K62">
            <v>1998853.9649304985</v>
          </cell>
          <cell r="P62">
            <v>4735307.7177972216</v>
          </cell>
        </row>
        <row r="63">
          <cell r="C63">
            <v>41579</v>
          </cell>
          <cell r="K63">
            <v>2029354.787659921</v>
          </cell>
          <cell r="P63">
            <v>4828481.6101409607</v>
          </cell>
        </row>
        <row r="64">
          <cell r="C64">
            <v>41609</v>
          </cell>
          <cell r="K64">
            <v>2309261.7668929524</v>
          </cell>
          <cell r="P64">
            <v>5631849.8656532662</v>
          </cell>
        </row>
        <row r="65">
          <cell r="C65">
            <v>41640</v>
          </cell>
          <cell r="K65">
            <v>2238760.7256878959</v>
          </cell>
          <cell r="P65">
            <v>5361677.3037436763</v>
          </cell>
        </row>
        <row r="66">
          <cell r="C66">
            <v>41671</v>
          </cell>
          <cell r="K66">
            <v>1946213.984713739</v>
          </cell>
          <cell r="P66">
            <v>4729700.7784817787</v>
          </cell>
        </row>
        <row r="67">
          <cell r="C67">
            <v>41699</v>
          </cell>
          <cell r="K67">
            <v>2012115.66390894</v>
          </cell>
          <cell r="P67">
            <v>4785769.0417076545</v>
          </cell>
        </row>
      </sheetData>
      <sheetData sheetId="16"/>
      <sheetData sheetId="17">
        <row r="9">
          <cell r="E9">
            <v>41640</v>
          </cell>
          <cell r="F9">
            <v>41671</v>
          </cell>
          <cell r="G9">
            <v>41699</v>
          </cell>
          <cell r="H9">
            <v>41730</v>
          </cell>
          <cell r="I9">
            <v>41760</v>
          </cell>
          <cell r="J9">
            <v>41791</v>
          </cell>
          <cell r="K9">
            <v>41821</v>
          </cell>
          <cell r="L9">
            <v>41852</v>
          </cell>
          <cell r="M9">
            <v>41883</v>
          </cell>
          <cell r="N9">
            <v>41913</v>
          </cell>
          <cell r="O9">
            <v>41944</v>
          </cell>
          <cell r="P9">
            <v>41974</v>
          </cell>
          <cell r="R9" t="str">
            <v>Total</v>
          </cell>
        </row>
        <row r="15">
          <cell r="C15" t="str">
            <v>Total Utah Retail Sales</v>
          </cell>
          <cell r="E15">
            <v>2080024.8839999998</v>
          </cell>
          <cell r="F15">
            <v>1778181.71</v>
          </cell>
          <cell r="G15">
            <v>1895016.52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5753223.1140000001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showGridLines="0" view="pageBreakPreview" zoomScale="60" zoomScaleNormal="60" workbookViewId="0">
      <selection activeCell="B4" sqref="B4:C4"/>
    </sheetView>
  </sheetViews>
  <sheetFormatPr defaultColWidth="9.140625" defaultRowHeight="21" customHeight="1"/>
  <cols>
    <col min="1" max="1" width="11.42578125" style="3" customWidth="1"/>
    <col min="2" max="2" width="23.42578125" style="3" customWidth="1"/>
    <col min="3" max="3" width="153" style="3" customWidth="1"/>
    <col min="4" max="4" width="11.42578125" style="3" customWidth="1"/>
    <col min="5" max="16384" width="9.140625" style="3"/>
  </cols>
  <sheetData>
    <row r="1" spans="2:3" ht="21" customHeight="1">
      <c r="B1" s="1" t="s">
        <v>0</v>
      </c>
      <c r="C1" s="2"/>
    </row>
    <row r="2" spans="2:3" ht="21" customHeight="1">
      <c r="B2" s="4"/>
      <c r="C2" s="5"/>
    </row>
    <row r="4" spans="2:3" ht="21" customHeight="1">
      <c r="B4" s="6" t="s">
        <v>1</v>
      </c>
      <c r="C4" s="7" t="s">
        <v>2</v>
      </c>
    </row>
    <row r="5" spans="2:3" ht="21" customHeight="1">
      <c r="B5" s="6" t="s">
        <v>3</v>
      </c>
      <c r="C5" s="7" t="s">
        <v>4</v>
      </c>
    </row>
    <row r="6" spans="2:3" ht="21" customHeight="1">
      <c r="B6" s="8"/>
      <c r="C6" s="9"/>
    </row>
    <row r="7" spans="2:3" ht="21" customHeight="1">
      <c r="B7" s="10"/>
      <c r="C7" s="11"/>
    </row>
    <row r="8" spans="2:3" ht="21" customHeight="1">
      <c r="B8" s="10" t="s">
        <v>5</v>
      </c>
      <c r="C8" s="12" t="s">
        <v>6</v>
      </c>
    </row>
    <row r="9" spans="2:3" ht="21" customHeight="1">
      <c r="B9" s="10"/>
      <c r="C9" s="12"/>
    </row>
    <row r="10" spans="2:3" ht="21" customHeight="1">
      <c r="B10" s="10" t="s">
        <v>7</v>
      </c>
      <c r="C10" s="12" t="s">
        <v>8</v>
      </c>
    </row>
    <row r="11" spans="2:3" ht="21" customHeight="1">
      <c r="B11" s="10"/>
      <c r="C11" s="12"/>
    </row>
    <row r="12" spans="2:3" ht="21" customHeight="1">
      <c r="B12" s="10" t="s">
        <v>9</v>
      </c>
      <c r="C12" s="12" t="s">
        <v>10</v>
      </c>
    </row>
    <row r="13" spans="2:3" ht="21" customHeight="1">
      <c r="B13" s="10"/>
      <c r="C13" s="12"/>
    </row>
    <row r="14" spans="2:3" ht="21" customHeight="1">
      <c r="B14" s="10" t="s">
        <v>11</v>
      </c>
      <c r="C14" s="12" t="s">
        <v>12</v>
      </c>
    </row>
    <row r="15" spans="2:3" ht="21" customHeight="1">
      <c r="B15" s="10"/>
      <c r="C15" s="12"/>
    </row>
    <row r="16" spans="2:3" ht="21" customHeight="1">
      <c r="B16" s="10" t="s">
        <v>13</v>
      </c>
      <c r="C16" s="12" t="s">
        <v>14</v>
      </c>
    </row>
    <row r="17" spans="2:3" ht="21" customHeight="1">
      <c r="B17" s="13" t="str">
        <f>"(5.1)"</f>
        <v>(5.1)</v>
      </c>
      <c r="C17" s="11" t="s">
        <v>15</v>
      </c>
    </row>
    <row r="18" spans="2:3" ht="21" customHeight="1">
      <c r="B18" s="13" t="str">
        <f>+TEXT(VALUE(MID(B17,2,LEN(B17)-2))+0.1,"(0.0)")</f>
        <v>(5.2)</v>
      </c>
      <c r="C18" s="11" t="s">
        <v>16</v>
      </c>
    </row>
    <row r="19" spans="2:3" ht="21" customHeight="1">
      <c r="B19" s="13" t="str">
        <f t="shared" ref="B19:B21" si="0">+TEXT(VALUE(MID(B18,2,LEN(B18)-2))+0.1,"(0.0)")</f>
        <v>(5.3)</v>
      </c>
      <c r="C19" s="11" t="s">
        <v>17</v>
      </c>
    </row>
    <row r="20" spans="2:3" ht="21" customHeight="1">
      <c r="B20" s="13" t="str">
        <f t="shared" si="0"/>
        <v>(5.4)</v>
      </c>
      <c r="C20" s="11" t="s">
        <v>18</v>
      </c>
    </row>
    <row r="21" spans="2:3" ht="21" customHeight="1">
      <c r="B21" s="13" t="str">
        <f t="shared" si="0"/>
        <v>(5.5)</v>
      </c>
      <c r="C21" s="11" t="s">
        <v>19</v>
      </c>
    </row>
    <row r="22" spans="2:3" ht="21" customHeight="1">
      <c r="B22" s="13"/>
      <c r="C22" s="11"/>
    </row>
    <row r="23" spans="2:3" ht="21" customHeight="1">
      <c r="B23" s="10" t="s">
        <v>20</v>
      </c>
      <c r="C23" s="12" t="s">
        <v>21</v>
      </c>
    </row>
    <row r="24" spans="2:3" ht="21" customHeight="1">
      <c r="B24" s="14" t="str">
        <f>"(6.1)"</f>
        <v>(6.1)</v>
      </c>
      <c r="C24" s="11" t="s">
        <v>22</v>
      </c>
    </row>
    <row r="25" spans="2:3" ht="21" customHeight="1">
      <c r="B25" s="13" t="str">
        <f>+TEXT(VALUE(MID(B24,2,LEN(B24)-2))+0.1,"(0.0)")</f>
        <v>(6.2)</v>
      </c>
      <c r="C25" s="11" t="s">
        <v>23</v>
      </c>
    </row>
    <row r="26" spans="2:3" ht="21" customHeight="1">
      <c r="B26" s="13" t="str">
        <f t="shared" ref="B26" si="1">+TEXT(VALUE(MID(B25,2,LEN(B25)-2))+0.1,"(0.0)")</f>
        <v>(6.3)</v>
      </c>
      <c r="C26" s="11" t="s">
        <v>24</v>
      </c>
    </row>
    <row r="27" spans="2:3" ht="21" customHeight="1">
      <c r="B27" s="13" t="str">
        <f>+TEXT(VALUE(MID(B26,2,LEN(B26)-2))+0.1,"(0.0)")</f>
        <v>(6.4)</v>
      </c>
      <c r="C27" s="11" t="s">
        <v>25</v>
      </c>
    </row>
    <row r="28" spans="2:3" ht="21" customHeight="1">
      <c r="B28" s="13"/>
    </row>
    <row r="29" spans="2:3" ht="21" customHeight="1">
      <c r="B29" s="10" t="s">
        <v>26</v>
      </c>
      <c r="C29" s="12" t="s">
        <v>27</v>
      </c>
    </row>
    <row r="30" spans="2:3" ht="21" customHeight="1">
      <c r="B30" s="14" t="str">
        <f>"(7.1)"</f>
        <v>(7.1)</v>
      </c>
      <c r="C30" s="11" t="s">
        <v>28</v>
      </c>
    </row>
    <row r="31" spans="2:3" ht="21" customHeight="1">
      <c r="B31" s="13"/>
    </row>
    <row r="32" spans="2:3" ht="21" customHeight="1">
      <c r="B32" s="15" t="s">
        <v>29</v>
      </c>
      <c r="C32" s="7" t="s">
        <v>30</v>
      </c>
    </row>
    <row r="33" spans="2:3" ht="21" customHeight="1">
      <c r="B33" s="14" t="str">
        <f>"(8.1)"</f>
        <v>(8.1)</v>
      </c>
      <c r="C33" s="3" t="s">
        <v>31</v>
      </c>
    </row>
    <row r="34" spans="2:3" ht="21" customHeight="1">
      <c r="B34" s="13" t="str">
        <f>+TEXT(VALUE(MID(B33,2,LEN(B33)-2))+0.1,"(0.0)")</f>
        <v>(8.2)</v>
      </c>
      <c r="C34" s="3" t="s">
        <v>32</v>
      </c>
    </row>
    <row r="35" spans="2:3" ht="21" customHeight="1">
      <c r="B35" s="13" t="str">
        <f>+TEXT(VALUE(MID(B34,2,LEN(B34)-2))+0.1,"(0.0)")</f>
        <v>(8.3)</v>
      </c>
      <c r="C35" s="3" t="s">
        <v>33</v>
      </c>
    </row>
    <row r="36" spans="2:3" ht="21" customHeight="1">
      <c r="B36" s="10"/>
      <c r="C36" s="12"/>
    </row>
    <row r="38" spans="2:3" ht="21" customHeight="1">
      <c r="B38" s="13"/>
    </row>
  </sheetData>
  <pageMargins left="0.25" right="0.25" top="0.5" bottom="0.25" header="0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showGridLines="0" tabSelected="1" view="pageBreakPreview" zoomScale="90" zoomScaleNormal="90" zoomScaleSheetLayoutView="90" workbookViewId="0">
      <selection activeCell="F10" sqref="F10"/>
    </sheetView>
  </sheetViews>
  <sheetFormatPr defaultColWidth="9.140625" defaultRowHeight="15.75" customHeight="1"/>
  <cols>
    <col min="1" max="1" width="5.5703125" style="22" customWidth="1"/>
    <col min="2" max="2" width="38" style="17" customWidth="1"/>
    <col min="3" max="3" width="2.28515625" style="18" customWidth="1"/>
    <col min="4" max="4" width="25.140625" style="19" customWidth="1"/>
    <col min="5" max="5" width="2.28515625" style="18" customWidth="1"/>
    <col min="6" max="6" width="11.42578125" style="18" customWidth="1"/>
    <col min="7" max="7" width="12.140625" style="18" bestFit="1" customWidth="1"/>
    <col min="8" max="8" width="12.28515625" style="18" bestFit="1" customWidth="1"/>
    <col min="9" max="9" width="11.42578125" style="18" customWidth="1"/>
    <col min="10" max="10" width="11.5703125" style="18" customWidth="1"/>
    <col min="11" max="11" width="11.7109375" style="18" customWidth="1"/>
    <col min="12" max="13" width="11.42578125" style="18" customWidth="1"/>
    <col min="14" max="14" width="12.140625" style="18" bestFit="1" customWidth="1"/>
    <col min="15" max="17" width="11.42578125" style="18" customWidth="1"/>
    <col min="18" max="18" width="2.28515625" style="18" customWidth="1"/>
    <col min="19" max="19" width="12.5703125" style="18" bestFit="1" customWidth="1"/>
    <col min="20" max="20" width="2.28515625" style="18" customWidth="1"/>
    <col min="21" max="21" width="18" style="21" customWidth="1"/>
    <col min="22" max="22" width="12" style="18" customWidth="1"/>
    <col min="23" max="23" width="9.7109375" style="18" customWidth="1"/>
    <col min="24" max="16384" width="9.140625" style="18"/>
  </cols>
  <sheetData>
    <row r="1" spans="1:22" ht="15.75" customHeight="1">
      <c r="A1" s="16" t="str">
        <f>+'Workpaper Index'!C4</f>
        <v>Utah Energy Balancing Account Mechanism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2" ht="15.75" customHeight="1">
      <c r="A2" s="16" t="str">
        <f>+'Workpaper Index'!C5</f>
        <v>January 1, 2014 - December 31, 2014</v>
      </c>
    </row>
    <row r="3" spans="1:22" ht="15.75" customHeight="1">
      <c r="A3" s="16" t="str">
        <f>+'Workpaper Index'!B8&amp;" - "&amp;'Workpaper Index'!C8</f>
        <v>Exhibit 1 - Stipulated Scalar Energy Balancing Account Calculation</v>
      </c>
    </row>
    <row r="4" spans="1:22" ht="15.75" customHeight="1"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2" ht="15.75" customHeight="1">
      <c r="A5" s="18"/>
      <c r="B5" s="24"/>
    </row>
    <row r="6" spans="1:22" ht="25.5">
      <c r="A6" s="25" t="s">
        <v>34</v>
      </c>
      <c r="B6" s="26"/>
      <c r="D6" s="27" t="s">
        <v>35</v>
      </c>
      <c r="F6" s="28">
        <v>41640</v>
      </c>
      <c r="G6" s="28">
        <f>EDATE(F6,1)</f>
        <v>41671</v>
      </c>
      <c r="H6" s="28">
        <f t="shared" ref="H6:Q6" si="0">EDATE(G6,1)</f>
        <v>41699</v>
      </c>
      <c r="I6" s="28">
        <f t="shared" si="0"/>
        <v>41730</v>
      </c>
      <c r="J6" s="28">
        <f t="shared" si="0"/>
        <v>41760</v>
      </c>
      <c r="K6" s="28">
        <f t="shared" si="0"/>
        <v>41791</v>
      </c>
      <c r="L6" s="28">
        <f t="shared" si="0"/>
        <v>41821</v>
      </c>
      <c r="M6" s="28">
        <f t="shared" si="0"/>
        <v>41852</v>
      </c>
      <c r="N6" s="28">
        <f t="shared" si="0"/>
        <v>41883</v>
      </c>
      <c r="O6" s="28">
        <f t="shared" si="0"/>
        <v>41913</v>
      </c>
      <c r="P6" s="28">
        <f t="shared" si="0"/>
        <v>41944</v>
      </c>
      <c r="Q6" s="28">
        <f t="shared" si="0"/>
        <v>41974</v>
      </c>
      <c r="S6" s="28" t="s">
        <v>36</v>
      </c>
      <c r="T6" s="29"/>
    </row>
    <row r="7" spans="1:22" ht="15.75" customHeight="1">
      <c r="A7" s="30"/>
      <c r="B7" s="24"/>
      <c r="D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S7" s="32"/>
      <c r="T7" s="33"/>
      <c r="U7" s="34"/>
      <c r="V7" s="35"/>
    </row>
    <row r="8" spans="1:22" ht="15.75" customHeight="1">
      <c r="A8" s="36" t="s">
        <v>37</v>
      </c>
      <c r="D8" s="31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S8" s="33"/>
      <c r="T8" s="33"/>
      <c r="U8" s="34"/>
      <c r="V8" s="35"/>
    </row>
    <row r="9" spans="1:22" ht="15.75" customHeight="1">
      <c r="B9" s="24"/>
      <c r="C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S9" s="37"/>
      <c r="T9" s="33"/>
      <c r="U9" s="34"/>
      <c r="V9" s="35"/>
    </row>
    <row r="10" spans="1:22" ht="15.75" customHeight="1">
      <c r="A10" s="22">
        <f>+MAX($A$1:A9)+1</f>
        <v>1</v>
      </c>
      <c r="B10" s="31" t="s">
        <v>38</v>
      </c>
      <c r="D10" s="38" t="str">
        <f>+'Workpaper Index'!$B$17</f>
        <v>(5.1)</v>
      </c>
      <c r="E10" s="35"/>
      <c r="F10" s="39">
        <f>+'[4](5.1) UT Allocated Actual NPC'!I38</f>
        <v>141769459.84999999</v>
      </c>
      <c r="G10" s="39">
        <f>+'[4](5.1) UT Allocated Actual NPC'!J38</f>
        <v>137918738.13</v>
      </c>
      <c r="H10" s="39">
        <f>+'[4](5.1) UT Allocated Actual NPC'!K38</f>
        <v>125617267.73000003</v>
      </c>
      <c r="I10" s="39"/>
      <c r="J10" s="39"/>
      <c r="K10" s="39"/>
      <c r="L10" s="39"/>
      <c r="M10" s="39"/>
      <c r="N10" s="39"/>
      <c r="O10" s="39"/>
      <c r="P10" s="39"/>
      <c r="Q10" s="39"/>
      <c r="S10" s="39">
        <f>+SUM(F10:Q10)</f>
        <v>405305465.71000004</v>
      </c>
      <c r="T10" s="33"/>
      <c r="U10" s="40"/>
      <c r="V10" s="35"/>
    </row>
    <row r="11" spans="1:22" ht="15.75" customHeight="1">
      <c r="A11" s="22">
        <f>+MAX($A$1:A10)+1</f>
        <v>2</v>
      </c>
      <c r="B11" s="31" t="s">
        <v>39</v>
      </c>
      <c r="D11" s="38" t="str">
        <f>+'Workpaper Index'!$B$33</f>
        <v>(8.1)</v>
      </c>
      <c r="E11" s="35"/>
      <c r="F11" s="41">
        <f>+INDEX('[4](8.1) Actual Factors'!$P$56:$P$67,MATCH(F$6,'[4](8.1) Actual Factors'!$C$56:$C$67,0))</f>
        <v>5361677.3037436763</v>
      </c>
      <c r="G11" s="41">
        <f>+INDEX('[4](8.1) Actual Factors'!$P$56:$P$67,MATCH(G$6,'[4](8.1) Actual Factors'!$C$56:$C$67,0))</f>
        <v>4729700.7784817787</v>
      </c>
      <c r="H11" s="41">
        <f>+INDEX('[4](8.1) Actual Factors'!$P$56:$P$67,MATCH(H$6,'[4](8.1) Actual Factors'!$C$56:$C$67,0))</f>
        <v>4785769.0417076545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>
        <f>+SUM(F11:Q11)</f>
        <v>14877147.12393311</v>
      </c>
      <c r="T11" s="33"/>
      <c r="U11" s="34"/>
      <c r="V11" s="35"/>
    </row>
    <row r="12" spans="1:22" ht="15.75" customHeight="1">
      <c r="A12" s="22">
        <f>+MAX($A$1:A11)+1</f>
        <v>3</v>
      </c>
      <c r="B12" s="31" t="s">
        <v>40</v>
      </c>
      <c r="D12" s="42" t="str">
        <f>"Line "&amp; $A$10&amp;" / Line "&amp;$A$11&amp;""</f>
        <v>Line 1 / Line 2</v>
      </c>
      <c r="E12" s="35"/>
      <c r="F12" s="43">
        <f>+F10/F11</f>
        <v>26.441251835691883</v>
      </c>
      <c r="G12" s="43">
        <f t="shared" ref="G12:S12" si="1">+G10/G11</f>
        <v>29.160140268803968</v>
      </c>
      <c r="H12" s="43">
        <f t="shared" si="1"/>
        <v>26.248083983003362</v>
      </c>
      <c r="I12" s="43"/>
      <c r="J12" s="43"/>
      <c r="K12" s="43"/>
      <c r="L12" s="43"/>
      <c r="M12" s="43"/>
      <c r="N12" s="43"/>
      <c r="O12" s="43"/>
      <c r="P12" s="43"/>
      <c r="Q12" s="43"/>
      <c r="S12" s="43">
        <f t="shared" si="1"/>
        <v>27.243493818648773</v>
      </c>
      <c r="T12" s="33"/>
      <c r="U12" s="34"/>
      <c r="V12" s="35"/>
    </row>
    <row r="13" spans="1:22" ht="15.75" customHeight="1">
      <c r="B13" s="31"/>
      <c r="D13" s="42"/>
      <c r="E13" s="35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S13" s="39"/>
      <c r="T13" s="33"/>
      <c r="U13" s="34"/>
      <c r="V13" s="35"/>
    </row>
    <row r="14" spans="1:22" ht="15.75" customHeight="1">
      <c r="A14" s="22">
        <f>+MAX($A$1:A13)+1</f>
        <v>4</v>
      </c>
      <c r="B14" s="31" t="s">
        <v>32</v>
      </c>
      <c r="D14" s="42" t="s">
        <v>41</v>
      </c>
      <c r="E14" s="35"/>
      <c r="F14" s="44">
        <v>1.0025158558365412</v>
      </c>
      <c r="G14" s="44">
        <f>+F14</f>
        <v>1.0025158558365412</v>
      </c>
      <c r="H14" s="44">
        <f>+G14</f>
        <v>1.0025158558365412</v>
      </c>
      <c r="I14" s="44"/>
      <c r="J14" s="44"/>
      <c r="K14" s="44"/>
      <c r="L14" s="44"/>
      <c r="M14" s="44"/>
      <c r="N14" s="44"/>
      <c r="O14" s="44"/>
      <c r="P14" s="44"/>
      <c r="Q14" s="44"/>
      <c r="S14" s="44">
        <f>+H14</f>
        <v>1.0025158558365412</v>
      </c>
      <c r="T14" s="33"/>
      <c r="U14" s="34"/>
      <c r="V14" s="35"/>
    </row>
    <row r="15" spans="1:22" ht="15.75" customHeight="1">
      <c r="B15" s="31"/>
      <c r="D15" s="42"/>
      <c r="E15" s="35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S15" s="39"/>
      <c r="T15" s="33"/>
      <c r="U15" s="34"/>
      <c r="V15" s="35"/>
    </row>
    <row r="16" spans="1:22" ht="15.75" customHeight="1">
      <c r="A16" s="22">
        <f>+MAX($A$1:A15)+1</f>
        <v>5</v>
      </c>
      <c r="B16" s="31" t="s">
        <v>42</v>
      </c>
      <c r="D16" s="42" t="str">
        <f>"Line "&amp; $A$14&amp;" * Line "&amp;$A$16&amp;""</f>
        <v>Line 4 * Line 5</v>
      </c>
      <c r="E16" s="35"/>
      <c r="F16" s="43">
        <f>+F12*F14</f>
        <v>26.507774213448165</v>
      </c>
      <c r="G16" s="43">
        <f t="shared" ref="G16:S16" si="2">+G12*G14</f>
        <v>29.2335029778936</v>
      </c>
      <c r="H16" s="43">
        <f t="shared" si="2"/>
        <v>26.314120378290024</v>
      </c>
      <c r="I16" s="43"/>
      <c r="J16" s="43"/>
      <c r="K16" s="43"/>
      <c r="L16" s="43"/>
      <c r="M16" s="43"/>
      <c r="N16" s="43"/>
      <c r="O16" s="43"/>
      <c r="P16" s="43"/>
      <c r="Q16" s="43"/>
      <c r="S16" s="43">
        <f t="shared" si="2"/>
        <v>27.312034521580195</v>
      </c>
      <c r="T16" s="33"/>
      <c r="U16" s="34"/>
      <c r="V16" s="35"/>
    </row>
    <row r="17" spans="1:22" ht="15.75" customHeight="1">
      <c r="B17" s="31"/>
      <c r="D17" s="42"/>
      <c r="E17" s="35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S17" s="39"/>
      <c r="T17" s="33"/>
      <c r="U17" s="34"/>
      <c r="V17" s="35"/>
    </row>
    <row r="18" spans="1:22" ht="15.75" customHeight="1">
      <c r="A18" s="22">
        <f>+MAX($A$1:A17)+1</f>
        <v>6</v>
      </c>
      <c r="B18" s="31" t="s">
        <v>43</v>
      </c>
      <c r="D18" s="38" t="str">
        <f>+'Workpaper Index'!$B$33</f>
        <v>(8.1)</v>
      </c>
      <c r="E18" s="35"/>
      <c r="F18" s="39">
        <f>+INDEX('[4](8.1) Actual Factors'!$K$56:$K$67,MATCH(F$6,'[4](8.1) Actual Factors'!$C$56:$C$67,0))</f>
        <v>2238760.7256878959</v>
      </c>
      <c r="G18" s="39">
        <f>+INDEX('[4](8.1) Actual Factors'!$K$56:$K$67,MATCH(G$6,'[4](8.1) Actual Factors'!$C$56:$C$67,0))</f>
        <v>1946213.984713739</v>
      </c>
      <c r="H18" s="39">
        <f>+INDEX('[4](8.1) Actual Factors'!$K$56:$K$67,MATCH(H$6,'[4](8.1) Actual Factors'!$C$56:$C$67,0))</f>
        <v>2012115.66390894</v>
      </c>
      <c r="I18" s="39"/>
      <c r="J18" s="39"/>
      <c r="K18" s="39"/>
      <c r="L18" s="39"/>
      <c r="M18" s="39"/>
      <c r="N18" s="39"/>
      <c r="O18" s="39"/>
      <c r="P18" s="39"/>
      <c r="Q18" s="39"/>
      <c r="S18" s="39">
        <f>+SUM(F18:Q18)</f>
        <v>6197090.3743105745</v>
      </c>
      <c r="T18" s="33"/>
      <c r="U18" s="34"/>
      <c r="V18" s="35"/>
    </row>
    <row r="19" spans="1:22" ht="15.75" customHeight="1">
      <c r="B19" s="31"/>
      <c r="D19" s="42"/>
      <c r="E19" s="35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S19" s="39"/>
      <c r="T19" s="33"/>
      <c r="U19" s="34"/>
      <c r="V19" s="35"/>
    </row>
    <row r="20" spans="1:22" ht="15.75" customHeight="1">
      <c r="A20" s="22">
        <f>+MAX($A$1:A19)+1</f>
        <v>7</v>
      </c>
      <c r="B20" s="31" t="s">
        <v>44</v>
      </c>
      <c r="D20" s="42" t="str">
        <f>"Line "&amp; $A$16&amp;" * Line "&amp;$A$18&amp;""</f>
        <v>Line 5 * Line 6</v>
      </c>
      <c r="E20" s="35"/>
      <c r="F20" s="39">
        <f>+F16*F18</f>
        <v>59344563.834470108</v>
      </c>
      <c r="G20" s="39">
        <f t="shared" ref="G20" si="3">+G16*G18</f>
        <v>56894652.317747258</v>
      </c>
      <c r="H20" s="45">
        <f>+H16*H18</f>
        <v>52947053.7951428</v>
      </c>
      <c r="I20" s="39"/>
      <c r="J20" s="39"/>
      <c r="K20" s="39"/>
      <c r="L20" s="39"/>
      <c r="M20" s="39"/>
      <c r="N20" s="39"/>
      <c r="O20" s="39"/>
      <c r="P20" s="39"/>
      <c r="Q20" s="39"/>
      <c r="S20" s="39">
        <f>+SUM(F20:Q20)</f>
        <v>169186269.94736016</v>
      </c>
      <c r="T20" s="33"/>
      <c r="U20" s="46"/>
      <c r="V20" s="35"/>
    </row>
    <row r="21" spans="1:22" ht="15.75" customHeight="1">
      <c r="A21" s="22">
        <f>+MAX($A$1:A20)+1</f>
        <v>8</v>
      </c>
      <c r="B21" s="31" t="s">
        <v>45</v>
      </c>
      <c r="D21" s="38" t="str">
        <f>+'Workpaper Index'!$B$30</f>
        <v>(7.1)</v>
      </c>
      <c r="E21" s="35"/>
      <c r="F21" s="41">
        <f>+'[4](7.1) Wheeling Revenues'!G$64</f>
        <v>-2950361.6492699687</v>
      </c>
      <c r="G21" s="41">
        <f>+'[4](7.1) Wheeling Revenues'!H$64</f>
        <v>-2828346.9204758881</v>
      </c>
      <c r="H21" s="41">
        <f>+'[4](7.1) Wheeling Revenues'!I$64</f>
        <v>-3029377.4964753715</v>
      </c>
      <c r="I21" s="41"/>
      <c r="J21" s="41"/>
      <c r="K21" s="41"/>
      <c r="L21" s="41"/>
      <c r="M21" s="41"/>
      <c r="N21" s="41"/>
      <c r="O21" s="41"/>
      <c r="P21" s="41"/>
      <c r="Q21" s="41"/>
      <c r="S21" s="41">
        <f>+SUM(F21:Q21)</f>
        <v>-8808086.0662212297</v>
      </c>
      <c r="T21" s="33"/>
      <c r="U21" s="34"/>
      <c r="V21" s="35"/>
    </row>
    <row r="22" spans="1:22" ht="15.75" customHeight="1">
      <c r="A22" s="22">
        <f>+MAX($A$1:A21)+1</f>
        <v>9</v>
      </c>
      <c r="B22" s="31" t="s">
        <v>46</v>
      </c>
      <c r="D22" s="42" t="str">
        <f>"Line "&amp; $A$20&amp;" + Line "&amp;$A$21&amp;""</f>
        <v>Line 7 + Line 8</v>
      </c>
      <c r="E22" s="35"/>
      <c r="F22" s="39">
        <f>+F20+F21</f>
        <v>56394202.18520014</v>
      </c>
      <c r="G22" s="39">
        <f t="shared" ref="G22:S22" si="4">+G20+G21</f>
        <v>54066305.397271372</v>
      </c>
      <c r="H22" s="39">
        <f t="shared" si="4"/>
        <v>49917676.298667431</v>
      </c>
      <c r="I22" s="39"/>
      <c r="J22" s="39"/>
      <c r="K22" s="39"/>
      <c r="L22" s="39"/>
      <c r="M22" s="39"/>
      <c r="N22" s="39"/>
      <c r="O22" s="39"/>
      <c r="P22" s="39"/>
      <c r="Q22" s="39"/>
      <c r="S22" s="39">
        <f t="shared" si="4"/>
        <v>160378183.88113892</v>
      </c>
      <c r="T22" s="33"/>
      <c r="U22" s="34"/>
      <c r="V22" s="35"/>
    </row>
    <row r="23" spans="1:22" ht="15.75" customHeight="1">
      <c r="B23" s="31"/>
      <c r="D23" s="42"/>
      <c r="E23" s="35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S23" s="37"/>
      <c r="T23" s="33"/>
      <c r="U23" s="34"/>
      <c r="V23" s="35"/>
    </row>
    <row r="24" spans="1:22" ht="15.75" customHeight="1">
      <c r="A24" s="22">
        <f>+MAX($A$1:A23)+1</f>
        <v>10</v>
      </c>
      <c r="B24" s="31" t="s">
        <v>47</v>
      </c>
      <c r="D24" s="42" t="str">
        <f>+'Workpaper Index'!$B$33&amp;", "&amp;'Workpaper Index'!$B$35</f>
        <v>(8.1), (8.3)</v>
      </c>
      <c r="E24" s="35"/>
      <c r="F24" s="41">
        <f>+INDEX('[4](8.3) Utah Sales'!15:15,MATCH(F6,'[4](8.3) Utah Sales'!9:9,0))</f>
        <v>2080024.8839999998</v>
      </c>
      <c r="G24" s="41">
        <f>+INDEX('[4](8.3) Utah Sales'!15:15,MATCH(G6,'[4](8.3) Utah Sales'!9:9,0))</f>
        <v>1778181.71</v>
      </c>
      <c r="H24" s="41">
        <f>+INDEX('[4](8.3) Utah Sales'!15:15,MATCH(H6,'[4](8.3) Utah Sales'!9:9,0))</f>
        <v>1895016.52</v>
      </c>
      <c r="I24" s="41"/>
      <c r="J24" s="41"/>
      <c r="K24" s="41"/>
      <c r="L24" s="41"/>
      <c r="M24" s="41"/>
      <c r="N24" s="41"/>
      <c r="O24" s="41"/>
      <c r="P24" s="41"/>
      <c r="Q24" s="41"/>
      <c r="S24" s="41">
        <f>+SUM(F24:Q24)</f>
        <v>5753223.1140000001</v>
      </c>
      <c r="T24" s="33"/>
      <c r="U24" s="47"/>
      <c r="V24" s="35"/>
    </row>
    <row r="25" spans="1:22" ht="15.75" customHeight="1">
      <c r="A25" s="22">
        <f>+MAX($A$1:A24)+1</f>
        <v>11</v>
      </c>
      <c r="B25" s="48" t="s">
        <v>48</v>
      </c>
      <c r="D25" s="42" t="str">
        <f>"Line "&amp;$A$22&amp;" / Line "&amp;$A$24&amp;""</f>
        <v>Line 9 / Line 10</v>
      </c>
      <c r="E25" s="35"/>
      <c r="F25" s="49">
        <f>+F22/F24</f>
        <v>27.112272847789711</v>
      </c>
      <c r="G25" s="49">
        <f t="shared" ref="G25:H25" si="5">+G22/G24</f>
        <v>30.405388320674703</v>
      </c>
      <c r="H25" s="49">
        <f t="shared" si="5"/>
        <v>26.341552050779711</v>
      </c>
      <c r="I25" s="49"/>
      <c r="J25" s="49"/>
      <c r="K25" s="49"/>
      <c r="L25" s="49"/>
      <c r="M25" s="49"/>
      <c r="N25" s="49"/>
      <c r="O25" s="49"/>
      <c r="P25" s="49"/>
      <c r="Q25" s="49"/>
      <c r="S25" s="49">
        <f>+S22/S24</f>
        <v>27.876232279410765</v>
      </c>
      <c r="T25" s="33"/>
      <c r="U25" s="34"/>
      <c r="V25" s="35"/>
    </row>
    <row r="26" spans="1:22" ht="15.75" customHeight="1">
      <c r="D26" s="4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S26" s="35"/>
      <c r="T26" s="33"/>
      <c r="U26" s="34"/>
      <c r="V26" s="35"/>
    </row>
    <row r="27" spans="1:22" ht="15.75" customHeight="1">
      <c r="A27" s="50" t="s">
        <v>49</v>
      </c>
      <c r="B27" s="51"/>
      <c r="C27" s="52"/>
      <c r="D27" s="4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S27" s="53"/>
      <c r="T27" s="33"/>
      <c r="U27" s="34"/>
      <c r="V27" s="35"/>
    </row>
    <row r="28" spans="1:22" ht="15.75" customHeight="1">
      <c r="A28" s="50"/>
      <c r="B28" s="51"/>
      <c r="C28" s="52"/>
      <c r="D28" s="4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S28" s="53"/>
      <c r="T28" s="33"/>
      <c r="U28" s="34"/>
      <c r="V28" s="35"/>
    </row>
    <row r="29" spans="1:22" ht="15.75" customHeight="1">
      <c r="A29" s="22">
        <f>+MAX($A$1:A28)+1</f>
        <v>12</v>
      </c>
      <c r="B29" s="31" t="s">
        <v>50</v>
      </c>
      <c r="C29" s="36"/>
      <c r="D29" s="38" t="str">
        <f>+'Workpaper Index'!$B$24</f>
        <v>(6.1)</v>
      </c>
      <c r="E29" s="54"/>
      <c r="F29" s="39">
        <f>+INDEX('[4](6.1) Prorated Base NPC'!$22:$22,1,MATCH(F$6,'[4](6.1) Prorated Base NPC'!$30:$30,0))</f>
        <v>50011065.137238234</v>
      </c>
      <c r="G29" s="39">
        <f>+INDEX('[4](6.1) Prorated Base NPC'!$22:$22,1,MATCH(G$6,'[4](6.1) Prorated Base NPC'!$30:$30,0))</f>
        <v>45985167.100023851</v>
      </c>
      <c r="H29" s="39">
        <f>+INDEX('[4](6.1) Prorated Base NPC'!$22:$22,1,MATCH(H$6,'[4](6.1) Prorated Base NPC'!$30:$30,0))</f>
        <v>49906973.15688844</v>
      </c>
      <c r="I29" s="39"/>
      <c r="J29" s="39"/>
      <c r="K29" s="39"/>
      <c r="L29" s="39"/>
      <c r="M29" s="39"/>
      <c r="N29" s="39"/>
      <c r="O29" s="39"/>
      <c r="P29" s="39"/>
      <c r="Q29" s="39"/>
      <c r="S29" s="39">
        <f>+SUM(F29:Q29)</f>
        <v>145903205.39415053</v>
      </c>
      <c r="T29" s="33"/>
      <c r="U29" s="55"/>
      <c r="V29" s="56"/>
    </row>
    <row r="30" spans="1:22" ht="15.75" customHeight="1">
      <c r="A30" s="22">
        <f>+MAX($A$1:A29)+1</f>
        <v>13</v>
      </c>
      <c r="B30" s="31" t="s">
        <v>51</v>
      </c>
      <c r="C30" s="36"/>
      <c r="D30" s="38" t="str">
        <f>+'Workpaper Index'!$B$30</f>
        <v>(7.1)</v>
      </c>
      <c r="E30" s="54"/>
      <c r="F30" s="39">
        <f>+INDEX('[4](7.1) Wheeling Revenues'!$78:$78,MATCH(F$6,'[4](7.1) Wheeling Revenues'!$10:$10,0))</f>
        <v>-2684824.28561325</v>
      </c>
      <c r="G30" s="39">
        <f>+INDEX('[4](7.1) Wheeling Revenues'!$78:$78,MATCH(G$6,'[4](7.1) Wheeling Revenues'!$10:$10,0))</f>
        <v>-2684824.28561325</v>
      </c>
      <c r="H30" s="39">
        <f>+INDEX('[4](7.1) Wheeling Revenues'!$78:$78,MATCH(H$6,'[4](7.1) Wheeling Revenues'!$10:$10,0))</f>
        <v>-2684824.28561325</v>
      </c>
      <c r="I30" s="39"/>
      <c r="J30" s="39"/>
      <c r="K30" s="39"/>
      <c r="L30" s="39"/>
      <c r="M30" s="39"/>
      <c r="N30" s="39"/>
      <c r="O30" s="39"/>
      <c r="P30" s="39"/>
      <c r="Q30" s="39"/>
      <c r="S30" s="39">
        <f>+SUM(F30:Q30)</f>
        <v>-8054472.85683975</v>
      </c>
      <c r="T30" s="57"/>
      <c r="U30" s="34"/>
      <c r="V30" s="35"/>
    </row>
    <row r="31" spans="1:22" ht="15.75" customHeight="1">
      <c r="A31" s="22">
        <f>+MAX($A$1:A30)+1</f>
        <v>14</v>
      </c>
      <c r="B31" s="31" t="s">
        <v>36</v>
      </c>
      <c r="C31" s="36"/>
      <c r="D31" s="42" t="str">
        <f>"∑ Lines "&amp;$A$29&amp;":"&amp;$A$30&amp;""</f>
        <v>∑ Lines 12:13</v>
      </c>
      <c r="E31" s="54"/>
      <c r="F31" s="58">
        <f>+SUM(F29:F30)</f>
        <v>47326240.851624981</v>
      </c>
      <c r="G31" s="58">
        <f>+SUM(G29:G30)</f>
        <v>43300342.814410597</v>
      </c>
      <c r="H31" s="58">
        <f>+SUM(H29:H30)</f>
        <v>47222148.871275187</v>
      </c>
      <c r="I31" s="58"/>
      <c r="J31" s="58"/>
      <c r="K31" s="58"/>
      <c r="L31" s="58"/>
      <c r="M31" s="58"/>
      <c r="N31" s="58"/>
      <c r="O31" s="58"/>
      <c r="P31" s="58"/>
      <c r="Q31" s="58"/>
      <c r="S31" s="58">
        <f>+SUM(F31:Q31)</f>
        <v>137848732.53731078</v>
      </c>
      <c r="T31" s="33"/>
      <c r="U31" s="34"/>
      <c r="V31" s="35"/>
    </row>
    <row r="32" spans="1:22" ht="15.75" customHeight="1">
      <c r="B32" s="31"/>
      <c r="C32" s="36"/>
      <c r="D32" s="42"/>
      <c r="E32" s="54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39"/>
      <c r="T32" s="33"/>
      <c r="U32" s="34"/>
      <c r="V32" s="35"/>
    </row>
    <row r="33" spans="1:22" ht="15.75" customHeight="1">
      <c r="A33" s="22">
        <f>+MAX($A$1:A32)+1</f>
        <v>15</v>
      </c>
      <c r="B33" s="31" t="s">
        <v>52</v>
      </c>
      <c r="C33" s="36"/>
      <c r="D33" s="38" t="str">
        <f>+'Workpaper Index'!$B$24</f>
        <v>(6.1)</v>
      </c>
      <c r="E33" s="54"/>
      <c r="F33" s="39">
        <f>+'[4](6.1) Prorated Base NPC'!J21</f>
        <v>1982626.99979</v>
      </c>
      <c r="G33" s="39">
        <f>+'[4](6.1) Prorated Base NPC'!K21</f>
        <v>1789929.9980000001</v>
      </c>
      <c r="H33" s="39">
        <f>+'[4](6.1) Prorated Base NPC'!L21</f>
        <v>1910070.0009899999</v>
      </c>
      <c r="I33" s="39"/>
      <c r="J33" s="39"/>
      <c r="K33" s="39"/>
      <c r="L33" s="39"/>
      <c r="M33" s="39"/>
      <c r="N33" s="39"/>
      <c r="O33" s="39"/>
      <c r="P33" s="39"/>
      <c r="Q33" s="39"/>
      <c r="S33" s="39">
        <f>+SUM(F33:Q33)</f>
        <v>5682626.99878</v>
      </c>
      <c r="T33" s="33"/>
      <c r="U33" s="34"/>
      <c r="V33" s="35"/>
    </row>
    <row r="34" spans="1:22" ht="15.75" customHeight="1">
      <c r="B34" s="31"/>
      <c r="C34" s="36"/>
      <c r="D34" s="42"/>
      <c r="E34" s="5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S34" s="37"/>
      <c r="T34" s="33"/>
      <c r="U34" s="34"/>
      <c r="V34" s="35"/>
    </row>
    <row r="35" spans="1:22" ht="15.75" customHeight="1">
      <c r="A35" s="22">
        <f>+MAX($A$1:A34)+1</f>
        <v>16</v>
      </c>
      <c r="B35" s="48" t="s">
        <v>53</v>
      </c>
      <c r="C35" s="36"/>
      <c r="D35" s="42" t="str">
        <f>"Line "&amp;$A$31&amp;" / Line "&amp;$A$33&amp;""</f>
        <v>Line 14 / Line 15</v>
      </c>
      <c r="E35" s="54"/>
      <c r="F35" s="49">
        <f>+F31/F33</f>
        <v>23.870471277067132</v>
      </c>
      <c r="G35" s="49">
        <f>+G31/G33</f>
        <v>24.191081697492503</v>
      </c>
      <c r="H35" s="49">
        <f>+H31/H33</f>
        <v>24.722732070971055</v>
      </c>
      <c r="I35" s="49"/>
      <c r="J35" s="49"/>
      <c r="K35" s="49"/>
      <c r="L35" s="49"/>
      <c r="M35" s="49"/>
      <c r="N35" s="49"/>
      <c r="O35" s="49"/>
      <c r="P35" s="49"/>
      <c r="Q35" s="49"/>
      <c r="S35" s="49">
        <f>+S31/S33</f>
        <v>24.257923767811164</v>
      </c>
      <c r="T35" s="33"/>
      <c r="U35" s="34"/>
      <c r="V35" s="35"/>
    </row>
    <row r="36" spans="1:22" ht="15.75" customHeight="1">
      <c r="B36" s="48"/>
      <c r="C36" s="36"/>
      <c r="D36" s="42"/>
      <c r="E36" s="5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S36" s="37"/>
      <c r="T36" s="33"/>
      <c r="U36" s="34"/>
      <c r="V36" s="35"/>
    </row>
    <row r="37" spans="1:22" ht="15.75" customHeight="1">
      <c r="A37" s="36" t="s">
        <v>54</v>
      </c>
      <c r="B37" s="48"/>
      <c r="C37" s="36"/>
      <c r="D37" s="42"/>
      <c r="E37" s="54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S37" s="39"/>
      <c r="T37" s="33"/>
      <c r="U37" s="34"/>
      <c r="V37" s="35"/>
    </row>
    <row r="38" spans="1:22" ht="15.75" customHeight="1">
      <c r="A38" s="36"/>
      <c r="B38" s="48"/>
      <c r="C38" s="36"/>
      <c r="D38" s="42"/>
      <c r="E38" s="54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S38" s="37"/>
      <c r="T38" s="33"/>
      <c r="U38" s="34"/>
      <c r="V38" s="35"/>
    </row>
    <row r="39" spans="1:22" ht="15.75" customHeight="1">
      <c r="A39" s="22">
        <f>+MAX($A$1:A37)+1</f>
        <v>17</v>
      </c>
      <c r="B39" s="31" t="s">
        <v>55</v>
      </c>
      <c r="C39" s="36"/>
      <c r="D39" s="42" t="str">
        <f>"Line "&amp;$A$25&amp;" - Line "&amp;$A$35&amp;""</f>
        <v>Line 11 - Line 16</v>
      </c>
      <c r="E39" s="54"/>
      <c r="F39" s="60">
        <f t="shared" ref="F39:H39" si="6">+F25-F35</f>
        <v>3.2418015707225791</v>
      </c>
      <c r="G39" s="60">
        <f t="shared" si="6"/>
        <v>6.2143066231821997</v>
      </c>
      <c r="H39" s="60">
        <f t="shared" si="6"/>
        <v>1.6188199798086558</v>
      </c>
      <c r="I39" s="60"/>
      <c r="J39" s="60"/>
      <c r="K39" s="60"/>
      <c r="L39" s="60"/>
      <c r="M39" s="60"/>
      <c r="N39" s="60"/>
      <c r="O39" s="60"/>
      <c r="P39" s="60"/>
      <c r="Q39" s="60"/>
      <c r="S39" s="60">
        <f>+S25-S35</f>
        <v>3.6183085115996008</v>
      </c>
      <c r="T39" s="33"/>
      <c r="U39" s="34"/>
      <c r="V39" s="35"/>
    </row>
    <row r="40" spans="1:22" ht="15.75" customHeight="1">
      <c r="B40" s="31"/>
      <c r="C40" s="36"/>
      <c r="D40" s="42"/>
      <c r="E40" s="5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S40" s="43"/>
      <c r="T40" s="33"/>
      <c r="U40" s="34"/>
      <c r="V40" s="35"/>
    </row>
    <row r="41" spans="1:22" ht="15.75" customHeight="1">
      <c r="A41" s="22">
        <f>+MAX($A$1:A40)+1</f>
        <v>18</v>
      </c>
      <c r="B41" s="31" t="s">
        <v>56</v>
      </c>
      <c r="C41" s="36"/>
      <c r="D41" s="42" t="str">
        <f>"Line "&amp;$A$24&amp;" * Line "&amp;$A$39&amp;""</f>
        <v>Line 10 * Line 17</v>
      </c>
      <c r="E41" s="54"/>
      <c r="F41" s="45">
        <f>+F39*F24</f>
        <v>6743027.9360932503</v>
      </c>
      <c r="G41" s="45">
        <f>+G39*G24</f>
        <v>11050166.377674449</v>
      </c>
      <c r="H41" s="45">
        <f>+H39*H24</f>
        <v>3067690.6046434692</v>
      </c>
      <c r="I41" s="45"/>
      <c r="J41" s="39"/>
      <c r="K41" s="45"/>
      <c r="L41" s="45"/>
      <c r="M41" s="45"/>
      <c r="N41" s="45"/>
      <c r="O41" s="45"/>
      <c r="P41" s="39"/>
      <c r="Q41" s="39"/>
      <c r="S41" s="39">
        <f>+SUM(F41:Q41)</f>
        <v>20860884.918411169</v>
      </c>
      <c r="T41" s="33"/>
      <c r="U41" s="34"/>
      <c r="V41" s="35"/>
    </row>
    <row r="42" spans="1:22" ht="15.75" customHeight="1">
      <c r="B42" s="31"/>
      <c r="C42" s="36"/>
      <c r="D42" s="42"/>
      <c r="E42" s="54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S42" s="37"/>
      <c r="T42" s="33"/>
      <c r="U42" s="34"/>
      <c r="V42" s="35"/>
    </row>
    <row r="43" spans="1:22" ht="15.75" customHeight="1">
      <c r="A43" s="22">
        <f>+MAX($A$1:A42)+1</f>
        <v>19</v>
      </c>
      <c r="B43" s="31" t="s">
        <v>57</v>
      </c>
      <c r="C43" s="36"/>
      <c r="D43" s="42" t="str">
        <f>"Line "&amp;A41&amp;" * 70%"</f>
        <v>Line 18 * 70%</v>
      </c>
      <c r="E43" s="54"/>
      <c r="F43" s="39">
        <f>F41*0.7</f>
        <v>4720119.5552652748</v>
      </c>
      <c r="G43" s="39">
        <f>G41*0.7</f>
        <v>7735116.4643721143</v>
      </c>
      <c r="H43" s="39">
        <f>H41*0.7</f>
        <v>2147383.4232504284</v>
      </c>
      <c r="I43" s="39"/>
      <c r="J43" s="39"/>
      <c r="K43" s="39"/>
      <c r="L43" s="39"/>
      <c r="M43" s="39"/>
      <c r="N43" s="39"/>
      <c r="O43" s="39"/>
      <c r="P43" s="39"/>
      <c r="Q43" s="39"/>
      <c r="S43" s="39">
        <f>+SUM(F43:Q43)</f>
        <v>14602619.442887817</v>
      </c>
      <c r="T43" s="33"/>
      <c r="U43" s="34"/>
      <c r="V43" s="35"/>
    </row>
    <row r="44" spans="1:22" ht="15.75" customHeight="1">
      <c r="A44" s="22">
        <f>+MAX($A$1:A43)+1</f>
        <v>20</v>
      </c>
      <c r="B44" s="31" t="s">
        <v>58</v>
      </c>
      <c r="C44" s="36"/>
      <c r="D44" s="38" t="s">
        <v>59</v>
      </c>
      <c r="E44" s="54"/>
      <c r="F44" s="37">
        <f>+INDEX('[4](7.1) Wheeling Revenues'!$63:$63,1,MATCH(F$6,'[4](7.1) Wheeling Revenues'!$10:$10,0))</f>
        <v>0</v>
      </c>
      <c r="G44" s="37">
        <f>+INDEX('[4](7.1) Wheeling Revenues'!$63:$63,1,MATCH(G$6,'[4](7.1) Wheeling Revenues'!$10:$10,0))</f>
        <v>0</v>
      </c>
      <c r="H44" s="37">
        <f>+INDEX('[4](7.1) Wheeling Revenues'!$63:$63,1,MATCH(H$6,'[4](7.1) Wheeling Revenues'!$10:$10,0))</f>
        <v>0</v>
      </c>
      <c r="I44" s="37"/>
      <c r="J44" s="37"/>
      <c r="K44" s="37"/>
      <c r="L44" s="37"/>
      <c r="M44" s="37"/>
      <c r="N44" s="37"/>
      <c r="O44" s="37"/>
      <c r="P44" s="37"/>
      <c r="Q44" s="37"/>
      <c r="S44" s="41">
        <f>+SUM(F44:Q44)</f>
        <v>0</v>
      </c>
      <c r="T44" s="33"/>
      <c r="U44" s="34"/>
      <c r="V44" s="35"/>
    </row>
    <row r="45" spans="1:22" ht="15.75" customHeight="1">
      <c r="A45" s="22">
        <f>+MAX($A$1:A44)+1</f>
        <v>21</v>
      </c>
      <c r="B45" s="48" t="s">
        <v>60</v>
      </c>
      <c r="C45" s="36"/>
      <c r="D45" s="42" t="str">
        <f>"∑ Lines "&amp;$A$43&amp;":"&amp;$A$44&amp;""</f>
        <v>∑ Lines 19:20</v>
      </c>
      <c r="E45" s="54"/>
      <c r="F45" s="61">
        <f>+SUM(F43:F44)</f>
        <v>4720119.5552652748</v>
      </c>
      <c r="G45" s="61">
        <f>+SUM(G43:G44)</f>
        <v>7735116.4643721143</v>
      </c>
      <c r="H45" s="61">
        <f>+SUM(H43:H44)</f>
        <v>2147383.4232504284</v>
      </c>
      <c r="I45" s="61"/>
      <c r="J45" s="61"/>
      <c r="K45" s="61"/>
      <c r="L45" s="61"/>
      <c r="M45" s="61"/>
      <c r="N45" s="61"/>
      <c r="O45" s="61"/>
      <c r="P45" s="61"/>
      <c r="Q45" s="61"/>
      <c r="S45" s="37">
        <f>+SUM(F45:Q45)</f>
        <v>14602619.442887817</v>
      </c>
      <c r="T45" s="33"/>
      <c r="U45" s="34"/>
      <c r="V45" s="35"/>
    </row>
    <row r="46" spans="1:22" ht="15.75" customHeight="1">
      <c r="B46" s="48"/>
      <c r="C46" s="36"/>
      <c r="D46" s="42"/>
      <c r="E46" s="54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S46" s="37"/>
      <c r="T46" s="33"/>
      <c r="U46" s="34"/>
      <c r="V46" s="35"/>
    </row>
    <row r="47" spans="1:22" ht="15.75" customHeight="1">
      <c r="A47" s="36" t="s">
        <v>61</v>
      </c>
      <c r="B47" s="48"/>
      <c r="C47" s="36"/>
      <c r="D47" s="42"/>
      <c r="E47" s="54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S47" s="37"/>
      <c r="T47" s="33"/>
      <c r="U47" s="34"/>
      <c r="V47" s="35"/>
    </row>
    <row r="48" spans="1:22" ht="15.75" customHeight="1">
      <c r="B48" s="48"/>
      <c r="C48" s="62"/>
      <c r="D48" s="42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S48" s="64"/>
      <c r="T48" s="65"/>
      <c r="U48" s="34"/>
      <c r="V48" s="35"/>
    </row>
    <row r="49" spans="1:22" ht="15.75" customHeight="1">
      <c r="A49" s="22">
        <f>+MAX($A$1:A48)+1</f>
        <v>22</v>
      </c>
      <c r="B49" s="31" t="s">
        <v>62</v>
      </c>
      <c r="C49" s="66"/>
      <c r="D49" s="42" t="s">
        <v>63</v>
      </c>
      <c r="E49" s="67"/>
      <c r="F49" s="68">
        <v>5.0000000000000001E-3</v>
      </c>
      <c r="G49" s="68">
        <f>+F49</f>
        <v>5.0000000000000001E-3</v>
      </c>
      <c r="H49" s="68">
        <f t="shared" ref="H49" si="7">+G49</f>
        <v>5.0000000000000001E-3</v>
      </c>
      <c r="I49" s="68"/>
      <c r="J49" s="68"/>
      <c r="K49" s="68"/>
      <c r="L49" s="68"/>
      <c r="M49" s="68"/>
      <c r="N49" s="68"/>
      <c r="O49" s="68"/>
      <c r="P49" s="68"/>
      <c r="Q49" s="68"/>
      <c r="S49" s="68"/>
      <c r="T49" s="69"/>
      <c r="U49" s="34"/>
      <c r="V49" s="35"/>
    </row>
    <row r="50" spans="1:22" ht="15.75" customHeight="1">
      <c r="A50" s="22">
        <f>+MAX($A$1:A49)+1</f>
        <v>23</v>
      </c>
      <c r="B50" s="31" t="s">
        <v>64</v>
      </c>
      <c r="C50" s="66"/>
      <c r="D50" s="42" t="str">
        <f>"Prior Month Line "&amp;$A$53&amp;""</f>
        <v>Prior Month Line 26</v>
      </c>
      <c r="E50" s="67"/>
      <c r="F50" s="70">
        <v>0</v>
      </c>
      <c r="G50" s="70">
        <f t="shared" ref="G50:H50" si="8">+F53</f>
        <v>4731919.8541534385</v>
      </c>
      <c r="H50" s="70">
        <f t="shared" si="8"/>
        <v>12510033.708957251</v>
      </c>
      <c r="I50" s="70"/>
      <c r="J50" s="70"/>
      <c r="K50" s="70"/>
      <c r="L50" s="70"/>
      <c r="M50" s="70"/>
      <c r="N50" s="70"/>
      <c r="O50" s="70"/>
      <c r="P50" s="70"/>
      <c r="Q50" s="70"/>
      <c r="S50" s="70">
        <f>+F50</f>
        <v>0</v>
      </c>
      <c r="T50" s="71"/>
      <c r="U50" s="34"/>
      <c r="V50" s="35"/>
    </row>
    <row r="51" spans="1:22" ht="15.75" customHeight="1">
      <c r="A51" s="22">
        <f>+MAX($A$1:A50)+1</f>
        <v>24</v>
      </c>
      <c r="B51" s="31" t="s">
        <v>65</v>
      </c>
      <c r="C51" s="66"/>
      <c r="D51" s="42" t="str">
        <f>"Line "&amp;$A$45</f>
        <v>Line 21</v>
      </c>
      <c r="E51" s="67"/>
      <c r="F51" s="70">
        <f>+F45</f>
        <v>4720119.5552652748</v>
      </c>
      <c r="G51" s="70">
        <f>+G45</f>
        <v>7735116.4643721143</v>
      </c>
      <c r="H51" s="70">
        <f>+H45</f>
        <v>2147383.4232504284</v>
      </c>
      <c r="I51" s="70"/>
      <c r="J51" s="70"/>
      <c r="K51" s="70"/>
      <c r="L51" s="70"/>
      <c r="M51" s="70"/>
      <c r="N51" s="70"/>
      <c r="O51" s="70"/>
      <c r="P51" s="70"/>
      <c r="Q51" s="70"/>
      <c r="S51" s="70">
        <f>+SUM(F51:Q51)</f>
        <v>14602619.442887817</v>
      </c>
      <c r="T51" s="71"/>
      <c r="U51" s="34"/>
      <c r="V51" s="35"/>
    </row>
    <row r="52" spans="1:22" ht="15.75" customHeight="1">
      <c r="A52" s="22">
        <f>+MAX($A$1:A51)+1</f>
        <v>25</v>
      </c>
      <c r="B52" s="72" t="s">
        <v>66</v>
      </c>
      <c r="C52" s="66"/>
      <c r="D52" s="42" t="str">
        <f>"Line "&amp;$A$49&amp;" * ( Line "&amp;$A$50&amp;" + 50% x Line "&amp;$A$51&amp;")"</f>
        <v>Line 22 * ( Line 23 + 50% x Line 24)</v>
      </c>
      <c r="E52" s="67"/>
      <c r="F52" s="73">
        <f t="shared" ref="F52:H52" si="9">+(F50+0.5*SUM(F51:F51))*F49</f>
        <v>11800.298888163188</v>
      </c>
      <c r="G52" s="73">
        <f t="shared" si="9"/>
        <v>42997.39043169748</v>
      </c>
      <c r="H52" s="73">
        <f t="shared" si="9"/>
        <v>67918.627102912331</v>
      </c>
      <c r="I52" s="73"/>
      <c r="J52" s="73"/>
      <c r="K52" s="73"/>
      <c r="L52" s="73"/>
      <c r="M52" s="73"/>
      <c r="N52" s="73"/>
      <c r="O52" s="73"/>
      <c r="P52" s="73"/>
      <c r="Q52" s="73"/>
      <c r="S52" s="39">
        <f>+SUM(F52:Q52)</f>
        <v>122716.316422773</v>
      </c>
      <c r="T52" s="71"/>
      <c r="U52" s="34"/>
      <c r="V52" s="35"/>
    </row>
    <row r="53" spans="1:22" ht="15.75" customHeight="1">
      <c r="A53" s="22">
        <f>+MAX($A$1:A52)+1</f>
        <v>26</v>
      </c>
      <c r="B53" s="48" t="s">
        <v>67</v>
      </c>
      <c r="C53" s="66"/>
      <c r="D53" s="42" t="str">
        <f>"∑ Lines "&amp;$A$50&amp;":"&amp;$A$52&amp;""</f>
        <v>∑ Lines 23:25</v>
      </c>
      <c r="E53" s="67"/>
      <c r="F53" s="61">
        <f t="shared" ref="F53:H53" si="10">+SUM(F50:F52)</f>
        <v>4731919.8541534385</v>
      </c>
      <c r="G53" s="61">
        <f t="shared" si="10"/>
        <v>12510033.708957251</v>
      </c>
      <c r="H53" s="61">
        <f t="shared" si="10"/>
        <v>14725335.759310592</v>
      </c>
      <c r="I53" s="61"/>
      <c r="J53" s="61"/>
      <c r="K53" s="61"/>
      <c r="L53" s="61"/>
      <c r="M53" s="61"/>
      <c r="N53" s="61"/>
      <c r="O53" s="61"/>
      <c r="P53" s="61"/>
      <c r="Q53" s="61"/>
      <c r="S53" s="61">
        <f>+SUM(S50:S52)</f>
        <v>14725335.75931059</v>
      </c>
      <c r="T53" s="71"/>
      <c r="U53" s="34"/>
      <c r="V53" s="35"/>
    </row>
    <row r="54" spans="1:22" ht="15.75" customHeight="1">
      <c r="B54" s="36"/>
      <c r="C54" s="36"/>
      <c r="E54" s="36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S54" s="69"/>
      <c r="T54" s="69"/>
      <c r="U54" s="34"/>
      <c r="V54" s="35"/>
    </row>
    <row r="55" spans="1:22" ht="15.75" customHeight="1">
      <c r="B55" s="24"/>
      <c r="C55" s="36"/>
      <c r="E55" s="36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S55" s="69"/>
      <c r="T55" s="69"/>
      <c r="U55" s="34"/>
      <c r="V55" s="35"/>
    </row>
    <row r="56" spans="1:22" ht="15.75" customHeight="1">
      <c r="A56" s="18" t="s">
        <v>68</v>
      </c>
      <c r="C56" s="36"/>
      <c r="E56" s="36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S56" s="69"/>
      <c r="T56" s="69"/>
      <c r="U56" s="34"/>
      <c r="V56" s="35"/>
    </row>
    <row r="57" spans="1:22" ht="15.75" customHeight="1">
      <c r="A57" s="75">
        <v>1</v>
      </c>
      <c r="B57" s="76" t="s">
        <v>69</v>
      </c>
      <c r="C57" s="36"/>
      <c r="E57" s="36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S57" s="69"/>
      <c r="T57" s="69"/>
      <c r="U57" s="34"/>
      <c r="V57" s="35"/>
    </row>
    <row r="58" spans="1:22" ht="15.75" customHeight="1">
      <c r="A58" s="75">
        <v>2</v>
      </c>
      <c r="B58" s="76" t="s">
        <v>70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S58" s="77"/>
      <c r="T58" s="77"/>
      <c r="U58" s="34"/>
      <c r="V58" s="35"/>
    </row>
    <row r="59" spans="1:22" ht="15.75" customHeight="1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S59" s="77"/>
      <c r="T59" s="77"/>
      <c r="U59" s="34"/>
      <c r="V59" s="35"/>
    </row>
    <row r="60" spans="1:22" ht="15.75" customHeight="1"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S60" s="77"/>
      <c r="T60" s="77"/>
      <c r="U60" s="34"/>
      <c r="V60" s="35"/>
    </row>
    <row r="61" spans="1:22" ht="15.75" customHeight="1"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S61" s="77"/>
      <c r="T61" s="77"/>
      <c r="U61" s="34"/>
      <c r="V61" s="35"/>
    </row>
    <row r="62" spans="1:22" ht="15.75" customHeight="1"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S62" s="77"/>
      <c r="T62" s="77"/>
      <c r="U62" s="34"/>
      <c r="V62" s="35"/>
    </row>
    <row r="63" spans="1:22" ht="15.75" customHeight="1"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S63" s="77"/>
      <c r="T63" s="77"/>
      <c r="U63" s="34"/>
      <c r="V63" s="35"/>
    </row>
    <row r="64" spans="1:22" ht="15.75" customHeight="1"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S64" s="77"/>
      <c r="T64" s="77"/>
      <c r="U64" s="34"/>
      <c r="V64" s="35"/>
    </row>
    <row r="65" spans="6:22" ht="15.75" customHeight="1"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S65" s="77"/>
      <c r="T65" s="77"/>
      <c r="U65" s="34"/>
      <c r="V65" s="35"/>
    </row>
    <row r="66" spans="6:22" ht="15.75" customHeight="1"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S66" s="77"/>
      <c r="T66" s="77"/>
      <c r="U66" s="34"/>
      <c r="V66" s="35"/>
    </row>
    <row r="67" spans="6:22" ht="15.75" customHeight="1"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S67" s="35"/>
      <c r="T67" s="35"/>
      <c r="U67" s="34"/>
      <c r="V67" s="35"/>
    </row>
    <row r="68" spans="6:22" ht="15.75" customHeight="1"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S68" s="35"/>
      <c r="T68" s="35"/>
      <c r="U68" s="34"/>
      <c r="V68" s="35"/>
    </row>
    <row r="69" spans="6:22" ht="15.75" customHeight="1"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S69" s="35"/>
      <c r="T69" s="35"/>
      <c r="U69" s="34"/>
      <c r="V69" s="35"/>
    </row>
    <row r="70" spans="6:22" ht="15.75" customHeight="1"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S70" s="35"/>
      <c r="T70" s="35"/>
      <c r="U70" s="34"/>
      <c r="V70" s="35"/>
    </row>
    <row r="71" spans="6:22" ht="15.75" customHeight="1"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S71" s="35"/>
      <c r="T71" s="35"/>
      <c r="U71" s="34"/>
      <c r="V71" s="35"/>
    </row>
    <row r="72" spans="6:22" ht="15.75" customHeight="1"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S72" s="35"/>
      <c r="T72" s="35"/>
      <c r="U72" s="34"/>
      <c r="V72" s="35"/>
    </row>
    <row r="73" spans="6:22" ht="15.75" customHeight="1"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S73" s="35"/>
      <c r="T73" s="35"/>
      <c r="U73" s="34"/>
      <c r="V73" s="35"/>
    </row>
    <row r="74" spans="6:22" ht="15.75" customHeight="1"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S74" s="35"/>
      <c r="T74" s="35"/>
      <c r="U74" s="34"/>
      <c r="V74" s="35"/>
    </row>
    <row r="75" spans="6:22" ht="15.75" customHeight="1"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S75" s="35"/>
      <c r="T75" s="35"/>
      <c r="U75" s="34"/>
      <c r="V75" s="35"/>
    </row>
    <row r="76" spans="6:22" ht="15.75" customHeight="1"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S76" s="35"/>
      <c r="T76" s="35"/>
      <c r="U76" s="34"/>
      <c r="V76" s="35"/>
    </row>
    <row r="77" spans="6:22" ht="15.75" customHeight="1"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S77" s="35"/>
      <c r="T77" s="35"/>
      <c r="U77" s="34"/>
      <c r="V77" s="35"/>
    </row>
    <row r="78" spans="6:22" ht="15.75" customHeight="1"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S78" s="35"/>
      <c r="T78" s="35"/>
      <c r="U78" s="34"/>
      <c r="V78" s="35"/>
    </row>
    <row r="79" spans="6:22" ht="15.75" customHeight="1"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S79" s="35"/>
      <c r="T79" s="35"/>
      <c r="U79" s="34"/>
      <c r="V79" s="35"/>
    </row>
    <row r="80" spans="6:22" ht="15.75" customHeight="1"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S80" s="35"/>
      <c r="T80" s="35"/>
      <c r="U80" s="34"/>
      <c r="V80" s="35"/>
    </row>
    <row r="81" spans="6:22" ht="15.75" customHeight="1"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S81" s="35"/>
      <c r="T81" s="35"/>
      <c r="U81" s="34"/>
      <c r="V81" s="35"/>
    </row>
    <row r="82" spans="6:22" ht="15.75" customHeight="1"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S82" s="35"/>
      <c r="T82" s="35"/>
      <c r="U82" s="34"/>
      <c r="V82" s="35"/>
    </row>
    <row r="83" spans="6:22" ht="15.75" customHeight="1"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S83" s="35"/>
      <c r="T83" s="35"/>
      <c r="U83" s="34"/>
      <c r="V83" s="35"/>
    </row>
    <row r="84" spans="6:22" ht="15.75" customHeight="1"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S84" s="35"/>
      <c r="T84" s="35"/>
      <c r="U84" s="34"/>
      <c r="V84" s="35"/>
    </row>
    <row r="85" spans="6:22" ht="15.75" customHeight="1"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S85" s="35"/>
      <c r="T85" s="35"/>
      <c r="U85" s="34"/>
      <c r="V85" s="35"/>
    </row>
    <row r="86" spans="6:22" ht="15.75" customHeight="1"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S86" s="35"/>
      <c r="T86" s="35"/>
      <c r="U86" s="34"/>
      <c r="V86" s="35"/>
    </row>
    <row r="87" spans="6:22" ht="15.75" customHeight="1"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S87" s="35"/>
      <c r="T87" s="35"/>
      <c r="U87" s="34"/>
      <c r="V87" s="35"/>
    </row>
    <row r="88" spans="6:22" ht="15.75" customHeight="1"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S88" s="35"/>
      <c r="T88" s="35"/>
      <c r="U88" s="34"/>
      <c r="V88" s="35"/>
    </row>
    <row r="89" spans="6:22" ht="15.75" customHeight="1"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S89" s="35"/>
      <c r="T89" s="35"/>
      <c r="U89" s="34"/>
      <c r="V89" s="35"/>
    </row>
    <row r="90" spans="6:22" ht="15.75" customHeight="1"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S90" s="35"/>
      <c r="T90" s="35"/>
      <c r="U90" s="34"/>
      <c r="V90" s="35"/>
    </row>
    <row r="91" spans="6:22" ht="15.75" customHeight="1"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S91" s="35"/>
      <c r="T91" s="35"/>
      <c r="U91" s="34"/>
      <c r="V91" s="35"/>
    </row>
    <row r="92" spans="6:22" ht="15.75" customHeight="1"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S92" s="35"/>
      <c r="T92" s="35"/>
      <c r="U92" s="34"/>
      <c r="V92" s="35"/>
    </row>
    <row r="93" spans="6:22" ht="15.75" customHeight="1"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S93" s="35"/>
      <c r="T93" s="35"/>
      <c r="U93" s="34"/>
      <c r="V93" s="35"/>
    </row>
    <row r="94" spans="6:22" ht="15.75" customHeight="1"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S94" s="35"/>
      <c r="T94" s="35"/>
      <c r="U94" s="34"/>
      <c r="V94" s="35"/>
    </row>
    <row r="95" spans="6:22" ht="15.75" customHeight="1"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S95" s="35"/>
      <c r="T95" s="35"/>
      <c r="U95" s="34"/>
      <c r="V95" s="35"/>
    </row>
    <row r="96" spans="6:22" ht="15.75" customHeight="1"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S96" s="35"/>
      <c r="T96" s="35"/>
      <c r="U96" s="34"/>
      <c r="V96" s="35"/>
    </row>
    <row r="97" spans="6:22" ht="15.75" customHeight="1"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S97" s="35"/>
      <c r="T97" s="35"/>
      <c r="U97" s="34"/>
      <c r="V97" s="35"/>
    </row>
    <row r="98" spans="6:22" ht="15.75" customHeight="1"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S98" s="35"/>
      <c r="T98" s="35"/>
      <c r="U98" s="34"/>
      <c r="V98" s="35"/>
    </row>
    <row r="99" spans="6:22" ht="15.75" customHeight="1"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S99" s="35"/>
      <c r="T99" s="35"/>
      <c r="U99" s="34"/>
      <c r="V99" s="35"/>
    </row>
    <row r="100" spans="6:22" ht="15.75" customHeight="1"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S100" s="35"/>
      <c r="T100" s="35"/>
      <c r="U100" s="34"/>
      <c r="V100" s="35"/>
    </row>
    <row r="101" spans="6:22" ht="15.75" customHeight="1"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S101" s="35"/>
      <c r="T101" s="35"/>
      <c r="U101" s="34"/>
      <c r="V101" s="35"/>
    </row>
    <row r="102" spans="6:22" ht="15.75" customHeight="1"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S102" s="35"/>
      <c r="T102" s="35"/>
      <c r="U102" s="34"/>
      <c r="V102" s="35"/>
    </row>
    <row r="103" spans="6:22" ht="15.75" customHeight="1"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S103" s="35"/>
      <c r="T103" s="35"/>
      <c r="U103" s="34"/>
      <c r="V103" s="35"/>
    </row>
    <row r="104" spans="6:22" ht="15.75" customHeight="1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S104" s="35"/>
      <c r="T104" s="35"/>
      <c r="U104" s="34"/>
      <c r="V104" s="35"/>
    </row>
    <row r="105" spans="6:22" ht="15.75" customHeight="1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S105" s="35"/>
      <c r="T105" s="35"/>
      <c r="U105" s="34"/>
      <c r="V105" s="35"/>
    </row>
    <row r="106" spans="6:22" ht="15.75" customHeight="1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S106" s="35"/>
      <c r="T106" s="35"/>
      <c r="U106" s="34"/>
      <c r="V106" s="35"/>
    </row>
    <row r="107" spans="6:22" ht="15.75" customHeight="1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S107" s="35"/>
      <c r="T107" s="35"/>
      <c r="U107" s="34"/>
      <c r="V107" s="35"/>
    </row>
    <row r="108" spans="6:22" ht="15.75" customHeight="1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S108" s="35"/>
      <c r="T108" s="35"/>
      <c r="U108" s="34"/>
      <c r="V108" s="35"/>
    </row>
    <row r="109" spans="6:22" ht="15.75" customHeight="1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S109" s="35"/>
      <c r="T109" s="35"/>
      <c r="U109" s="34"/>
      <c r="V109" s="35"/>
    </row>
    <row r="110" spans="6:22" ht="15.75" customHeight="1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S110" s="35"/>
      <c r="T110" s="35"/>
      <c r="U110" s="34"/>
      <c r="V110" s="35"/>
    </row>
    <row r="111" spans="6:22" ht="15.75" customHeight="1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S111" s="35"/>
      <c r="T111" s="35"/>
      <c r="U111" s="34"/>
      <c r="V111" s="35"/>
    </row>
    <row r="112" spans="6:22" ht="15.75" customHeight="1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S112" s="35"/>
      <c r="T112" s="35"/>
      <c r="U112" s="34"/>
      <c r="V112" s="35"/>
    </row>
    <row r="113" spans="6:22" ht="15.75" customHeight="1"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S113" s="35"/>
      <c r="T113" s="35"/>
      <c r="U113" s="34"/>
      <c r="V113" s="35"/>
    </row>
    <row r="114" spans="6:22" ht="15.75" customHeight="1"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S114" s="35"/>
      <c r="T114" s="35"/>
      <c r="U114" s="34"/>
      <c r="V114" s="35"/>
    </row>
    <row r="115" spans="6:22" ht="15.75" customHeight="1"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S115" s="35"/>
      <c r="T115" s="35"/>
      <c r="U115" s="34"/>
      <c r="V115" s="35"/>
    </row>
    <row r="116" spans="6:22" ht="15.75" customHeight="1"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S116" s="35"/>
      <c r="T116" s="35"/>
      <c r="U116" s="34"/>
      <c r="V116" s="35"/>
    </row>
    <row r="117" spans="6:22" ht="15.75" customHeight="1"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S117" s="35"/>
      <c r="T117" s="35"/>
      <c r="U117" s="34"/>
      <c r="V117" s="35"/>
    </row>
    <row r="118" spans="6:22" ht="15.75" customHeight="1"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S118" s="35"/>
      <c r="T118" s="35"/>
      <c r="U118" s="34"/>
      <c r="V118" s="35"/>
    </row>
    <row r="119" spans="6:22" ht="15.75" customHeight="1"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S119" s="35"/>
      <c r="T119" s="35"/>
      <c r="U119" s="34"/>
      <c r="V119" s="35"/>
    </row>
    <row r="120" spans="6:22" ht="15.75" customHeight="1"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S120" s="35"/>
      <c r="T120" s="35"/>
      <c r="U120" s="34"/>
      <c r="V120" s="35"/>
    </row>
    <row r="121" spans="6:22" ht="15.75" customHeight="1"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S121" s="35"/>
      <c r="T121" s="35"/>
      <c r="U121" s="34"/>
      <c r="V121" s="35"/>
    </row>
    <row r="122" spans="6:22" ht="15.75" customHeight="1"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S122" s="35"/>
      <c r="T122" s="35"/>
      <c r="U122" s="34"/>
      <c r="V122" s="35"/>
    </row>
    <row r="123" spans="6:22" ht="15.75" customHeight="1"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S123" s="35"/>
      <c r="T123" s="35"/>
      <c r="U123" s="34"/>
      <c r="V123" s="35"/>
    </row>
    <row r="124" spans="6:22" ht="15.75" customHeight="1"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S124" s="35"/>
      <c r="T124" s="35"/>
      <c r="U124" s="34"/>
      <c r="V124" s="35"/>
    </row>
    <row r="125" spans="6:22" ht="15.75" customHeight="1"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S125" s="35"/>
      <c r="T125" s="35"/>
      <c r="U125" s="34"/>
      <c r="V125" s="35"/>
    </row>
    <row r="126" spans="6:22" ht="15.75" customHeight="1"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S126" s="35"/>
      <c r="T126" s="35"/>
      <c r="U126" s="34"/>
      <c r="V126" s="35"/>
    </row>
    <row r="127" spans="6:22" ht="15.75" customHeight="1"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S127" s="35"/>
      <c r="T127" s="35"/>
      <c r="U127" s="34"/>
      <c r="V127" s="35"/>
    </row>
    <row r="128" spans="6:22" ht="15.75" customHeight="1"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S128" s="35"/>
      <c r="T128" s="35"/>
      <c r="U128" s="34"/>
      <c r="V128" s="35"/>
    </row>
    <row r="129" spans="6:22" ht="15.75" customHeight="1"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S129" s="35"/>
      <c r="T129" s="35"/>
      <c r="U129" s="34"/>
      <c r="V129" s="35"/>
    </row>
    <row r="130" spans="6:22" ht="15.75" customHeight="1"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S130" s="35"/>
      <c r="T130" s="35"/>
      <c r="U130" s="34"/>
      <c r="V130" s="35"/>
    </row>
    <row r="131" spans="6:22" ht="15.75" customHeight="1"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S131" s="35"/>
      <c r="T131" s="35"/>
      <c r="U131" s="34"/>
      <c r="V131" s="35"/>
    </row>
    <row r="132" spans="6:22" ht="15.75" customHeight="1"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S132" s="35"/>
      <c r="T132" s="35"/>
      <c r="U132" s="34"/>
      <c r="V132" s="35"/>
    </row>
    <row r="133" spans="6:22" ht="15.75" customHeight="1"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S133" s="35"/>
      <c r="T133" s="35"/>
      <c r="U133" s="34"/>
      <c r="V133" s="35"/>
    </row>
    <row r="134" spans="6:22" ht="15.75" customHeight="1"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S134" s="35"/>
      <c r="T134" s="35"/>
      <c r="U134" s="34"/>
      <c r="V134" s="35"/>
    </row>
    <row r="135" spans="6:22" ht="15.75" customHeight="1"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S135" s="35"/>
      <c r="T135" s="35"/>
      <c r="U135" s="34"/>
      <c r="V135" s="35"/>
    </row>
    <row r="136" spans="6:22" ht="15.75" customHeight="1"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S136" s="35"/>
      <c r="T136" s="35"/>
      <c r="U136" s="34"/>
      <c r="V136" s="35"/>
    </row>
    <row r="137" spans="6:22" ht="15.75" customHeight="1"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S137" s="35"/>
      <c r="T137" s="35"/>
      <c r="U137" s="34"/>
      <c r="V137" s="35"/>
    </row>
    <row r="138" spans="6:22" ht="15.75" customHeight="1"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S138" s="35"/>
      <c r="T138" s="35"/>
      <c r="U138" s="34"/>
      <c r="V138" s="35"/>
    </row>
    <row r="139" spans="6:22" ht="15.75" customHeight="1"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S139" s="35"/>
      <c r="T139" s="35"/>
      <c r="U139" s="34"/>
      <c r="V139" s="35"/>
    </row>
    <row r="140" spans="6:22" ht="15.75" customHeight="1"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S140" s="35"/>
      <c r="T140" s="35"/>
      <c r="U140" s="34"/>
      <c r="V140" s="35"/>
    </row>
    <row r="141" spans="6:22" ht="15.75" customHeight="1"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4"/>
      <c r="V141" s="35"/>
    </row>
    <row r="142" spans="6:22" ht="15.75" customHeight="1"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4"/>
      <c r="V142" s="35"/>
    </row>
    <row r="143" spans="6:22" ht="15.75" customHeight="1"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4"/>
      <c r="V143" s="35"/>
    </row>
    <row r="144" spans="6:22" ht="15.75" customHeight="1"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4"/>
      <c r="V144" s="35"/>
    </row>
    <row r="145" spans="6:22" ht="15.75" customHeight="1"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4"/>
      <c r="V145" s="35"/>
    </row>
    <row r="146" spans="6:22" ht="15.75" customHeight="1"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4"/>
      <c r="V146" s="35"/>
    </row>
    <row r="147" spans="6:22" ht="15.75" customHeight="1"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4"/>
      <c r="V147" s="35"/>
    </row>
    <row r="148" spans="6:22" ht="15.75" customHeight="1"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4"/>
      <c r="V148" s="35"/>
    </row>
    <row r="149" spans="6:22" ht="15.75" customHeight="1"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4"/>
      <c r="V149" s="35"/>
    </row>
    <row r="150" spans="6:22" ht="15.75" customHeight="1"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4"/>
      <c r="V150" s="35"/>
    </row>
    <row r="151" spans="6:22" ht="15.75" customHeight="1"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4"/>
      <c r="V151" s="35"/>
    </row>
    <row r="152" spans="6:22" ht="15.75" customHeight="1"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4"/>
      <c r="V152" s="35"/>
    </row>
    <row r="153" spans="6:22" ht="15.75" customHeight="1"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4"/>
      <c r="V153" s="35"/>
    </row>
    <row r="154" spans="6:22" ht="15.75" customHeight="1"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4"/>
      <c r="V154" s="35"/>
    </row>
    <row r="155" spans="6:22" ht="15.75" customHeight="1"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4"/>
      <c r="V155" s="35"/>
    </row>
    <row r="156" spans="6:22" ht="15.75" customHeight="1"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4"/>
      <c r="V156" s="35"/>
    </row>
    <row r="157" spans="6:22" ht="15.75" customHeight="1"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4"/>
      <c r="V157" s="35"/>
    </row>
    <row r="158" spans="6:22" ht="15.75" customHeight="1"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4"/>
      <c r="V158" s="35"/>
    </row>
    <row r="159" spans="6:22" ht="15.75" customHeight="1"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4"/>
      <c r="V159" s="35"/>
    </row>
    <row r="160" spans="6:22" ht="15.75" customHeight="1"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4"/>
      <c r="V160" s="35"/>
    </row>
  </sheetData>
  <pageMargins left="0.25" right="0.25" top="0.5" bottom="0.25" header="0" footer="0.3"/>
  <pageSetup scale="60" fitToWidth="0" fitToHeight="0" orientation="landscape" r:id="rId1"/>
  <headerFooter alignWithMargins="0">
    <oddFooter>&amp;C&amp;"arial"&amp;11Exhibit 1 - Stipulated Scalar Energy Balancing Account Calculation&amp;R&amp;"arial"&amp;11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showGridLines="0" zoomScale="90" zoomScaleNormal="90" zoomScaleSheetLayoutView="70" workbookViewId="0">
      <selection activeCell="C40" sqref="C40"/>
    </sheetView>
  </sheetViews>
  <sheetFormatPr defaultColWidth="9.140625" defaultRowHeight="15.75" customHeight="1"/>
  <cols>
    <col min="1" max="1" width="5.5703125" style="78" customWidth="1"/>
    <col min="2" max="2" width="37.140625" style="79" customWidth="1"/>
    <col min="3" max="3" width="2.28515625" style="35" customWidth="1"/>
    <col min="4" max="4" width="25.140625" style="42" customWidth="1"/>
    <col min="5" max="5" width="2.28515625" style="35" customWidth="1"/>
    <col min="6" max="6" width="11.42578125" style="35" customWidth="1"/>
    <col min="7" max="7" width="12.140625" style="35" bestFit="1" customWidth="1"/>
    <col min="8" max="8" width="12.5703125" style="35" bestFit="1" customWidth="1"/>
    <col min="9" max="10" width="11.42578125" style="35" customWidth="1"/>
    <col min="11" max="11" width="11.7109375" style="35" customWidth="1"/>
    <col min="12" max="12" width="11.42578125" style="35" customWidth="1"/>
    <col min="13" max="14" width="12.5703125" style="35" bestFit="1" customWidth="1"/>
    <col min="15" max="17" width="11.42578125" style="35" customWidth="1"/>
    <col min="18" max="18" width="2.28515625" style="35" customWidth="1"/>
    <col min="19" max="19" width="12.5703125" style="35" bestFit="1" customWidth="1"/>
    <col min="20" max="20" width="2.28515625" style="35" customWidth="1"/>
    <col min="21" max="21" width="20.28515625" style="80" customWidth="1"/>
    <col min="22" max="23" width="9.7109375" style="35" customWidth="1"/>
    <col min="24" max="16384" width="9.140625" style="35"/>
  </cols>
  <sheetData>
    <row r="1" spans="1:21" s="18" customFormat="1" ht="15.75" customHeight="1">
      <c r="A1" s="16" t="str">
        <f>+'Workpaper Index'!C4</f>
        <v>Utah Energy Balancing Account Mechanism</v>
      </c>
      <c r="B1" s="17"/>
      <c r="D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18" customFormat="1" ht="15.75" customHeight="1">
      <c r="A2" s="16" t="str">
        <f>+'Workpaper Index'!C5</f>
        <v>January 1, 2014 - December 31, 2014</v>
      </c>
      <c r="B2" s="17"/>
      <c r="D2" s="19"/>
      <c r="U2" s="21"/>
    </row>
    <row r="3" spans="1:21" s="18" customFormat="1" ht="15.75" customHeight="1">
      <c r="A3" s="16" t="str">
        <f>+'Workpaper Index'!B10&amp;" - "&amp;'Workpaper Index'!C10</f>
        <v>Exhibit 2 - Docket 09-035-15 Commission Order Calculation (Dynamic Annual Allocation Factor)</v>
      </c>
      <c r="B3" s="17"/>
      <c r="D3" s="19"/>
      <c r="U3" s="21"/>
    </row>
    <row r="4" spans="1:21" ht="15.75" customHeight="1"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8"/>
    </row>
    <row r="5" spans="1:21" ht="15.75" customHeight="1">
      <c r="A5" s="35"/>
      <c r="B5" s="81"/>
      <c r="R5" s="18"/>
    </row>
    <row r="6" spans="1:21" ht="25.5">
      <c r="A6" s="25" t="s">
        <v>34</v>
      </c>
      <c r="B6" s="26"/>
      <c r="C6" s="18"/>
      <c r="D6" s="27" t="s">
        <v>35</v>
      </c>
      <c r="E6" s="18"/>
      <c r="F6" s="28">
        <v>41640</v>
      </c>
      <c r="G6" s="28">
        <f>EDATE(F6,1)</f>
        <v>41671</v>
      </c>
      <c r="H6" s="28">
        <f t="shared" ref="H6:O6" si="0">EDATE(G6,1)</f>
        <v>41699</v>
      </c>
      <c r="I6" s="28">
        <f t="shared" si="0"/>
        <v>41730</v>
      </c>
      <c r="J6" s="28">
        <f t="shared" si="0"/>
        <v>41760</v>
      </c>
      <c r="K6" s="28">
        <f t="shared" si="0"/>
        <v>41791</v>
      </c>
      <c r="L6" s="28">
        <f t="shared" si="0"/>
        <v>41821</v>
      </c>
      <c r="M6" s="28">
        <f t="shared" si="0"/>
        <v>41852</v>
      </c>
      <c r="N6" s="28">
        <f t="shared" si="0"/>
        <v>41883</v>
      </c>
      <c r="O6" s="28">
        <f t="shared" si="0"/>
        <v>41913</v>
      </c>
      <c r="P6" s="28">
        <f>EDATE(O6,1)</f>
        <v>41944</v>
      </c>
      <c r="Q6" s="28">
        <f>EDATE(P6,1)</f>
        <v>41974</v>
      </c>
      <c r="R6" s="18"/>
      <c r="S6" s="28" t="s">
        <v>36</v>
      </c>
      <c r="T6" s="29"/>
    </row>
    <row r="7" spans="1:21" ht="15.75" customHeight="1">
      <c r="A7" s="30"/>
      <c r="B7" s="24"/>
      <c r="C7" s="18"/>
      <c r="D7" s="31"/>
      <c r="E7" s="1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8"/>
      <c r="S7" s="32"/>
      <c r="T7" s="33"/>
      <c r="U7" s="34"/>
    </row>
    <row r="8" spans="1:21" ht="15.75" customHeight="1">
      <c r="A8" s="36" t="s">
        <v>71</v>
      </c>
      <c r="B8" s="17"/>
      <c r="C8" s="18"/>
      <c r="D8" s="31"/>
      <c r="E8" s="1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8"/>
      <c r="S8" s="33"/>
      <c r="T8" s="33"/>
      <c r="U8" s="34"/>
    </row>
    <row r="9" spans="1:21" ht="15.75" customHeight="1">
      <c r="A9" s="22"/>
      <c r="B9" s="24"/>
      <c r="C9" s="36"/>
      <c r="E9" s="5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8"/>
      <c r="S9" s="37"/>
      <c r="T9" s="33"/>
      <c r="U9" s="34"/>
    </row>
    <row r="10" spans="1:21" ht="15.75" customHeight="1">
      <c r="A10" s="22">
        <f>+MAX($A$1:A9)+1</f>
        <v>1</v>
      </c>
      <c r="B10" s="31" t="s">
        <v>50</v>
      </c>
      <c r="D10" s="82" t="str">
        <f>+'Workpaper Index'!$B$17</f>
        <v>(5.1)</v>
      </c>
      <c r="F10" s="39">
        <f>+'[4](5.1) UT Allocated Actual NPC'!I$78</f>
        <v>60928980.487033918</v>
      </c>
      <c r="G10" s="39">
        <f>+'[4](5.1) UT Allocated Actual NPC'!J$78</f>
        <v>59283125.398437418</v>
      </c>
      <c r="H10" s="39">
        <f>+'[4](5.1) UT Allocated Actual NPC'!K$78</f>
        <v>53959742.468931392</v>
      </c>
      <c r="I10" s="39"/>
      <c r="J10" s="39"/>
      <c r="K10" s="39"/>
      <c r="L10" s="39"/>
      <c r="M10" s="39"/>
      <c r="N10" s="39"/>
      <c r="O10" s="39"/>
      <c r="P10" s="39"/>
      <c r="Q10" s="39"/>
      <c r="R10" s="18"/>
      <c r="S10" s="39">
        <f>+SUM(F10:Q10)</f>
        <v>174171848.35440272</v>
      </c>
      <c r="T10" s="33"/>
      <c r="U10" s="34"/>
    </row>
    <row r="11" spans="1:21" ht="15.75" customHeight="1">
      <c r="A11" s="22">
        <f>+MAX($A$1:A10)+1</f>
        <v>2</v>
      </c>
      <c r="B11" s="31" t="s">
        <v>51</v>
      </c>
      <c r="D11" s="38" t="str">
        <f>+'Workpaper Index'!$B$30</f>
        <v>(7.1)</v>
      </c>
      <c r="F11" s="39">
        <f>+INDEX('[4](7.1) Wheeling Revenues'!$64:$64,1,MATCH(F$6,'[4](7.1) Wheeling Revenues'!$10:$10,0))</f>
        <v>-2950361.6492699687</v>
      </c>
      <c r="G11" s="39">
        <f>+INDEX('[4](7.1) Wheeling Revenues'!$64:$64,1,MATCH(G$6,'[4](7.1) Wheeling Revenues'!$10:$10,0))</f>
        <v>-2828346.9204758881</v>
      </c>
      <c r="H11" s="39">
        <f>+INDEX('[4](7.1) Wheeling Revenues'!$64:$64,1,MATCH(H$6,'[4](7.1) Wheeling Revenues'!$10:$10,0))</f>
        <v>-3029377.4964753715</v>
      </c>
      <c r="I11" s="39"/>
      <c r="J11" s="39"/>
      <c r="K11" s="39"/>
      <c r="L11" s="39"/>
      <c r="M11" s="39"/>
      <c r="N11" s="39"/>
      <c r="O11" s="39"/>
      <c r="P11" s="39"/>
      <c r="Q11" s="39"/>
      <c r="R11" s="18"/>
      <c r="S11" s="39">
        <f>+SUM(F11:Q11)</f>
        <v>-8808086.0662212297</v>
      </c>
      <c r="T11" s="33"/>
      <c r="U11" s="34"/>
    </row>
    <row r="12" spans="1:21" ht="15.75" customHeight="1">
      <c r="A12" s="22">
        <f>+MAX($A$1:A11)+1</f>
        <v>3</v>
      </c>
      <c r="B12" s="31" t="s">
        <v>36</v>
      </c>
      <c r="D12" s="42" t="str">
        <f>"∑ Lines "&amp;$A$10&amp;":"&amp;$A$11&amp;""</f>
        <v>∑ Lines 1:2</v>
      </c>
      <c r="F12" s="58">
        <f>+SUM(F10:F11)</f>
        <v>57978618.83776395</v>
      </c>
      <c r="G12" s="58">
        <f>+SUM(G10:G11)</f>
        <v>56454778.477961533</v>
      </c>
      <c r="H12" s="58">
        <f>+SUM(H10:H11)</f>
        <v>50930364.972456023</v>
      </c>
      <c r="I12" s="58"/>
      <c r="J12" s="58"/>
      <c r="K12" s="58"/>
      <c r="L12" s="58"/>
      <c r="M12" s="58"/>
      <c r="N12" s="58"/>
      <c r="O12" s="58"/>
      <c r="P12" s="58"/>
      <c r="Q12" s="58"/>
      <c r="R12" s="18"/>
      <c r="S12" s="58">
        <f>+SUM(F12:Q12)</f>
        <v>165363762.28818148</v>
      </c>
      <c r="T12" s="33"/>
      <c r="U12" s="34"/>
    </row>
    <row r="13" spans="1:21" ht="15.75" customHeight="1">
      <c r="A13" s="22"/>
      <c r="B13" s="31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18"/>
      <c r="S13" s="39"/>
      <c r="T13" s="33"/>
      <c r="U13" s="34"/>
    </row>
    <row r="14" spans="1:21" ht="15.75" customHeight="1">
      <c r="A14" s="22">
        <f>+MAX($A$1:A13)+1</f>
        <v>4</v>
      </c>
      <c r="B14" s="31" t="s">
        <v>52</v>
      </c>
      <c r="D14" s="38" t="str">
        <f>+'Workpaper Index'!$B$34</f>
        <v>(8.2)</v>
      </c>
      <c r="F14" s="39">
        <f>+INDEX('[4](8.3) Utah Sales'!15:15,MATCH(F6,'[4](8.3) Utah Sales'!9:9,0))</f>
        <v>2080024.8839999998</v>
      </c>
      <c r="G14" s="39">
        <f>+INDEX('[4](8.3) Utah Sales'!15:15,MATCH(G6,'[4](8.3) Utah Sales'!9:9,0))</f>
        <v>1778181.71</v>
      </c>
      <c r="H14" s="39">
        <f>+INDEX('[4](8.3) Utah Sales'!15:15,MATCH(H6,'[4](8.3) Utah Sales'!9:9,0))</f>
        <v>1895016.52</v>
      </c>
      <c r="I14" s="39"/>
      <c r="J14" s="39"/>
      <c r="K14" s="39"/>
      <c r="L14" s="39"/>
      <c r="M14" s="39"/>
      <c r="N14" s="39"/>
      <c r="O14" s="39"/>
      <c r="P14" s="39"/>
      <c r="Q14" s="39"/>
      <c r="R14" s="18"/>
      <c r="S14" s="39">
        <f>+SUM(F14:Q14)</f>
        <v>5753223.1140000001</v>
      </c>
      <c r="T14" s="33"/>
      <c r="U14" s="34"/>
    </row>
    <row r="15" spans="1:21" ht="15.75" customHeight="1">
      <c r="A15" s="22"/>
      <c r="B15" s="3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8"/>
      <c r="S15" s="37"/>
      <c r="T15" s="33"/>
      <c r="U15" s="34"/>
    </row>
    <row r="16" spans="1:21" ht="15.75" customHeight="1">
      <c r="A16" s="22">
        <f>+MAX($A$1:A15)+1</f>
        <v>5</v>
      </c>
      <c r="B16" s="31" t="s">
        <v>72</v>
      </c>
      <c r="D16" s="42" t="str">
        <f>"Line "&amp;$A$12&amp;" / Line "&amp;$A$14&amp;""</f>
        <v>Line 3 / Line 4</v>
      </c>
      <c r="F16" s="49">
        <f t="shared" ref="F16:H16" si="1">+F12/F14</f>
        <v>27.874002510137256</v>
      </c>
      <c r="G16" s="49">
        <f t="shared" si="1"/>
        <v>31.748599235092534</v>
      </c>
      <c r="H16" s="49">
        <f t="shared" si="1"/>
        <v>26.87594774765131</v>
      </c>
      <c r="I16" s="49"/>
      <c r="J16" s="49"/>
      <c r="K16" s="49"/>
      <c r="L16" s="49"/>
      <c r="M16" s="49"/>
      <c r="N16" s="49"/>
      <c r="O16" s="49"/>
      <c r="P16" s="49"/>
      <c r="Q16" s="49"/>
      <c r="R16" s="18"/>
      <c r="S16" s="49">
        <f>+S12/S14</f>
        <v>28.742803644409726</v>
      </c>
      <c r="T16" s="33"/>
      <c r="U16" s="34"/>
    </row>
    <row r="17" spans="1:21" ht="15.75" customHeight="1">
      <c r="A17" s="22"/>
      <c r="R17" s="18"/>
      <c r="T17" s="33"/>
      <c r="U17" s="34"/>
    </row>
    <row r="18" spans="1:21" ht="15.75" customHeight="1">
      <c r="A18" s="50" t="s">
        <v>73</v>
      </c>
      <c r="B18" s="83"/>
      <c r="C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8"/>
      <c r="S18" s="53"/>
      <c r="T18" s="33"/>
      <c r="U18" s="34"/>
    </row>
    <row r="19" spans="1:21" ht="15.75" customHeight="1">
      <c r="A19" s="50"/>
      <c r="B19" s="83"/>
      <c r="C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18"/>
      <c r="S19" s="53"/>
      <c r="T19" s="33"/>
      <c r="U19" s="34"/>
    </row>
    <row r="20" spans="1:21" ht="15.75" customHeight="1">
      <c r="A20" s="22">
        <f>+MAX($A$1:A19)+1</f>
        <v>6</v>
      </c>
      <c r="B20" s="31" t="s">
        <v>50</v>
      </c>
      <c r="C20" s="36"/>
      <c r="D20" s="38" t="str">
        <f>+'Workpaper Index'!$B$24</f>
        <v>(6.1)</v>
      </c>
      <c r="E20" s="54"/>
      <c r="F20" s="39">
        <f>+INDEX('[4](6.1) Prorated Base NPC'!$42:$42,1,MATCH(F$6,'[4](6.1) Prorated Base NPC'!$30:$30,0))</f>
        <v>52796307.735829368</v>
      </c>
      <c r="G20" s="39">
        <f>+INDEX('[4](6.1) Prorated Base NPC'!$42:$42,1,MATCH(G$6,'[4](6.1) Prorated Base NPC'!$30:$30,0))</f>
        <v>47750729.137930557</v>
      </c>
      <c r="H20" s="39">
        <f>+INDEX('[4](6.1) Prorated Base NPC'!$42:$42,1,MATCH(H$6,'[4](6.1) Prorated Base NPC'!$30:$30,0))</f>
        <v>51724279.274898469</v>
      </c>
      <c r="I20" s="39"/>
      <c r="J20" s="39"/>
      <c r="K20" s="39"/>
      <c r="L20" s="39"/>
      <c r="M20" s="39"/>
      <c r="N20" s="39"/>
      <c r="O20" s="39"/>
      <c r="P20" s="39"/>
      <c r="Q20" s="39"/>
      <c r="R20" s="18"/>
      <c r="S20" s="39">
        <f>+SUM(F20:Q20)</f>
        <v>152271316.14865839</v>
      </c>
      <c r="T20" s="33"/>
      <c r="U20" s="84"/>
    </row>
    <row r="21" spans="1:21" ht="15.75" customHeight="1">
      <c r="A21" s="22">
        <f>+MAX($A$1:A20)+1</f>
        <v>7</v>
      </c>
      <c r="B21" s="31" t="s">
        <v>51</v>
      </c>
      <c r="C21" s="36"/>
      <c r="D21" s="38" t="str">
        <f>+'Workpaper Index'!$B$30</f>
        <v>(7.1)</v>
      </c>
      <c r="E21" s="54"/>
      <c r="F21" s="39">
        <f>+INDEX('[4](7.1) Wheeling Revenues'!$78:$78,MATCH(F$6,'[4](7.1) Wheeling Revenues'!$10:$10,0))</f>
        <v>-2684824.28561325</v>
      </c>
      <c r="G21" s="39">
        <f>+INDEX('[4](7.1) Wheeling Revenues'!$78:$78,MATCH(G$6,'[4](7.1) Wheeling Revenues'!$10:$10,0))</f>
        <v>-2684824.28561325</v>
      </c>
      <c r="H21" s="39">
        <f>+INDEX('[4](7.1) Wheeling Revenues'!$78:$78,MATCH(H$6,'[4](7.1) Wheeling Revenues'!$10:$10,0))</f>
        <v>-2684824.28561325</v>
      </c>
      <c r="I21" s="39"/>
      <c r="J21" s="39"/>
      <c r="K21" s="39"/>
      <c r="L21" s="39"/>
      <c r="M21" s="39"/>
      <c r="N21" s="39"/>
      <c r="O21" s="39"/>
      <c r="P21" s="39"/>
      <c r="Q21" s="39"/>
      <c r="R21" s="18"/>
      <c r="S21" s="39">
        <f>+SUM(F21:Q21)</f>
        <v>-8054472.85683975</v>
      </c>
      <c r="T21" s="57"/>
      <c r="U21" s="34"/>
    </row>
    <row r="22" spans="1:21" ht="15.75" customHeight="1">
      <c r="A22" s="22">
        <f>+MAX($A$1:A21)+1</f>
        <v>8</v>
      </c>
      <c r="B22" s="31" t="s">
        <v>36</v>
      </c>
      <c r="C22" s="36"/>
      <c r="D22" s="42" t="str">
        <f>"∑ Lines "&amp;$A$20&amp;":"&amp;$A$21&amp;""</f>
        <v>∑ Lines 6:7</v>
      </c>
      <c r="E22" s="54"/>
      <c r="F22" s="58">
        <f>+SUM(F20:F21)</f>
        <v>50111483.450216115</v>
      </c>
      <c r="G22" s="58">
        <f>+SUM(G20:G21)</f>
        <v>45065904.852317303</v>
      </c>
      <c r="H22" s="58">
        <f>+SUM(H20:H21)</f>
        <v>49039454.989285216</v>
      </c>
      <c r="I22" s="58"/>
      <c r="J22" s="58"/>
      <c r="K22" s="58"/>
      <c r="L22" s="58"/>
      <c r="M22" s="58"/>
      <c r="N22" s="58"/>
      <c r="O22" s="58"/>
      <c r="P22" s="58"/>
      <c r="Q22" s="58"/>
      <c r="R22" s="18"/>
      <c r="S22" s="58">
        <f>+SUM(F22:Q22)</f>
        <v>144216843.29181862</v>
      </c>
      <c r="T22" s="33"/>
      <c r="U22" s="34"/>
    </row>
    <row r="23" spans="1:21" ht="15.75" customHeight="1">
      <c r="A23" s="22"/>
      <c r="B23" s="31"/>
      <c r="C23" s="36"/>
      <c r="E23" s="5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8"/>
      <c r="S23" s="39"/>
      <c r="T23" s="33"/>
      <c r="U23" s="34"/>
    </row>
    <row r="24" spans="1:21" ht="15.75" customHeight="1">
      <c r="A24" s="22">
        <f>+MAX($A$1:A23)+1</f>
        <v>9</v>
      </c>
      <c r="B24" s="31" t="s">
        <v>52</v>
      </c>
      <c r="C24" s="36"/>
      <c r="D24" s="38"/>
      <c r="E24" s="54"/>
      <c r="F24" s="39">
        <f>+INDEX('[4](6.1) Prorated Base NPC'!$41:$41,1,MATCH(F$6,'[4](6.1) Prorated Base NPC'!$30:$30,0))</f>
        <v>1982626.99979</v>
      </c>
      <c r="G24" s="39">
        <f>+INDEX('[4](6.1) Prorated Base NPC'!$41:$41,1,MATCH(G$6,'[4](6.1) Prorated Base NPC'!$30:$30,0))</f>
        <v>1789929.9980000001</v>
      </c>
      <c r="H24" s="39">
        <f>+INDEX('[4](6.1) Prorated Base NPC'!$41:$41,1,MATCH(H$6,'[4](6.1) Prorated Base NPC'!$30:$30,0))</f>
        <v>1910070.0009899999</v>
      </c>
      <c r="I24" s="39"/>
      <c r="J24" s="39"/>
      <c r="K24" s="39"/>
      <c r="L24" s="39"/>
      <c r="M24" s="39"/>
      <c r="N24" s="39"/>
      <c r="O24" s="39"/>
      <c r="P24" s="39"/>
      <c r="Q24" s="39"/>
      <c r="R24" s="18"/>
      <c r="S24" s="39">
        <f>+SUM(F24:Q24)</f>
        <v>5682626.99878</v>
      </c>
      <c r="T24" s="33"/>
      <c r="U24" s="34"/>
    </row>
    <row r="25" spans="1:21" ht="15.75" customHeight="1">
      <c r="A25" s="22"/>
      <c r="B25" s="31"/>
      <c r="C25" s="36"/>
      <c r="E25" s="5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8"/>
      <c r="S25" s="37"/>
      <c r="T25" s="33"/>
      <c r="U25" s="34"/>
    </row>
    <row r="26" spans="1:21" ht="15.75" customHeight="1">
      <c r="A26" s="22">
        <f>+MAX($A$1:A25)+1</f>
        <v>10</v>
      </c>
      <c r="B26" s="31" t="s">
        <v>74</v>
      </c>
      <c r="C26" s="36"/>
      <c r="D26" s="42" t="str">
        <f>"Line "&amp;$A$22&amp;" / Line "&amp;$A$24&amp;""</f>
        <v>Line 8 / Line 9</v>
      </c>
      <c r="E26" s="54"/>
      <c r="F26" s="49">
        <f>+F22/F24</f>
        <v>25.275295582842322</v>
      </c>
      <c r="G26" s="49">
        <f>+G22/G24</f>
        <v>25.177467779562459</v>
      </c>
      <c r="H26" s="49">
        <f>+H22/H24</f>
        <v>25.674166372890937</v>
      </c>
      <c r="I26" s="49"/>
      <c r="J26" s="49"/>
      <c r="K26" s="49"/>
      <c r="L26" s="49"/>
      <c r="M26" s="49"/>
      <c r="N26" s="49"/>
      <c r="O26" s="49"/>
      <c r="P26" s="49"/>
      <c r="Q26" s="49"/>
      <c r="R26" s="18"/>
      <c r="S26" s="49">
        <f>+S22/S24</f>
        <v>25.378551737212465</v>
      </c>
      <c r="T26" s="33"/>
      <c r="U26" s="34"/>
    </row>
    <row r="27" spans="1:21" ht="15.75" customHeight="1">
      <c r="A27" s="22"/>
      <c r="B27" s="48"/>
      <c r="C27" s="36"/>
      <c r="E27" s="54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8"/>
      <c r="S27" s="37"/>
      <c r="T27" s="33"/>
      <c r="U27" s="34"/>
    </row>
    <row r="28" spans="1:21" ht="15.75" customHeight="1">
      <c r="A28" s="36" t="s">
        <v>54</v>
      </c>
      <c r="B28" s="48"/>
      <c r="C28" s="36"/>
      <c r="E28" s="5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8"/>
      <c r="S28" s="37"/>
      <c r="T28" s="33"/>
      <c r="U28" s="34"/>
    </row>
    <row r="29" spans="1:21" ht="15.75" customHeight="1">
      <c r="A29" s="36"/>
      <c r="B29" s="48"/>
      <c r="C29" s="36"/>
      <c r="E29" s="5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8"/>
      <c r="S29" s="37"/>
      <c r="T29" s="33"/>
      <c r="U29" s="34"/>
    </row>
    <row r="30" spans="1:21" ht="15.75" customHeight="1">
      <c r="A30" s="22">
        <f>+MAX($A$1:A28)+1</f>
        <v>11</v>
      </c>
      <c r="B30" s="31" t="s">
        <v>55</v>
      </c>
      <c r="C30" s="36"/>
      <c r="D30" s="42" t="str">
        <f>"Line "&amp;$A$16&amp;" - Line "&amp;$A$26&amp;""</f>
        <v>Line 5 - Line 10</v>
      </c>
      <c r="E30" s="54"/>
      <c r="F30" s="60">
        <f t="shared" ref="F30:H30" si="2">+F16-F26</f>
        <v>2.5987069272949341</v>
      </c>
      <c r="G30" s="60">
        <f t="shared" si="2"/>
        <v>6.5711314555300753</v>
      </c>
      <c r="H30" s="60">
        <f t="shared" si="2"/>
        <v>1.2017813747603725</v>
      </c>
      <c r="I30" s="60"/>
      <c r="J30" s="60"/>
      <c r="K30" s="60"/>
      <c r="L30" s="60"/>
      <c r="M30" s="60"/>
      <c r="N30" s="60"/>
      <c r="O30" s="60"/>
      <c r="P30" s="60"/>
      <c r="Q30" s="60"/>
      <c r="R30" s="18"/>
      <c r="S30" s="60">
        <f>+S16-S26</f>
        <v>3.3642519071972607</v>
      </c>
      <c r="T30" s="33"/>
      <c r="U30" s="34"/>
    </row>
    <row r="31" spans="1:21" ht="15.75" customHeight="1">
      <c r="A31" s="22"/>
      <c r="B31" s="31"/>
      <c r="C31" s="36"/>
      <c r="E31" s="54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/>
      <c r="S31" s="43"/>
      <c r="T31" s="33"/>
      <c r="U31" s="34"/>
    </row>
    <row r="32" spans="1:21" ht="15.75" customHeight="1">
      <c r="A32" s="22">
        <f>+MAX($A$1:A31)+1</f>
        <v>12</v>
      </c>
      <c r="B32" s="31" t="s">
        <v>56</v>
      </c>
      <c r="C32" s="36"/>
      <c r="D32" s="42" t="str">
        <f>"Line "&amp;$A$14&amp;" * Line "&amp;$A$30&amp;""</f>
        <v>Line 4 * Line 11</v>
      </c>
      <c r="E32" s="54"/>
      <c r="F32" s="39">
        <f t="shared" ref="F32:H32" si="3">+F30*F14</f>
        <v>5405375.0749966418</v>
      </c>
      <c r="G32" s="39">
        <f t="shared" si="3"/>
        <v>11684665.768229257</v>
      </c>
      <c r="H32" s="39">
        <f t="shared" si="3"/>
        <v>2277395.5585992169</v>
      </c>
      <c r="I32" s="39"/>
      <c r="J32" s="39"/>
      <c r="K32" s="45"/>
      <c r="L32" s="45"/>
      <c r="M32" s="45"/>
      <c r="N32" s="45"/>
      <c r="O32" s="39"/>
      <c r="P32" s="45"/>
      <c r="Q32" s="45"/>
      <c r="R32" s="18"/>
      <c r="S32" s="39">
        <f>+SUM(F32:Q32)</f>
        <v>19367436.401825115</v>
      </c>
      <c r="T32" s="33"/>
      <c r="U32" s="34"/>
    </row>
    <row r="33" spans="1:21" ht="15.75" customHeight="1">
      <c r="A33" s="22"/>
      <c r="B33" s="31"/>
      <c r="C33" s="36"/>
      <c r="E33" s="54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8"/>
      <c r="S33" s="37"/>
      <c r="T33" s="33"/>
      <c r="U33" s="34"/>
    </row>
    <row r="34" spans="1:21" ht="15.75" customHeight="1">
      <c r="A34" s="22">
        <f>+MAX($A$1:A33)+1</f>
        <v>13</v>
      </c>
      <c r="B34" s="31" t="s">
        <v>57</v>
      </c>
      <c r="C34" s="36"/>
      <c r="D34" s="42" t="str">
        <f>"Line "&amp;A32&amp;" * 70%"</f>
        <v>Line 12 * 70%</v>
      </c>
      <c r="E34" s="54"/>
      <c r="F34" s="39">
        <f>F32*0.7</f>
        <v>3783762.5524976491</v>
      </c>
      <c r="G34" s="39">
        <f>G32*0.7</f>
        <v>8179266.0377604794</v>
      </c>
      <c r="H34" s="39">
        <f>H32*0.7</f>
        <v>1594176.8910194517</v>
      </c>
      <c r="I34" s="39"/>
      <c r="J34" s="39"/>
      <c r="K34" s="39"/>
      <c r="L34" s="39"/>
      <c r="M34" s="39"/>
      <c r="N34" s="39"/>
      <c r="O34" s="39"/>
      <c r="P34" s="39"/>
      <c r="Q34" s="39"/>
      <c r="R34" s="18"/>
      <c r="S34" s="39">
        <f>+SUM(F34:Q34)</f>
        <v>13557205.481277581</v>
      </c>
      <c r="T34" s="33"/>
      <c r="U34" s="34"/>
    </row>
    <row r="35" spans="1:21" ht="15.75" customHeight="1">
      <c r="A35" s="22">
        <f>+MAX($A$1:A34)+1</f>
        <v>14</v>
      </c>
      <c r="B35" s="31" t="s">
        <v>58</v>
      </c>
      <c r="C35" s="36"/>
      <c r="D35" s="38" t="s">
        <v>59</v>
      </c>
      <c r="E35" s="54"/>
      <c r="F35" s="37">
        <f>+INDEX('[4](7.1) Wheeling Revenues'!$63:$63,1,MATCH(F$6,'[4](7.1) Wheeling Revenues'!$10:$10,0))</f>
        <v>0</v>
      </c>
      <c r="G35" s="37">
        <f>+INDEX('[4](7.1) Wheeling Revenues'!$63:$63,1,MATCH(G$6,'[4](7.1) Wheeling Revenues'!$10:$10,0))</f>
        <v>0</v>
      </c>
      <c r="H35" s="37">
        <f>+INDEX('[4](7.1) Wheeling Revenues'!$63:$63,1,MATCH(H$6,'[4](7.1) Wheeling Revenues'!$10:$10,0))</f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18"/>
      <c r="S35" s="41">
        <f>+SUM(F35:Q35)</f>
        <v>0</v>
      </c>
      <c r="T35" s="33"/>
      <c r="U35" s="34"/>
    </row>
    <row r="36" spans="1:21" ht="15.75" customHeight="1">
      <c r="A36" s="22">
        <f>+MAX($A$1:A35)+1</f>
        <v>15</v>
      </c>
      <c r="B36" s="48" t="s">
        <v>60</v>
      </c>
      <c r="C36" s="36"/>
      <c r="D36" s="42" t="str">
        <f>"∑ Lines "&amp;$A$34&amp;":"&amp;$A$35&amp;""</f>
        <v>∑ Lines 13:14</v>
      </c>
      <c r="E36" s="54"/>
      <c r="F36" s="61">
        <f>+SUM(F34:F35)</f>
        <v>3783762.5524976491</v>
      </c>
      <c r="G36" s="61">
        <f>+SUM(G34:G35)</f>
        <v>8179266.0377604794</v>
      </c>
      <c r="H36" s="61">
        <f>+SUM(H34:H35)</f>
        <v>1594176.8910194517</v>
      </c>
      <c r="I36" s="61"/>
      <c r="J36" s="61"/>
      <c r="K36" s="61"/>
      <c r="L36" s="61"/>
      <c r="M36" s="61"/>
      <c r="N36" s="61"/>
      <c r="O36" s="61"/>
      <c r="P36" s="61"/>
      <c r="Q36" s="61"/>
      <c r="R36" s="18"/>
      <c r="S36" s="37">
        <f>+SUM(F36:Q36)</f>
        <v>13557205.481277581</v>
      </c>
      <c r="T36" s="33"/>
      <c r="U36" s="34"/>
    </row>
    <row r="37" spans="1:21" ht="15.75" customHeight="1">
      <c r="A37" s="22"/>
      <c r="B37" s="48"/>
      <c r="C37" s="36"/>
      <c r="E37" s="54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8"/>
      <c r="S37" s="37"/>
      <c r="T37" s="33"/>
      <c r="U37" s="34"/>
    </row>
    <row r="38" spans="1:21" ht="15.75" customHeight="1">
      <c r="A38" s="36" t="s">
        <v>61</v>
      </c>
      <c r="B38" s="48"/>
      <c r="C38" s="36"/>
      <c r="E38" s="54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8"/>
      <c r="S38" s="37"/>
      <c r="T38" s="33"/>
      <c r="U38" s="34"/>
    </row>
    <row r="39" spans="1:21" ht="15.75" customHeight="1">
      <c r="A39" s="22"/>
      <c r="B39" s="48"/>
      <c r="C39" s="62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18"/>
      <c r="S39" s="64"/>
      <c r="T39" s="65"/>
      <c r="U39" s="34"/>
    </row>
    <row r="40" spans="1:21" ht="15.75" customHeight="1">
      <c r="A40" s="22">
        <f>+MAX($A$1:A39)+1</f>
        <v>16</v>
      </c>
      <c r="B40" s="31" t="s">
        <v>62</v>
      </c>
      <c r="C40" s="66"/>
      <c r="D40" s="42" t="s">
        <v>63</v>
      </c>
      <c r="E40" s="67"/>
      <c r="F40" s="68">
        <v>5.0000000000000001E-3</v>
      </c>
      <c r="G40" s="68">
        <f>+F40</f>
        <v>5.0000000000000001E-3</v>
      </c>
      <c r="H40" s="68">
        <f t="shared" ref="H40" si="4">+G40</f>
        <v>5.0000000000000001E-3</v>
      </c>
      <c r="I40" s="68"/>
      <c r="J40" s="68"/>
      <c r="K40" s="68"/>
      <c r="L40" s="68"/>
      <c r="M40" s="68"/>
      <c r="N40" s="68"/>
      <c r="O40" s="68"/>
      <c r="P40" s="68"/>
      <c r="Q40" s="68"/>
      <c r="R40" s="18"/>
      <c r="S40" s="68"/>
      <c r="T40" s="69"/>
      <c r="U40" s="34"/>
    </row>
    <row r="41" spans="1:21" ht="15.75" customHeight="1">
      <c r="A41" s="22">
        <f>+MAX($A$1:A40)+1</f>
        <v>17</v>
      </c>
      <c r="B41" s="31" t="s">
        <v>64</v>
      </c>
      <c r="C41" s="66"/>
      <c r="D41" s="42" t="str">
        <f>"Prior Month Line "&amp;$A$44&amp;""</f>
        <v>Prior Month Line 20</v>
      </c>
      <c r="E41" s="67"/>
      <c r="F41" s="70">
        <v>0</v>
      </c>
      <c r="G41" s="70">
        <f t="shared" ref="G41:H41" si="5">+F44</f>
        <v>3793221.9588788934</v>
      </c>
      <c r="H41" s="70">
        <f t="shared" si="5"/>
        <v>12011902.271528168</v>
      </c>
      <c r="I41" s="70"/>
      <c r="J41" s="70"/>
      <c r="K41" s="70"/>
      <c r="L41" s="70"/>
      <c r="M41" s="70"/>
      <c r="N41" s="70"/>
      <c r="O41" s="70"/>
      <c r="P41" s="70"/>
      <c r="Q41" s="70"/>
      <c r="R41" s="18"/>
      <c r="S41" s="70">
        <f>+F41</f>
        <v>0</v>
      </c>
      <c r="T41" s="71"/>
      <c r="U41" s="34"/>
    </row>
    <row r="42" spans="1:21" ht="15.75" customHeight="1">
      <c r="A42" s="22">
        <f>+MAX($A$1:A41)+1</f>
        <v>18</v>
      </c>
      <c r="B42" s="31" t="s">
        <v>65</v>
      </c>
      <c r="C42" s="66"/>
      <c r="D42" s="42" t="str">
        <f>"Line "&amp;$A$36</f>
        <v>Line 15</v>
      </c>
      <c r="E42" s="67"/>
      <c r="F42" s="70">
        <f>+F36</f>
        <v>3783762.5524976491</v>
      </c>
      <c r="G42" s="70">
        <f>+G36</f>
        <v>8179266.0377604794</v>
      </c>
      <c r="H42" s="70">
        <f>+H36</f>
        <v>1594176.8910194517</v>
      </c>
      <c r="I42" s="70"/>
      <c r="J42" s="70"/>
      <c r="K42" s="70"/>
      <c r="L42" s="70"/>
      <c r="M42" s="70"/>
      <c r="N42" s="70"/>
      <c r="O42" s="70"/>
      <c r="P42" s="70"/>
      <c r="Q42" s="70"/>
      <c r="R42" s="18"/>
      <c r="S42" s="70">
        <f>+SUM(F42:Q42)</f>
        <v>13557205.481277581</v>
      </c>
      <c r="T42" s="71"/>
      <c r="U42" s="34"/>
    </row>
    <row r="43" spans="1:21" ht="15.75" customHeight="1">
      <c r="A43" s="22">
        <f>+MAX($A$1:A42)+1</f>
        <v>19</v>
      </c>
      <c r="B43" s="72" t="s">
        <v>66</v>
      </c>
      <c r="C43" s="66"/>
      <c r="D43" s="42" t="str">
        <f>"Line "&amp;$A$40&amp;" * ( Line "&amp;$A$41&amp;" + 50% x Line "&amp;$A$42&amp;")"</f>
        <v>Line 16 * ( Line 17 + 50% x Line 18)</v>
      </c>
      <c r="E43" s="67"/>
      <c r="F43" s="73">
        <f t="shared" ref="F43:H43" si="6">+(F41+0.5*SUM(F42:F42))*F40</f>
        <v>9459.4063812441236</v>
      </c>
      <c r="G43" s="73">
        <f t="shared" si="6"/>
        <v>39414.27488879567</v>
      </c>
      <c r="H43" s="73">
        <f t="shared" si="6"/>
        <v>64044.953585189469</v>
      </c>
      <c r="I43" s="73"/>
      <c r="J43" s="73"/>
      <c r="K43" s="73"/>
      <c r="L43" s="73"/>
      <c r="M43" s="73"/>
      <c r="N43" s="73"/>
      <c r="O43" s="73"/>
      <c r="P43" s="73"/>
      <c r="Q43" s="73"/>
      <c r="R43" s="18"/>
      <c r="S43" s="39">
        <f>+SUM(F43:Q43)</f>
        <v>112918.63485522926</v>
      </c>
      <c r="T43" s="71"/>
      <c r="U43" s="34"/>
    </row>
    <row r="44" spans="1:21" ht="15.75" customHeight="1" thickBot="1">
      <c r="A44" s="22">
        <f>+MAX($A$1:A43)+1</f>
        <v>20</v>
      </c>
      <c r="B44" s="48" t="s">
        <v>67</v>
      </c>
      <c r="C44" s="66"/>
      <c r="D44" s="42" t="str">
        <f>"∑ Lines "&amp;$A$41&amp;":"&amp;$A$43&amp;""</f>
        <v>∑ Lines 17:19</v>
      </c>
      <c r="E44" s="67"/>
      <c r="F44" s="85">
        <f t="shared" ref="F44:Q44" si="7">+SUM(F41:F43)</f>
        <v>3793221.9588788934</v>
      </c>
      <c r="G44" s="85">
        <f t="shared" si="7"/>
        <v>12011902.271528168</v>
      </c>
      <c r="H44" s="85">
        <f t="shared" si="7"/>
        <v>13670124.116132809</v>
      </c>
      <c r="I44" s="85">
        <f t="shared" ref="I44:K44" si="8">+SUM(I41:I43)</f>
        <v>0</v>
      </c>
      <c r="J44" s="85">
        <f t="shared" si="8"/>
        <v>0</v>
      </c>
      <c r="K44" s="85">
        <f t="shared" si="8"/>
        <v>0</v>
      </c>
      <c r="L44" s="85">
        <f t="shared" si="7"/>
        <v>0</v>
      </c>
      <c r="M44" s="85">
        <f t="shared" si="7"/>
        <v>0</v>
      </c>
      <c r="N44" s="85">
        <f t="shared" si="7"/>
        <v>0</v>
      </c>
      <c r="O44" s="85">
        <f t="shared" si="7"/>
        <v>0</v>
      </c>
      <c r="P44" s="85">
        <f t="shared" si="7"/>
        <v>0</v>
      </c>
      <c r="Q44" s="85">
        <f t="shared" si="7"/>
        <v>0</v>
      </c>
      <c r="R44" s="18"/>
      <c r="S44" s="85">
        <f>+SUM(S41:S43)</f>
        <v>13670124.116132811</v>
      </c>
      <c r="T44" s="71"/>
      <c r="U44" s="34"/>
    </row>
    <row r="45" spans="1:21" ht="15.75" customHeight="1" thickTop="1">
      <c r="A45" s="22"/>
      <c r="B45" s="36"/>
      <c r="C45" s="36"/>
      <c r="D45" s="19"/>
      <c r="E45" s="36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18"/>
      <c r="S45" s="69"/>
      <c r="T45" s="69"/>
      <c r="U45" s="34"/>
    </row>
    <row r="46" spans="1:21" ht="15.75" customHeight="1">
      <c r="A46" s="22"/>
      <c r="B46" s="24"/>
      <c r="C46" s="36"/>
      <c r="D46" s="19"/>
      <c r="E46" s="36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8"/>
      <c r="S46" s="69"/>
      <c r="T46" s="69"/>
      <c r="U46" s="34"/>
    </row>
    <row r="47" spans="1:21" ht="15.75" customHeight="1">
      <c r="A47" s="18" t="s">
        <v>75</v>
      </c>
      <c r="C47" s="36"/>
      <c r="D47" s="19"/>
      <c r="E47" s="36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18"/>
      <c r="S47" s="69"/>
      <c r="T47" s="69"/>
      <c r="U47" s="34"/>
    </row>
    <row r="48" spans="1:21" ht="15.75" customHeight="1">
      <c r="A48" s="75">
        <v>1</v>
      </c>
      <c r="B48" s="76" t="s">
        <v>69</v>
      </c>
      <c r="C48" s="36"/>
      <c r="D48" s="19"/>
      <c r="E48" s="36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18"/>
      <c r="S48" s="69"/>
      <c r="T48" s="69"/>
      <c r="U48" s="34"/>
    </row>
    <row r="49" spans="1:21" ht="15.75" customHeight="1">
      <c r="A49" s="75">
        <v>2</v>
      </c>
      <c r="B49" s="76" t="s">
        <v>70</v>
      </c>
      <c r="C49" s="54"/>
      <c r="E49" s="5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18"/>
      <c r="S49" s="69"/>
      <c r="T49" s="69"/>
      <c r="U49" s="34"/>
    </row>
    <row r="50" spans="1:21" ht="15.75" customHeight="1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18"/>
      <c r="S50" s="77"/>
      <c r="T50" s="77"/>
      <c r="U50" s="34"/>
    </row>
    <row r="51" spans="1:21" ht="15.75" customHeight="1">
      <c r="R51" s="18"/>
      <c r="S51" s="77"/>
      <c r="T51" s="77"/>
      <c r="U51" s="34"/>
    </row>
    <row r="52" spans="1:21" ht="15.75" customHeight="1"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18"/>
      <c r="S52" s="77"/>
      <c r="T52" s="77"/>
      <c r="U52" s="34"/>
    </row>
    <row r="53" spans="1:21" ht="15.75" customHeight="1">
      <c r="R53" s="18"/>
      <c r="S53" s="77"/>
      <c r="T53" s="77"/>
      <c r="U53" s="34"/>
    </row>
    <row r="54" spans="1:21" ht="15.75" customHeight="1"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18"/>
      <c r="S54" s="77"/>
      <c r="T54" s="77"/>
      <c r="U54" s="34"/>
    </row>
    <row r="55" spans="1:21" ht="15.75" customHeight="1"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18"/>
      <c r="S55" s="77"/>
      <c r="T55" s="77"/>
      <c r="U55" s="34"/>
    </row>
    <row r="56" spans="1:21" ht="15.75" customHeight="1">
      <c r="R56" s="18"/>
      <c r="S56" s="77"/>
      <c r="T56" s="77"/>
      <c r="U56" s="34"/>
    </row>
    <row r="57" spans="1:21" ht="15.75" customHeight="1"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18"/>
      <c r="S57" s="77"/>
      <c r="T57" s="77"/>
      <c r="U57" s="34"/>
    </row>
    <row r="58" spans="1:21" ht="15.75" customHeight="1">
      <c r="R58" s="18"/>
      <c r="S58" s="77"/>
      <c r="T58" s="77"/>
      <c r="U58" s="34"/>
    </row>
    <row r="59" spans="1:21" ht="15.75" customHeight="1">
      <c r="R59" s="18"/>
      <c r="U59" s="34"/>
    </row>
    <row r="60" spans="1:21" ht="15.75" customHeight="1">
      <c r="R60" s="18"/>
      <c r="U60" s="34"/>
    </row>
    <row r="61" spans="1:21" ht="15.75" customHeight="1">
      <c r="R61" s="18"/>
      <c r="U61" s="34"/>
    </row>
    <row r="62" spans="1:21" ht="15.75" customHeight="1">
      <c r="R62" s="18"/>
      <c r="U62" s="34"/>
    </row>
    <row r="63" spans="1:21" ht="15.75" customHeight="1">
      <c r="R63" s="18"/>
      <c r="U63" s="34"/>
    </row>
    <row r="64" spans="1:21" ht="15.75" customHeight="1">
      <c r="R64" s="18"/>
      <c r="U64" s="34"/>
    </row>
    <row r="65" spans="18:21" ht="15.75" customHeight="1">
      <c r="R65" s="18"/>
      <c r="U65" s="34"/>
    </row>
    <row r="66" spans="18:21" ht="15.75" customHeight="1">
      <c r="R66" s="18"/>
      <c r="U66" s="34"/>
    </row>
    <row r="67" spans="18:21" ht="15.75" customHeight="1">
      <c r="R67" s="18"/>
      <c r="U67" s="34"/>
    </row>
    <row r="68" spans="18:21" ht="15.75" customHeight="1">
      <c r="R68" s="18"/>
      <c r="U68" s="34"/>
    </row>
    <row r="69" spans="18:21" ht="15.75" customHeight="1">
      <c r="R69" s="18"/>
      <c r="U69" s="34"/>
    </row>
    <row r="70" spans="18:21" ht="15.75" customHeight="1">
      <c r="R70" s="18"/>
      <c r="U70" s="34"/>
    </row>
    <row r="71" spans="18:21" ht="15.75" customHeight="1">
      <c r="R71" s="18"/>
      <c r="U71" s="34"/>
    </row>
    <row r="72" spans="18:21" ht="15.75" customHeight="1">
      <c r="R72" s="18"/>
      <c r="U72" s="34"/>
    </row>
    <row r="73" spans="18:21" ht="15.75" customHeight="1">
      <c r="R73" s="18"/>
      <c r="U73" s="34"/>
    </row>
    <row r="74" spans="18:21" ht="15.75" customHeight="1">
      <c r="R74" s="18"/>
      <c r="U74" s="34"/>
    </row>
    <row r="75" spans="18:21" ht="15.75" customHeight="1">
      <c r="R75" s="18"/>
      <c r="U75" s="34"/>
    </row>
    <row r="76" spans="18:21" ht="15.75" customHeight="1">
      <c r="R76" s="18"/>
      <c r="U76" s="34"/>
    </row>
    <row r="77" spans="18:21" ht="15.75" customHeight="1">
      <c r="R77" s="18"/>
      <c r="U77" s="34"/>
    </row>
    <row r="78" spans="18:21" ht="15.75" customHeight="1">
      <c r="R78" s="18"/>
      <c r="U78" s="34"/>
    </row>
    <row r="79" spans="18:21" ht="15.75" customHeight="1">
      <c r="R79" s="18"/>
      <c r="U79" s="34"/>
    </row>
    <row r="80" spans="18:21" ht="15.75" customHeight="1">
      <c r="R80" s="18"/>
      <c r="U80" s="34"/>
    </row>
    <row r="81" spans="18:21" ht="15.75" customHeight="1">
      <c r="R81" s="18"/>
      <c r="U81" s="34"/>
    </row>
    <row r="82" spans="18:21" ht="15.75" customHeight="1">
      <c r="R82" s="18"/>
      <c r="U82" s="34"/>
    </row>
    <row r="83" spans="18:21" ht="15.75" customHeight="1">
      <c r="R83" s="18"/>
      <c r="U83" s="34"/>
    </row>
    <row r="84" spans="18:21" ht="15.75" customHeight="1">
      <c r="R84" s="18"/>
      <c r="U84" s="34"/>
    </row>
    <row r="85" spans="18:21" ht="15.75" customHeight="1">
      <c r="R85" s="18"/>
      <c r="U85" s="34"/>
    </row>
    <row r="86" spans="18:21" ht="15.75" customHeight="1">
      <c r="R86" s="18"/>
      <c r="U86" s="34"/>
    </row>
    <row r="87" spans="18:21" ht="15.75" customHeight="1">
      <c r="R87" s="18"/>
      <c r="U87" s="34"/>
    </row>
    <row r="88" spans="18:21" ht="15.75" customHeight="1">
      <c r="R88" s="18"/>
      <c r="U88" s="34"/>
    </row>
    <row r="89" spans="18:21" ht="15.75" customHeight="1">
      <c r="R89" s="18"/>
      <c r="U89" s="34"/>
    </row>
    <row r="90" spans="18:21" ht="15.75" customHeight="1">
      <c r="R90" s="18"/>
      <c r="U90" s="34"/>
    </row>
    <row r="91" spans="18:21" ht="15.75" customHeight="1">
      <c r="R91" s="18"/>
      <c r="U91" s="34"/>
    </row>
    <row r="92" spans="18:21" ht="15.75" customHeight="1">
      <c r="R92" s="18"/>
      <c r="U92" s="34"/>
    </row>
    <row r="93" spans="18:21" ht="15.75" customHeight="1">
      <c r="R93" s="18"/>
      <c r="U93" s="34"/>
    </row>
    <row r="94" spans="18:21" ht="15.75" customHeight="1">
      <c r="R94" s="18"/>
      <c r="U94" s="34"/>
    </row>
    <row r="95" spans="18:21" ht="15.75" customHeight="1">
      <c r="R95" s="18"/>
      <c r="U95" s="34"/>
    </row>
    <row r="96" spans="18:21" ht="15.75" customHeight="1">
      <c r="R96" s="18"/>
      <c r="U96" s="34"/>
    </row>
    <row r="97" spans="18:21" ht="15.75" customHeight="1">
      <c r="R97" s="18"/>
      <c r="U97" s="34"/>
    </row>
    <row r="98" spans="18:21" ht="15.75" customHeight="1">
      <c r="R98" s="18"/>
      <c r="U98" s="34"/>
    </row>
    <row r="99" spans="18:21" ht="15.75" customHeight="1">
      <c r="R99" s="18"/>
      <c r="U99" s="34"/>
    </row>
    <row r="100" spans="18:21" ht="15.75" customHeight="1">
      <c r="R100" s="18"/>
      <c r="U100" s="34"/>
    </row>
    <row r="101" spans="18:21" ht="15.75" customHeight="1">
      <c r="R101" s="18"/>
      <c r="U101" s="34"/>
    </row>
    <row r="102" spans="18:21" ht="15.75" customHeight="1">
      <c r="R102" s="18"/>
      <c r="U102" s="34"/>
    </row>
    <row r="103" spans="18:21" ht="15.75" customHeight="1">
      <c r="R103" s="18"/>
      <c r="U103" s="34"/>
    </row>
    <row r="104" spans="18:21" ht="15.75" customHeight="1">
      <c r="R104" s="18"/>
      <c r="U104" s="34"/>
    </row>
    <row r="105" spans="18:21" ht="15.75" customHeight="1">
      <c r="R105" s="18"/>
      <c r="U105" s="34"/>
    </row>
    <row r="106" spans="18:21" ht="15.75" customHeight="1">
      <c r="R106" s="18"/>
      <c r="U106" s="34"/>
    </row>
    <row r="107" spans="18:21" ht="15.75" customHeight="1">
      <c r="R107" s="18"/>
      <c r="U107" s="34"/>
    </row>
    <row r="108" spans="18:21" ht="15.75" customHeight="1">
      <c r="R108" s="18"/>
      <c r="U108" s="34"/>
    </row>
    <row r="109" spans="18:21" ht="15.75" customHeight="1">
      <c r="R109" s="18"/>
      <c r="U109" s="34"/>
    </row>
    <row r="110" spans="18:21" ht="15.75" customHeight="1">
      <c r="R110" s="18"/>
      <c r="U110" s="34"/>
    </row>
    <row r="111" spans="18:21" ht="15.75" customHeight="1">
      <c r="R111" s="18"/>
      <c r="U111" s="34"/>
    </row>
    <row r="112" spans="18:21" ht="15.75" customHeight="1">
      <c r="R112" s="18"/>
      <c r="U112" s="34"/>
    </row>
    <row r="113" spans="18:21" ht="15.75" customHeight="1">
      <c r="R113" s="18"/>
      <c r="U113" s="34"/>
    </row>
    <row r="114" spans="18:21" ht="15.75" customHeight="1">
      <c r="R114" s="18"/>
      <c r="U114" s="34"/>
    </row>
    <row r="115" spans="18:21" ht="15.75" customHeight="1">
      <c r="R115" s="18"/>
      <c r="U115" s="34"/>
    </row>
    <row r="116" spans="18:21" ht="15.75" customHeight="1">
      <c r="R116" s="18"/>
      <c r="U116" s="34"/>
    </row>
    <row r="117" spans="18:21" ht="15.75" customHeight="1">
      <c r="R117" s="18"/>
      <c r="U117" s="34"/>
    </row>
    <row r="118" spans="18:21" ht="15.75" customHeight="1">
      <c r="R118" s="18"/>
      <c r="U118" s="34"/>
    </row>
    <row r="119" spans="18:21" ht="15.75" customHeight="1">
      <c r="R119" s="18"/>
      <c r="U119" s="34"/>
    </row>
    <row r="120" spans="18:21" ht="15.75" customHeight="1">
      <c r="R120" s="18"/>
      <c r="U120" s="34"/>
    </row>
    <row r="121" spans="18:21" ht="15.75" customHeight="1">
      <c r="R121" s="18"/>
      <c r="U121" s="34"/>
    </row>
    <row r="122" spans="18:21" ht="15.75" customHeight="1">
      <c r="R122" s="18"/>
      <c r="U122" s="34"/>
    </row>
    <row r="123" spans="18:21" ht="15.75" customHeight="1">
      <c r="R123" s="18"/>
      <c r="U123" s="34"/>
    </row>
    <row r="124" spans="18:21" ht="15.75" customHeight="1">
      <c r="R124" s="18"/>
      <c r="U124" s="34"/>
    </row>
    <row r="125" spans="18:21" ht="15.75" customHeight="1">
      <c r="R125" s="18"/>
      <c r="U125" s="34"/>
    </row>
    <row r="126" spans="18:21" ht="15.75" customHeight="1">
      <c r="R126" s="18"/>
      <c r="U126" s="34"/>
    </row>
    <row r="127" spans="18:21" ht="15.75" customHeight="1">
      <c r="R127" s="18"/>
      <c r="U127" s="34"/>
    </row>
    <row r="128" spans="18:21" ht="15.75" customHeight="1">
      <c r="R128" s="18"/>
      <c r="U128" s="34"/>
    </row>
    <row r="129" spans="18:21" ht="15.75" customHeight="1">
      <c r="R129" s="18"/>
      <c r="U129" s="34"/>
    </row>
    <row r="130" spans="18:21" ht="15.75" customHeight="1">
      <c r="R130" s="18"/>
      <c r="U130" s="34"/>
    </row>
    <row r="131" spans="18:21" ht="15.75" customHeight="1">
      <c r="R131" s="18"/>
      <c r="U131" s="34"/>
    </row>
    <row r="132" spans="18:21" ht="15.75" customHeight="1">
      <c r="R132" s="18"/>
      <c r="U132" s="34"/>
    </row>
    <row r="133" spans="18:21" ht="15.75" customHeight="1">
      <c r="R133" s="18"/>
      <c r="U133" s="34"/>
    </row>
    <row r="134" spans="18:21" ht="15.75" customHeight="1">
      <c r="R134" s="18"/>
      <c r="U134" s="34"/>
    </row>
    <row r="135" spans="18:21" ht="15.75" customHeight="1">
      <c r="R135" s="18"/>
      <c r="U135" s="34"/>
    </row>
    <row r="136" spans="18:21" ht="15.75" customHeight="1">
      <c r="R136" s="18"/>
      <c r="U136" s="34"/>
    </row>
    <row r="137" spans="18:21" ht="15.75" customHeight="1">
      <c r="R137" s="18"/>
      <c r="U137" s="34"/>
    </row>
    <row r="138" spans="18:21" ht="15.75" customHeight="1">
      <c r="U138" s="34"/>
    </row>
    <row r="139" spans="18:21" ht="15.75" customHeight="1">
      <c r="U139" s="34"/>
    </row>
    <row r="140" spans="18:21" ht="15.75" customHeight="1">
      <c r="U140" s="34"/>
    </row>
    <row r="141" spans="18:21" ht="15.75" customHeight="1">
      <c r="U141" s="34"/>
    </row>
    <row r="142" spans="18:21" ht="15.75" customHeight="1">
      <c r="U142" s="34"/>
    </row>
    <row r="143" spans="18:21" ht="15.75" customHeight="1">
      <c r="U143" s="34"/>
    </row>
    <row r="144" spans="18:21" ht="15.75" customHeight="1">
      <c r="U144" s="34"/>
    </row>
    <row r="145" spans="21:21" ht="15.75" customHeight="1">
      <c r="U145" s="34"/>
    </row>
    <row r="146" spans="21:21" ht="15.75" customHeight="1">
      <c r="U146" s="34"/>
    </row>
    <row r="147" spans="21:21" ht="15.75" customHeight="1">
      <c r="U147" s="34"/>
    </row>
    <row r="148" spans="21:21" ht="15.75" customHeight="1">
      <c r="U148" s="34"/>
    </row>
    <row r="149" spans="21:21" ht="15.75" customHeight="1">
      <c r="U149" s="34"/>
    </row>
    <row r="150" spans="21:21" ht="15.75" customHeight="1">
      <c r="U150" s="34"/>
    </row>
    <row r="151" spans="21:21" ht="15.75" customHeight="1">
      <c r="U151" s="34"/>
    </row>
    <row r="152" spans="21:21" ht="15.75" customHeight="1">
      <c r="U152" s="34"/>
    </row>
    <row r="153" spans="21:21" ht="15.75" customHeight="1">
      <c r="U153" s="34"/>
    </row>
    <row r="154" spans="21:21" ht="15.75" customHeight="1">
      <c r="U154" s="34"/>
    </row>
    <row r="155" spans="21:21" ht="15.75" customHeight="1">
      <c r="U155" s="34"/>
    </row>
    <row r="156" spans="21:21" ht="15.75" customHeight="1">
      <c r="U156" s="34"/>
    </row>
  </sheetData>
  <pageMargins left="0.25" right="0.25" top="0.5" bottom="0.25" header="0" footer="0.3"/>
  <pageSetup scale="60" fitToWidth="0" fitToHeight="0" orientation="landscape" r:id="rId1"/>
  <headerFooter alignWithMargins="0">
    <oddFooter>&amp;C&amp;"arial"&amp;11Exhibit 2 - Docket 09-035-15 Commission Order Calculation (Dynamic Annual Allocation Factor)&amp;R&amp;"arial"&amp;11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showGridLines="0" view="pageBreakPreview" zoomScale="55" zoomScaleNormal="90" zoomScaleSheetLayoutView="55" workbookViewId="0">
      <selection activeCell="C40" sqref="C40"/>
    </sheetView>
  </sheetViews>
  <sheetFormatPr defaultColWidth="9.140625" defaultRowHeight="15.75" customHeight="1"/>
  <cols>
    <col min="1" max="1" width="5.5703125" style="78" customWidth="1"/>
    <col min="2" max="2" width="35.28515625" style="79" customWidth="1"/>
    <col min="3" max="3" width="2.28515625" style="35" customWidth="1"/>
    <col min="4" max="4" width="25.140625" style="42" customWidth="1"/>
    <col min="5" max="5" width="2.28515625" style="35" customWidth="1"/>
    <col min="6" max="6" width="11.42578125" style="35" customWidth="1"/>
    <col min="7" max="7" width="12.140625" style="35" bestFit="1" customWidth="1"/>
    <col min="8" max="8" width="12.5703125" style="35" bestFit="1" customWidth="1"/>
    <col min="9" max="12" width="11.42578125" style="35" customWidth="1"/>
    <col min="13" max="13" width="12.140625" style="35" bestFit="1" customWidth="1"/>
    <col min="14" max="14" width="12.5703125" style="35" bestFit="1" customWidth="1"/>
    <col min="15" max="17" width="11.42578125" style="35" customWidth="1"/>
    <col min="18" max="18" width="2.28515625" style="35" customWidth="1"/>
    <col min="19" max="19" width="12.5703125" style="35" bestFit="1" customWidth="1"/>
    <col min="20" max="20" width="2.28515625" style="35" customWidth="1"/>
    <col min="21" max="21" width="20.28515625" style="80" customWidth="1"/>
    <col min="22" max="23" width="9.7109375" style="35" customWidth="1"/>
    <col min="24" max="16384" width="9.140625" style="35"/>
  </cols>
  <sheetData>
    <row r="1" spans="1:21" s="18" customFormat="1" ht="15.75" customHeight="1">
      <c r="A1" s="16" t="str">
        <f>+'Workpaper Index'!C4</f>
        <v>Utah Energy Balancing Account Mechanism</v>
      </c>
      <c r="B1" s="17"/>
      <c r="D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18" customFormat="1" ht="15.75" customHeight="1">
      <c r="A2" s="16" t="str">
        <f>+'Workpaper Index'!C5</f>
        <v>January 1, 2014 - December 31, 2014</v>
      </c>
      <c r="B2" s="17"/>
      <c r="D2" s="19"/>
      <c r="U2" s="21"/>
    </row>
    <row r="3" spans="1:21" s="18" customFormat="1" ht="15.75" customHeight="1">
      <c r="A3" s="16" t="str">
        <f>+'Workpaper Index'!B12&amp;" - "&amp;'Workpaper Index'!C12</f>
        <v>Exhibit 3 - Docket 11-035-200 Stipulation Exhibit A2 Method (Simplified Annual Allocation)</v>
      </c>
      <c r="B3" s="17"/>
      <c r="D3" s="19"/>
      <c r="U3" s="21"/>
    </row>
    <row r="4" spans="1:21" ht="15.75" customHeight="1"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8"/>
    </row>
    <row r="5" spans="1:21" ht="15.75" customHeight="1">
      <c r="A5" s="35"/>
      <c r="B5" s="81"/>
      <c r="R5" s="18"/>
    </row>
    <row r="6" spans="1:21" ht="25.5">
      <c r="A6" s="25" t="s">
        <v>34</v>
      </c>
      <c r="B6" s="26"/>
      <c r="C6" s="18"/>
      <c r="D6" s="27" t="s">
        <v>35</v>
      </c>
      <c r="E6" s="18"/>
      <c r="F6" s="28">
        <v>41640</v>
      </c>
      <c r="G6" s="28">
        <f>EDATE(F6,1)</f>
        <v>41671</v>
      </c>
      <c r="H6" s="28">
        <f t="shared" ref="H6:Q6" si="0">EDATE(G6,1)</f>
        <v>41699</v>
      </c>
      <c r="I6" s="28">
        <f t="shared" si="0"/>
        <v>41730</v>
      </c>
      <c r="J6" s="28">
        <f t="shared" si="0"/>
        <v>41760</v>
      </c>
      <c r="K6" s="28">
        <f t="shared" si="0"/>
        <v>41791</v>
      </c>
      <c r="L6" s="28">
        <f t="shared" si="0"/>
        <v>41821</v>
      </c>
      <c r="M6" s="28">
        <f t="shared" si="0"/>
        <v>41852</v>
      </c>
      <c r="N6" s="28">
        <f t="shared" si="0"/>
        <v>41883</v>
      </c>
      <c r="O6" s="28">
        <f t="shared" si="0"/>
        <v>41913</v>
      </c>
      <c r="P6" s="28">
        <f t="shared" si="0"/>
        <v>41944</v>
      </c>
      <c r="Q6" s="28">
        <f t="shared" si="0"/>
        <v>41974</v>
      </c>
      <c r="R6" s="18"/>
      <c r="S6" s="28" t="s">
        <v>36</v>
      </c>
      <c r="T6" s="29"/>
    </row>
    <row r="7" spans="1:21" ht="15.75" customHeight="1">
      <c r="A7" s="30"/>
      <c r="B7" s="24"/>
      <c r="C7" s="18"/>
      <c r="D7" s="31"/>
      <c r="E7" s="1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8"/>
      <c r="S7" s="32"/>
      <c r="T7" s="33"/>
      <c r="U7" s="34"/>
    </row>
    <row r="8" spans="1:21" ht="15.75" customHeight="1">
      <c r="A8" s="36" t="s">
        <v>71</v>
      </c>
      <c r="B8" s="17"/>
      <c r="C8" s="18"/>
      <c r="D8" s="31"/>
      <c r="E8" s="1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8"/>
      <c r="S8" s="33"/>
      <c r="T8" s="33"/>
      <c r="U8" s="34"/>
    </row>
    <row r="9" spans="1:21" ht="15.75" customHeight="1">
      <c r="A9" s="22"/>
      <c r="B9" s="24"/>
      <c r="C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8"/>
      <c r="S9" s="37"/>
      <c r="T9" s="33"/>
      <c r="U9" s="34"/>
    </row>
    <row r="10" spans="1:21" ht="15.75" customHeight="1">
      <c r="A10" s="22">
        <f>+MAX($A$1:A9)+1</f>
        <v>1</v>
      </c>
      <c r="B10" s="31" t="s">
        <v>50</v>
      </c>
      <c r="D10" s="38" t="str">
        <f>+'Workpaper Index'!B17</f>
        <v>(5.1)</v>
      </c>
      <c r="F10" s="39">
        <f>+INDEX('[4](5.1) UT Allocated Actual NPC'!$78:$78,1,MATCH(F$6,'[4](5.1) UT Allocated Actual NPC'!$46:$46,0))</f>
        <v>60928980.487033918</v>
      </c>
      <c r="G10" s="39">
        <f>+INDEX('[4](5.1) UT Allocated Actual NPC'!$78:$78,1,MATCH(G$6,'[4](5.1) UT Allocated Actual NPC'!$46:$46,0))</f>
        <v>59283125.398437418</v>
      </c>
      <c r="H10" s="39">
        <f>+INDEX('[4](5.1) UT Allocated Actual NPC'!$78:$78,1,MATCH(H$6,'[4](5.1) UT Allocated Actual NPC'!$46:$46,0))</f>
        <v>53959742.468931392</v>
      </c>
      <c r="I10" s="39"/>
      <c r="J10" s="39"/>
      <c r="K10" s="39"/>
      <c r="L10" s="39"/>
      <c r="M10" s="39"/>
      <c r="N10" s="39"/>
      <c r="O10" s="39"/>
      <c r="P10" s="39"/>
      <c r="Q10" s="39"/>
      <c r="R10" s="18"/>
      <c r="S10" s="39">
        <f>+SUM(F10:Q10)</f>
        <v>174171848.35440272</v>
      </c>
      <c r="T10" s="33"/>
      <c r="U10" s="34"/>
    </row>
    <row r="11" spans="1:21" ht="15.75" customHeight="1">
      <c r="A11" s="22">
        <f>+MAX($A$1:A10)+1</f>
        <v>2</v>
      </c>
      <c r="B11" s="31" t="s">
        <v>51</v>
      </c>
      <c r="D11" s="38" t="str">
        <f>+'Workpaper Index'!B30</f>
        <v>(7.1)</v>
      </c>
      <c r="F11" s="39">
        <f>+INDEX('[4](7.1) Wheeling Revenues'!$64:$64,1,MATCH(F$6,'[4](7.1) Wheeling Revenues'!$10:$10,0))</f>
        <v>-2950361.6492699687</v>
      </c>
      <c r="G11" s="39">
        <f>+INDEX('[4](7.1) Wheeling Revenues'!$64:$64,1,MATCH(G$6,'[4](7.1) Wheeling Revenues'!$10:$10,0))</f>
        <v>-2828346.9204758881</v>
      </c>
      <c r="H11" s="39">
        <f>+INDEX('[4](7.1) Wheeling Revenues'!$64:$64,1,MATCH(H$6,'[4](7.1) Wheeling Revenues'!$10:$10,0))</f>
        <v>-3029377.4964753715</v>
      </c>
      <c r="I11" s="39"/>
      <c r="J11" s="39"/>
      <c r="K11" s="39"/>
      <c r="L11" s="39"/>
      <c r="M11" s="39"/>
      <c r="N11" s="39"/>
      <c r="O11" s="39"/>
      <c r="P11" s="39"/>
      <c r="Q11" s="39"/>
      <c r="R11" s="18"/>
      <c r="S11" s="39">
        <f>+SUM(F11:Q11)</f>
        <v>-8808086.0662212297</v>
      </c>
      <c r="T11" s="33"/>
      <c r="U11" s="34"/>
    </row>
    <row r="12" spans="1:21" ht="15.75" customHeight="1">
      <c r="A12" s="22">
        <f>+MAX($A$1:A11)+1</f>
        <v>3</v>
      </c>
      <c r="B12" s="31" t="s">
        <v>36</v>
      </c>
      <c r="D12" s="42" t="str">
        <f>"∑ Lines "&amp;$A$10&amp;":"&amp;$A$11&amp;""</f>
        <v>∑ Lines 1:2</v>
      </c>
      <c r="F12" s="58">
        <f>+SUM(F10:F11)</f>
        <v>57978618.83776395</v>
      </c>
      <c r="G12" s="58">
        <f>+SUM(G10:G11)</f>
        <v>56454778.477961533</v>
      </c>
      <c r="H12" s="58">
        <f>+SUM(H10:H11)</f>
        <v>50930364.972456023</v>
      </c>
      <c r="I12" s="58"/>
      <c r="J12" s="58"/>
      <c r="K12" s="58"/>
      <c r="L12" s="58"/>
      <c r="M12" s="58"/>
      <c r="N12" s="58"/>
      <c r="O12" s="58"/>
      <c r="P12" s="58"/>
      <c r="Q12" s="58"/>
      <c r="R12" s="18"/>
      <c r="S12" s="58">
        <f>+SUM(F12:Q12)</f>
        <v>165363762.28818148</v>
      </c>
      <c r="T12" s="33"/>
      <c r="U12" s="34"/>
    </row>
    <row r="13" spans="1:21" ht="15.75" customHeight="1">
      <c r="A13" s="22"/>
      <c r="B13" s="31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18"/>
      <c r="S13" s="39"/>
      <c r="T13" s="33"/>
      <c r="U13" s="34"/>
    </row>
    <row r="14" spans="1:21" ht="15.75" customHeight="1">
      <c r="A14" s="22">
        <f>+MAX($A$1:A13)+1</f>
        <v>4</v>
      </c>
      <c r="B14" s="31" t="s">
        <v>52</v>
      </c>
      <c r="D14" s="38" t="str">
        <f>+'Workpaper Index'!B35</f>
        <v>(8.3)</v>
      </c>
      <c r="F14" s="39">
        <f>+INDEX('[4](8.3) Utah Sales'!15:15,MATCH(F6,'[4](8.3) Utah Sales'!9:9,0))</f>
        <v>2080024.8839999998</v>
      </c>
      <c r="G14" s="39">
        <f>+INDEX('[4](8.3) Utah Sales'!15:15,MATCH(G6,'[4](8.3) Utah Sales'!9:9,0))</f>
        <v>1778181.71</v>
      </c>
      <c r="H14" s="39">
        <f>+INDEX('[4](8.3) Utah Sales'!15:15,MATCH(H6,'[4](8.3) Utah Sales'!9:9,0))</f>
        <v>1895016.52</v>
      </c>
      <c r="I14" s="39"/>
      <c r="J14" s="39"/>
      <c r="K14" s="39"/>
      <c r="L14" s="39"/>
      <c r="M14" s="39"/>
      <c r="N14" s="39"/>
      <c r="O14" s="39"/>
      <c r="P14" s="39"/>
      <c r="Q14" s="39"/>
      <c r="R14" s="18"/>
      <c r="S14" s="39">
        <f>+SUM(F14:Q14)</f>
        <v>5753223.1140000001</v>
      </c>
      <c r="T14" s="33"/>
      <c r="U14" s="34"/>
    </row>
    <row r="15" spans="1:21" ht="15.75" customHeight="1">
      <c r="A15" s="22"/>
      <c r="B15" s="3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8"/>
      <c r="S15" s="37"/>
      <c r="T15" s="33"/>
      <c r="U15" s="34"/>
    </row>
    <row r="16" spans="1:21" ht="15.75" customHeight="1">
      <c r="A16" s="22">
        <f>+MAX($A$1:A15)+1</f>
        <v>5</v>
      </c>
      <c r="B16" s="31" t="s">
        <v>72</v>
      </c>
      <c r="D16" s="42" t="str">
        <f>"Line "&amp;$A$12&amp;" / Line "&amp;$A$14&amp;""</f>
        <v>Line 3 / Line 4</v>
      </c>
      <c r="F16" s="49">
        <f t="shared" ref="F16:H16" si="1">+F12/F14</f>
        <v>27.874002510137256</v>
      </c>
      <c r="G16" s="49">
        <f t="shared" si="1"/>
        <v>31.748599235092534</v>
      </c>
      <c r="H16" s="49">
        <f t="shared" si="1"/>
        <v>26.87594774765131</v>
      </c>
      <c r="I16" s="49"/>
      <c r="J16" s="49"/>
      <c r="K16" s="49"/>
      <c r="L16" s="49"/>
      <c r="M16" s="49"/>
      <c r="N16" s="49"/>
      <c r="O16" s="49"/>
      <c r="P16" s="49"/>
      <c r="Q16" s="49"/>
      <c r="R16" s="18"/>
      <c r="S16" s="49">
        <f>+S12/S14</f>
        <v>28.742803644409726</v>
      </c>
      <c r="T16" s="33"/>
      <c r="U16" s="34"/>
    </row>
    <row r="17" spans="1:21" ht="15.75" customHeight="1">
      <c r="A17" s="22"/>
      <c r="R17" s="18"/>
      <c r="T17" s="33"/>
      <c r="U17" s="34"/>
    </row>
    <row r="18" spans="1:21" ht="15.75" customHeight="1">
      <c r="A18" s="50" t="s">
        <v>73</v>
      </c>
      <c r="B18" s="83"/>
      <c r="C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8"/>
      <c r="S18" s="53"/>
      <c r="T18" s="33"/>
      <c r="U18" s="34"/>
    </row>
    <row r="19" spans="1:21" ht="15.75" customHeight="1">
      <c r="A19" s="50"/>
      <c r="B19" s="83"/>
      <c r="C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18"/>
      <c r="S19" s="53"/>
      <c r="T19" s="33"/>
      <c r="U19" s="34"/>
    </row>
    <row r="20" spans="1:21" ht="15.75" customHeight="1">
      <c r="A20" s="22">
        <f>+MAX($A$1:A19)+1</f>
        <v>6</v>
      </c>
      <c r="B20" s="31" t="s">
        <v>50</v>
      </c>
      <c r="C20" s="36"/>
      <c r="D20" s="38" t="str">
        <f>+'Workpaper Index'!B24</f>
        <v>(6.1)</v>
      </c>
      <c r="E20" s="36"/>
      <c r="F20" s="39">
        <f>+INDEX('[4](6.1) Prorated Base NPC'!$62:$62,1,MATCH(F$6,'[4](6.1) Prorated Base NPC'!$30:$30,0))</f>
        <v>52808576.86786487</v>
      </c>
      <c r="G20" s="39">
        <f>+INDEX('[4](6.1) Prorated Base NPC'!$62:$62,1,MATCH(G$6,'[4](6.1) Prorated Base NPC'!$30:$30,0))</f>
        <v>47751766.215919696</v>
      </c>
      <c r="H20" s="39">
        <f>+INDEX('[4](6.1) Prorated Base NPC'!$62:$62,1,MATCH(H$6,'[4](6.1) Prorated Base NPC'!$30:$30,0))</f>
        <v>51717005.50693883</v>
      </c>
      <c r="I20" s="39"/>
      <c r="J20" s="39"/>
      <c r="K20" s="39"/>
      <c r="L20" s="39"/>
      <c r="M20" s="39"/>
      <c r="N20" s="39"/>
      <c r="O20" s="39"/>
      <c r="P20" s="39"/>
      <c r="Q20" s="39"/>
      <c r="R20" s="18"/>
      <c r="S20" s="39">
        <f>+SUM(F20:Q20)</f>
        <v>152277348.5907234</v>
      </c>
      <c r="T20" s="33"/>
      <c r="U20" s="84"/>
    </row>
    <row r="21" spans="1:21" ht="15.75" customHeight="1">
      <c r="A21" s="22">
        <f>+MAX($A$1:A20)+1</f>
        <v>7</v>
      </c>
      <c r="B21" s="31" t="s">
        <v>51</v>
      </c>
      <c r="C21" s="36"/>
      <c r="D21" s="38" t="str">
        <f>+'Workpaper Index'!B30</f>
        <v>(7.1)</v>
      </c>
      <c r="E21" s="36"/>
      <c r="F21" s="39">
        <f>+INDEX('[4](7.1) Wheeling Revenues'!$78:$78,MATCH(F$6,'[4](7.1) Wheeling Revenues'!$10:$10,0))</f>
        <v>-2684824.28561325</v>
      </c>
      <c r="G21" s="39">
        <f>+INDEX('[4](7.1) Wheeling Revenues'!$78:$78,MATCH(G$6,'[4](7.1) Wheeling Revenues'!$10:$10,0))</f>
        <v>-2684824.28561325</v>
      </c>
      <c r="H21" s="39">
        <f>+INDEX('[4](7.1) Wheeling Revenues'!$78:$78,MATCH(H$6,'[4](7.1) Wheeling Revenues'!$10:$10,0))</f>
        <v>-2684824.28561325</v>
      </c>
      <c r="I21" s="39"/>
      <c r="J21" s="39"/>
      <c r="K21" s="39"/>
      <c r="L21" s="39"/>
      <c r="M21" s="39"/>
      <c r="N21" s="39"/>
      <c r="O21" s="39"/>
      <c r="P21" s="39"/>
      <c r="Q21" s="39"/>
      <c r="R21" s="18"/>
      <c r="S21" s="39">
        <f>+SUM(F21:Q21)</f>
        <v>-8054472.85683975</v>
      </c>
      <c r="T21" s="57"/>
      <c r="U21" s="34"/>
    </row>
    <row r="22" spans="1:21" ht="15.75" customHeight="1">
      <c r="A22" s="22">
        <f>+MAX($A$1:A21)+1</f>
        <v>8</v>
      </c>
      <c r="B22" s="31" t="s">
        <v>36</v>
      </c>
      <c r="C22" s="36"/>
      <c r="D22" s="42" t="str">
        <f>"∑ Lines "&amp;$A$20&amp;":"&amp;$A$21&amp;""</f>
        <v>∑ Lines 6:7</v>
      </c>
      <c r="E22" s="36"/>
      <c r="F22" s="58">
        <f>+SUM(F20:F21)</f>
        <v>50123752.582251623</v>
      </c>
      <c r="G22" s="58">
        <f>+SUM(G20:G21)</f>
        <v>45066941.93030645</v>
      </c>
      <c r="H22" s="58">
        <f>+SUM(H20:H21)</f>
        <v>49032181.221325576</v>
      </c>
      <c r="I22" s="58"/>
      <c r="J22" s="58"/>
      <c r="K22" s="58"/>
      <c r="L22" s="58"/>
      <c r="M22" s="58"/>
      <c r="N22" s="58"/>
      <c r="O22" s="58"/>
      <c r="P22" s="58"/>
      <c r="Q22" s="58"/>
      <c r="R22" s="18"/>
      <c r="S22" s="58">
        <f>+SUM(F22:Q22)</f>
        <v>144222875.73388365</v>
      </c>
      <c r="T22" s="33"/>
      <c r="U22" s="34"/>
    </row>
    <row r="23" spans="1:21" ht="15.75" customHeight="1">
      <c r="A23" s="22"/>
      <c r="B23" s="31"/>
      <c r="C23" s="36"/>
      <c r="E23" s="3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8"/>
      <c r="S23" s="39"/>
      <c r="T23" s="33"/>
      <c r="U23" s="34"/>
    </row>
    <row r="24" spans="1:21" ht="15.75" customHeight="1">
      <c r="A24" s="22">
        <f>+MAX($A$1:A23)+1</f>
        <v>9</v>
      </c>
      <c r="B24" s="31" t="s">
        <v>52</v>
      </c>
      <c r="C24" s="36"/>
      <c r="D24" s="38"/>
      <c r="E24" s="36"/>
      <c r="F24" s="39">
        <f>+INDEX('[4](6.1) Prorated Base NPC'!$61:$61,1,MATCH(F$6,'[4](6.1) Prorated Base NPC'!$30:$30,0))</f>
        <v>1982626.99979</v>
      </c>
      <c r="G24" s="39">
        <f>+INDEX('[4](6.1) Prorated Base NPC'!$61:$61,1,MATCH(G$6,'[4](6.1) Prorated Base NPC'!$30:$30,0))</f>
        <v>1789929.9980000001</v>
      </c>
      <c r="H24" s="39">
        <f>+INDEX('[4](6.1) Prorated Base NPC'!$61:$61,1,MATCH(H$6,'[4](6.1) Prorated Base NPC'!$30:$30,0))</f>
        <v>1910070.0009899999</v>
      </c>
      <c r="I24" s="39"/>
      <c r="J24" s="39"/>
      <c r="K24" s="39"/>
      <c r="L24" s="39"/>
      <c r="M24" s="39"/>
      <c r="N24" s="39"/>
      <c r="O24" s="39"/>
      <c r="P24" s="39"/>
      <c r="Q24" s="39"/>
      <c r="R24" s="18"/>
      <c r="S24" s="39">
        <f>+SUM(F24:Q24)</f>
        <v>5682626.99878</v>
      </c>
      <c r="T24" s="33"/>
      <c r="U24" s="34"/>
    </row>
    <row r="25" spans="1:21" ht="15.75" customHeight="1">
      <c r="A25" s="22"/>
      <c r="B25" s="31"/>
      <c r="C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8"/>
      <c r="S25" s="37"/>
      <c r="T25" s="33"/>
      <c r="U25" s="34"/>
    </row>
    <row r="26" spans="1:21" ht="15.75" customHeight="1">
      <c r="A26" s="22">
        <f>+MAX($A$1:A25)+1</f>
        <v>10</v>
      </c>
      <c r="B26" s="31" t="s">
        <v>74</v>
      </c>
      <c r="C26" s="36"/>
      <c r="D26" s="42" t="str">
        <f>"Line "&amp;$A$22&amp;" / Line "&amp;$A$24&amp;""</f>
        <v>Line 8 / Line 9</v>
      </c>
      <c r="E26" s="36"/>
      <c r="F26" s="49">
        <f>+F22/F24</f>
        <v>25.281483903709944</v>
      </c>
      <c r="G26" s="49">
        <f>+G22/G24</f>
        <v>25.178047175399339</v>
      </c>
      <c r="H26" s="49">
        <f>+H22/H24</f>
        <v>25.670358256981118</v>
      </c>
      <c r="I26" s="49"/>
      <c r="J26" s="49"/>
      <c r="K26" s="49"/>
      <c r="L26" s="49"/>
      <c r="M26" s="49"/>
      <c r="N26" s="49"/>
      <c r="O26" s="49"/>
      <c r="P26" s="49"/>
      <c r="Q26" s="49"/>
      <c r="R26" s="18"/>
      <c r="S26" s="49">
        <f>+S22/S24</f>
        <v>25.379613295901134</v>
      </c>
      <c r="T26" s="33"/>
      <c r="U26" s="34"/>
    </row>
    <row r="27" spans="1:21" ht="15.75" customHeight="1">
      <c r="A27" s="22"/>
      <c r="B27" s="48"/>
      <c r="C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8"/>
      <c r="S27" s="37"/>
      <c r="T27" s="33"/>
      <c r="U27" s="34"/>
    </row>
    <row r="28" spans="1:21" ht="15.75" customHeight="1">
      <c r="A28" s="36" t="s">
        <v>54</v>
      </c>
      <c r="B28" s="48"/>
      <c r="C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8"/>
      <c r="S28" s="37"/>
      <c r="T28" s="33"/>
      <c r="U28" s="34"/>
    </row>
    <row r="29" spans="1:21" ht="15.75" customHeight="1">
      <c r="A29" s="36"/>
      <c r="B29" s="48"/>
      <c r="C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8"/>
      <c r="S29" s="37"/>
      <c r="T29" s="33"/>
      <c r="U29" s="34"/>
    </row>
    <row r="30" spans="1:21" ht="15.75" customHeight="1">
      <c r="A30" s="22">
        <f>+MAX($A$1:A28)+1</f>
        <v>11</v>
      </c>
      <c r="B30" s="31" t="s">
        <v>55</v>
      </c>
      <c r="C30" s="36"/>
      <c r="D30" s="42" t="str">
        <f>"Line "&amp;$A$16&amp;" - Line "&amp;$A$26&amp;""</f>
        <v>Line 5 - Line 10</v>
      </c>
      <c r="E30" s="36"/>
      <c r="F30" s="60">
        <f t="shared" ref="F30:H30" si="2">+F16-F26</f>
        <v>2.592518606427312</v>
      </c>
      <c r="G30" s="60">
        <f t="shared" si="2"/>
        <v>6.5705520596931954</v>
      </c>
      <c r="H30" s="60">
        <f t="shared" si="2"/>
        <v>1.2055894906701923</v>
      </c>
      <c r="I30" s="60"/>
      <c r="J30" s="60"/>
      <c r="K30" s="60"/>
      <c r="L30" s="60"/>
      <c r="M30" s="60"/>
      <c r="N30" s="60"/>
      <c r="O30" s="60"/>
      <c r="P30" s="60"/>
      <c r="Q30" s="60"/>
      <c r="R30" s="18"/>
      <c r="S30" s="60">
        <f>+S16-S26</f>
        <v>3.3631903485085921</v>
      </c>
      <c r="T30" s="33"/>
      <c r="U30" s="34"/>
    </row>
    <row r="31" spans="1:21" ht="15.75" customHeight="1">
      <c r="A31" s="22"/>
      <c r="B31" s="31"/>
      <c r="C31" s="36"/>
      <c r="E31" s="36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/>
      <c r="S31" s="43"/>
      <c r="T31" s="33"/>
      <c r="U31" s="34"/>
    </row>
    <row r="32" spans="1:21" ht="15.75" customHeight="1">
      <c r="A32" s="22">
        <f>+MAX($A$1:A31)+1</f>
        <v>12</v>
      </c>
      <c r="B32" s="31" t="s">
        <v>56</v>
      </c>
      <c r="C32" s="36"/>
      <c r="D32" s="42" t="str">
        <f>"Line "&amp;$A$14&amp;" * Line "&amp;$A$30&amp;""</f>
        <v>Line 4 * Line 11</v>
      </c>
      <c r="E32" s="36"/>
      <c r="F32" s="39">
        <f t="shared" ref="F32:H32" si="3">+F30*F14</f>
        <v>5392503.2136018109</v>
      </c>
      <c r="G32" s="39">
        <f t="shared" si="3"/>
        <v>11683635.497149268</v>
      </c>
      <c r="H32" s="39">
        <f t="shared" si="3"/>
        <v>2284612.0011584004</v>
      </c>
      <c r="I32" s="39"/>
      <c r="J32" s="39"/>
      <c r="K32" s="39"/>
      <c r="L32" s="39"/>
      <c r="M32" s="39"/>
      <c r="N32" s="39"/>
      <c r="O32" s="39"/>
      <c r="P32" s="39"/>
      <c r="Q32" s="39"/>
      <c r="R32" s="18"/>
      <c r="S32" s="39">
        <f>+SUM(F32:Q32)</f>
        <v>19360750.71190948</v>
      </c>
      <c r="T32" s="33"/>
      <c r="U32" s="34"/>
    </row>
    <row r="33" spans="1:22" ht="15.75" customHeight="1">
      <c r="A33" s="22"/>
      <c r="B33" s="31"/>
      <c r="C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8"/>
      <c r="S33" s="37"/>
      <c r="T33" s="33"/>
      <c r="U33" s="34"/>
    </row>
    <row r="34" spans="1:22" ht="23.25" customHeight="1">
      <c r="A34" s="22">
        <f>+MAX($A$1:A33)+1</f>
        <v>13</v>
      </c>
      <c r="B34" s="31" t="s">
        <v>57</v>
      </c>
      <c r="C34" s="36"/>
      <c r="D34" s="42" t="str">
        <f>"Line "&amp;A32&amp;" * 70%"</f>
        <v>Line 12 * 70%</v>
      </c>
      <c r="E34" s="36"/>
      <c r="F34" s="39">
        <f>F32*0.7</f>
        <v>3774752.2495212671</v>
      </c>
      <c r="G34" s="39">
        <f>G32*0.7</f>
        <v>8178544.8480044873</v>
      </c>
      <c r="H34" s="39">
        <f>H32*0.7</f>
        <v>1599228.4008108801</v>
      </c>
      <c r="I34" s="39"/>
      <c r="J34" s="39"/>
      <c r="K34" s="39"/>
      <c r="L34" s="39"/>
      <c r="M34" s="39"/>
      <c r="N34" s="39"/>
      <c r="O34" s="39"/>
      <c r="P34" s="39"/>
      <c r="Q34" s="39"/>
      <c r="R34" s="18"/>
      <c r="S34" s="39">
        <f>+SUM(F34:Q34)</f>
        <v>13552525.498336636</v>
      </c>
      <c r="T34" s="33"/>
      <c r="U34" s="34"/>
    </row>
    <row r="35" spans="1:22" ht="15.75" customHeight="1">
      <c r="A35" s="22">
        <f>+MAX($A$1:A34)+1</f>
        <v>14</v>
      </c>
      <c r="B35" s="31" t="s">
        <v>58</v>
      </c>
      <c r="C35" s="36"/>
      <c r="D35" s="38" t="s">
        <v>59</v>
      </c>
      <c r="E35" s="36"/>
      <c r="F35" s="37">
        <f>+INDEX('[4](7.1) Wheeling Revenues'!$63:$63,1,MATCH(F$6,'[4](7.1) Wheeling Revenues'!$10:$10,0))</f>
        <v>0</v>
      </c>
      <c r="G35" s="37">
        <f>+INDEX('[4](7.1) Wheeling Revenues'!$63:$63,1,MATCH(G$6,'[4](7.1) Wheeling Revenues'!$10:$10,0))</f>
        <v>0</v>
      </c>
      <c r="H35" s="37">
        <f>+INDEX('[4](7.1) Wheeling Revenues'!$63:$63,1,MATCH(H$6,'[4](7.1) Wheeling Revenues'!$10:$10,0))</f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18"/>
      <c r="S35" s="41">
        <f>+SUM(F35:Q35)</f>
        <v>0</v>
      </c>
      <c r="T35" s="33"/>
      <c r="U35" s="34"/>
    </row>
    <row r="36" spans="1:22" ht="15.75" customHeight="1">
      <c r="A36" s="22">
        <f>+MAX($A$1:A35)+1</f>
        <v>15</v>
      </c>
      <c r="B36" s="48" t="s">
        <v>60</v>
      </c>
      <c r="C36" s="36"/>
      <c r="D36" s="42" t="str">
        <f>"∑ Lines "&amp;$A$34&amp;":"&amp;$A$35&amp;""</f>
        <v>∑ Lines 13:14</v>
      </c>
      <c r="E36" s="36"/>
      <c r="F36" s="61">
        <f>+SUM(F34:F35)</f>
        <v>3774752.2495212671</v>
      </c>
      <c r="G36" s="61">
        <f>+SUM(G34:G35)</f>
        <v>8178544.8480044873</v>
      </c>
      <c r="H36" s="61">
        <f>+SUM(H34:H35)</f>
        <v>1599228.4008108801</v>
      </c>
      <c r="I36" s="61"/>
      <c r="J36" s="61"/>
      <c r="K36" s="61"/>
      <c r="L36" s="61"/>
      <c r="M36" s="61"/>
      <c r="N36" s="61"/>
      <c r="O36" s="61"/>
      <c r="P36" s="61"/>
      <c r="Q36" s="61"/>
      <c r="R36" s="18"/>
      <c r="S36" s="37">
        <f>+SUM(F36:Q36)</f>
        <v>13552525.498336636</v>
      </c>
      <c r="T36" s="33"/>
      <c r="U36" s="34"/>
    </row>
    <row r="37" spans="1:22" ht="15.75" customHeight="1">
      <c r="A37" s="22"/>
      <c r="B37" s="48"/>
      <c r="C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8"/>
      <c r="S37" s="37"/>
      <c r="T37" s="33"/>
      <c r="U37" s="34"/>
    </row>
    <row r="38" spans="1:22" ht="15.75" customHeight="1">
      <c r="A38" s="36" t="s">
        <v>61</v>
      </c>
      <c r="B38" s="48"/>
      <c r="C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8"/>
      <c r="S38" s="37"/>
      <c r="T38" s="33"/>
      <c r="U38" s="34"/>
    </row>
    <row r="39" spans="1:22" ht="15.75" customHeight="1">
      <c r="A39" s="22"/>
      <c r="B39" s="48"/>
      <c r="C39" s="62"/>
      <c r="E39" s="62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18"/>
      <c r="S39" s="64"/>
      <c r="T39" s="65"/>
      <c r="U39" s="34"/>
    </row>
    <row r="40" spans="1:22" ht="15.75" customHeight="1">
      <c r="A40" s="22">
        <f>+MAX($A$1:A39)+1</f>
        <v>16</v>
      </c>
      <c r="B40" s="31" t="s">
        <v>62</v>
      </c>
      <c r="C40" s="66"/>
      <c r="D40" s="42" t="s">
        <v>63</v>
      </c>
      <c r="E40" s="66"/>
      <c r="F40" s="68">
        <v>5.0000000000000001E-3</v>
      </c>
      <c r="G40" s="68">
        <f>+F40</f>
        <v>5.0000000000000001E-3</v>
      </c>
      <c r="H40" s="68">
        <f t="shared" ref="H40" si="4">+G40</f>
        <v>5.0000000000000001E-3</v>
      </c>
      <c r="I40" s="68"/>
      <c r="J40" s="68"/>
      <c r="K40" s="68"/>
      <c r="L40" s="68"/>
      <c r="M40" s="68"/>
      <c r="N40" s="68"/>
      <c r="O40" s="68"/>
      <c r="P40" s="68"/>
      <c r="Q40" s="68"/>
      <c r="R40" s="18"/>
      <c r="S40" s="68"/>
      <c r="T40" s="69"/>
      <c r="U40" s="34"/>
    </row>
    <row r="41" spans="1:22" ht="15.75" customHeight="1">
      <c r="A41" s="22">
        <f>+MAX($A$1:A40)+1</f>
        <v>17</v>
      </c>
      <c r="B41" s="31" t="s">
        <v>64</v>
      </c>
      <c r="C41" s="66"/>
      <c r="D41" s="42" t="str">
        <f>"Prior Month Line "&amp;$A$44&amp;""</f>
        <v>Prior Month Line 20</v>
      </c>
      <c r="E41" s="66"/>
      <c r="F41" s="70">
        <v>0</v>
      </c>
      <c r="G41" s="70">
        <f t="shared" ref="G41:H41" si="5">+F44</f>
        <v>3784189.1301450701</v>
      </c>
      <c r="H41" s="70">
        <f t="shared" si="5"/>
        <v>12002101.285920294</v>
      </c>
      <c r="I41" s="70"/>
      <c r="J41" s="70"/>
      <c r="K41" s="70"/>
      <c r="L41" s="70"/>
      <c r="M41" s="70"/>
      <c r="N41" s="70"/>
      <c r="O41" s="70"/>
      <c r="P41" s="70"/>
      <c r="Q41" s="70"/>
      <c r="R41" s="18"/>
      <c r="S41" s="70">
        <f>+F41</f>
        <v>0</v>
      </c>
      <c r="T41" s="71"/>
      <c r="U41" s="34"/>
    </row>
    <row r="42" spans="1:22" ht="15.75" customHeight="1">
      <c r="A42" s="22">
        <f>+MAX($A$1:A41)+1</f>
        <v>18</v>
      </c>
      <c r="B42" s="31" t="s">
        <v>65</v>
      </c>
      <c r="C42" s="66"/>
      <c r="D42" s="42" t="str">
        <f>"Line "&amp;$A$36</f>
        <v>Line 15</v>
      </c>
      <c r="E42" s="66"/>
      <c r="F42" s="70">
        <f>+F36</f>
        <v>3774752.2495212671</v>
      </c>
      <c r="G42" s="70">
        <f>+G36</f>
        <v>8178544.8480044873</v>
      </c>
      <c r="H42" s="70">
        <f>+H36</f>
        <v>1599228.4008108801</v>
      </c>
      <c r="I42" s="70"/>
      <c r="J42" s="70"/>
      <c r="K42" s="70"/>
      <c r="L42" s="70"/>
      <c r="M42" s="70"/>
      <c r="N42" s="70"/>
      <c r="O42" s="70"/>
      <c r="P42" s="70"/>
      <c r="Q42" s="70"/>
      <c r="R42" s="18"/>
      <c r="S42" s="70">
        <f>+SUM(F42:Q42)</f>
        <v>13552525.498336636</v>
      </c>
      <c r="T42" s="71"/>
      <c r="U42" s="34"/>
    </row>
    <row r="43" spans="1:22" s="80" customFormat="1" ht="15.75" customHeight="1">
      <c r="A43" s="22">
        <f>+MAX($A$1:A42)+1</f>
        <v>19</v>
      </c>
      <c r="B43" s="72" t="s">
        <v>66</v>
      </c>
      <c r="C43" s="66"/>
      <c r="D43" s="42" t="str">
        <f>"Line "&amp;$A$40&amp;" * ( Line "&amp;$A$41&amp;" + 50% x Line "&amp;$A$42&amp;")"</f>
        <v>Line 16 * ( Line 17 + 50% x Line 18)</v>
      </c>
      <c r="E43" s="66"/>
      <c r="F43" s="73">
        <f t="shared" ref="F43:H43" si="6">+(F41+0.5*SUM(F42:F42))*F40</f>
        <v>9436.8806238031684</v>
      </c>
      <c r="G43" s="73">
        <f t="shared" si="6"/>
        <v>39367.307770736574</v>
      </c>
      <c r="H43" s="73">
        <f t="shared" si="6"/>
        <v>64008.57743162867</v>
      </c>
      <c r="I43" s="73"/>
      <c r="J43" s="73"/>
      <c r="K43" s="73"/>
      <c r="L43" s="73"/>
      <c r="M43" s="73"/>
      <c r="N43" s="73"/>
      <c r="O43" s="73"/>
      <c r="P43" s="73"/>
      <c r="Q43" s="73"/>
      <c r="R43" s="18"/>
      <c r="S43" s="39">
        <f>+SUM(F43:Q43)</f>
        <v>112812.76582616841</v>
      </c>
      <c r="T43" s="71"/>
      <c r="U43" s="34"/>
      <c r="V43" s="34"/>
    </row>
    <row r="44" spans="1:22" s="80" customFormat="1" ht="15.75" customHeight="1">
      <c r="A44" s="22">
        <f>+MAX($A$1:A43)+1</f>
        <v>20</v>
      </c>
      <c r="B44" s="48" t="s">
        <v>67</v>
      </c>
      <c r="C44" s="66"/>
      <c r="D44" s="42" t="str">
        <f>"∑ Lines "&amp;$A$41&amp;":"&amp;$A$43&amp;""</f>
        <v>∑ Lines 17:19</v>
      </c>
      <c r="E44" s="66"/>
      <c r="F44" s="61">
        <f t="shared" ref="F44:H44" si="7">+SUM(F41:F43)</f>
        <v>3784189.1301450701</v>
      </c>
      <c r="G44" s="61">
        <f t="shared" si="7"/>
        <v>12002101.285920294</v>
      </c>
      <c r="H44" s="61">
        <f t="shared" si="7"/>
        <v>13665338.264162803</v>
      </c>
      <c r="I44" s="61"/>
      <c r="J44" s="61"/>
      <c r="K44" s="61"/>
      <c r="L44" s="61"/>
      <c r="M44" s="61"/>
      <c r="N44" s="61"/>
      <c r="O44" s="61"/>
      <c r="P44" s="61"/>
      <c r="Q44" s="61"/>
      <c r="R44" s="18"/>
      <c r="S44" s="61">
        <f>+SUM(S41:S43)</f>
        <v>13665338.264162803</v>
      </c>
      <c r="T44" s="71"/>
      <c r="U44" s="34"/>
      <c r="V44" s="34"/>
    </row>
    <row r="45" spans="1:22" s="80" customFormat="1" ht="15.75" customHeight="1">
      <c r="A45" s="22"/>
      <c r="B45" s="36"/>
      <c r="C45" s="36"/>
      <c r="D45" s="19"/>
      <c r="E45" s="36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18"/>
      <c r="S45" s="69"/>
      <c r="T45" s="69"/>
      <c r="U45" s="34"/>
      <c r="V45" s="34"/>
    </row>
    <row r="46" spans="1:22" s="80" customFormat="1" ht="15.75" customHeight="1">
      <c r="A46" s="22"/>
      <c r="B46" s="24"/>
      <c r="C46" s="36"/>
      <c r="D46" s="19"/>
      <c r="E46" s="36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8"/>
      <c r="S46" s="69"/>
      <c r="T46" s="69"/>
      <c r="U46" s="34"/>
      <c r="V46" s="34"/>
    </row>
    <row r="47" spans="1:22" s="80" customFormat="1" ht="15.75" customHeight="1">
      <c r="A47" s="18" t="s">
        <v>75</v>
      </c>
      <c r="B47" s="79"/>
      <c r="C47" s="36"/>
      <c r="D47" s="19"/>
      <c r="E47" s="36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18"/>
      <c r="S47" s="69"/>
      <c r="T47" s="69"/>
      <c r="U47" s="34"/>
      <c r="V47" s="34"/>
    </row>
    <row r="48" spans="1:22" s="80" customFormat="1" ht="15.75" customHeight="1">
      <c r="A48" s="18">
        <v>1</v>
      </c>
      <c r="B48" s="18" t="s">
        <v>69</v>
      </c>
      <c r="C48" s="17"/>
      <c r="D48" s="19"/>
      <c r="E48" s="36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18"/>
      <c r="S48" s="69"/>
      <c r="T48" s="69"/>
      <c r="U48" s="34"/>
      <c r="V48" s="34"/>
    </row>
    <row r="49" spans="1:22" s="80" customFormat="1" ht="15.75" customHeight="1">
      <c r="A49" s="18">
        <v>2</v>
      </c>
      <c r="B49" s="17" t="s">
        <v>70</v>
      </c>
      <c r="C49" s="54"/>
      <c r="D49" s="42"/>
      <c r="E49" s="5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18"/>
      <c r="S49" s="69"/>
      <c r="T49" s="69"/>
      <c r="U49" s="34"/>
      <c r="V49" s="34"/>
    </row>
    <row r="50" spans="1:22" s="80" customFormat="1" ht="15.75" customHeight="1">
      <c r="A50" s="78"/>
      <c r="B50" s="79"/>
      <c r="C50" s="35"/>
      <c r="D50" s="42"/>
      <c r="E50" s="35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18"/>
      <c r="S50" s="77"/>
      <c r="T50" s="77"/>
      <c r="U50" s="34"/>
      <c r="V50" s="34"/>
    </row>
    <row r="51" spans="1:22" s="80" customFormat="1" ht="15.75" customHeight="1">
      <c r="A51" s="78"/>
      <c r="B51" s="79"/>
      <c r="C51" s="35"/>
      <c r="D51" s="4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18"/>
      <c r="S51" s="77"/>
      <c r="T51" s="77"/>
      <c r="U51" s="34"/>
      <c r="V51" s="34"/>
    </row>
    <row r="52" spans="1:22" s="80" customFormat="1" ht="15.75" customHeight="1">
      <c r="A52" s="78"/>
      <c r="B52" s="79"/>
      <c r="C52" s="35"/>
      <c r="D52" s="42"/>
      <c r="E52" s="3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18"/>
      <c r="S52" s="77"/>
      <c r="T52" s="77"/>
      <c r="U52" s="34"/>
      <c r="V52" s="34"/>
    </row>
    <row r="53" spans="1:22" s="80" customFormat="1" ht="15.75" customHeight="1">
      <c r="A53" s="78"/>
      <c r="B53" s="79"/>
      <c r="C53" s="35"/>
      <c r="D53" s="42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8"/>
      <c r="S53" s="77"/>
      <c r="T53" s="77"/>
      <c r="U53" s="34"/>
      <c r="V53" s="34"/>
    </row>
    <row r="54" spans="1:22" s="80" customFormat="1" ht="15.75" customHeight="1">
      <c r="A54" s="78"/>
      <c r="B54" s="79"/>
      <c r="C54" s="35"/>
      <c r="D54" s="42"/>
      <c r="E54" s="35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18"/>
      <c r="S54" s="77"/>
      <c r="T54" s="77"/>
      <c r="U54" s="34"/>
      <c r="V54" s="34"/>
    </row>
    <row r="55" spans="1:22" s="80" customFormat="1" ht="15.75" customHeight="1">
      <c r="A55" s="78"/>
      <c r="B55" s="79"/>
      <c r="C55" s="35"/>
      <c r="D55" s="42"/>
      <c r="E55" s="35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18"/>
      <c r="S55" s="77"/>
      <c r="T55" s="77"/>
      <c r="U55" s="34"/>
      <c r="V55" s="34"/>
    </row>
    <row r="56" spans="1:22" s="80" customFormat="1" ht="15.75" customHeight="1">
      <c r="A56" s="78"/>
      <c r="B56" s="79"/>
      <c r="C56" s="35"/>
      <c r="D56" s="42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8"/>
      <c r="S56" s="77"/>
      <c r="T56" s="77"/>
      <c r="U56" s="34"/>
      <c r="V56" s="34"/>
    </row>
    <row r="57" spans="1:22" s="80" customFormat="1" ht="15.75" customHeight="1">
      <c r="A57" s="78"/>
      <c r="B57" s="79"/>
      <c r="C57" s="35"/>
      <c r="D57" s="42"/>
      <c r="E57" s="35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18"/>
      <c r="S57" s="77"/>
      <c r="T57" s="77"/>
      <c r="U57" s="34"/>
      <c r="V57" s="34"/>
    </row>
    <row r="58" spans="1:22" s="80" customFormat="1" ht="15.75" customHeight="1">
      <c r="A58" s="78"/>
      <c r="B58" s="79"/>
      <c r="C58" s="35"/>
      <c r="D58" s="42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18"/>
      <c r="S58" s="77"/>
      <c r="T58" s="77"/>
      <c r="U58" s="34"/>
      <c r="V58" s="34"/>
    </row>
    <row r="59" spans="1:22" ht="15.75" customHeight="1">
      <c r="R59" s="18"/>
      <c r="U59" s="34"/>
    </row>
    <row r="60" spans="1:22" ht="15.75" customHeight="1">
      <c r="R60" s="18"/>
      <c r="U60" s="34"/>
    </row>
    <row r="61" spans="1:22" ht="15.75" customHeight="1">
      <c r="R61" s="18"/>
      <c r="U61" s="34"/>
    </row>
    <row r="62" spans="1:22" ht="15.75" customHeight="1">
      <c r="R62" s="18"/>
      <c r="U62" s="34"/>
    </row>
    <row r="63" spans="1:22" ht="15.75" customHeight="1">
      <c r="R63" s="18"/>
      <c r="U63" s="34"/>
    </row>
    <row r="64" spans="1:22" ht="15.75" customHeight="1">
      <c r="R64" s="18"/>
      <c r="U64" s="34"/>
    </row>
    <row r="65" spans="18:21" ht="15.75" customHeight="1">
      <c r="R65" s="18"/>
      <c r="U65" s="34"/>
    </row>
    <row r="66" spans="18:21" ht="15.75" customHeight="1">
      <c r="R66" s="18"/>
      <c r="U66" s="34"/>
    </row>
    <row r="67" spans="18:21" ht="15.75" customHeight="1">
      <c r="R67" s="18"/>
      <c r="U67" s="34"/>
    </row>
    <row r="68" spans="18:21" ht="15.75" customHeight="1">
      <c r="R68" s="18"/>
      <c r="U68" s="34"/>
    </row>
    <row r="69" spans="18:21" ht="15.75" customHeight="1">
      <c r="R69" s="18"/>
      <c r="U69" s="34"/>
    </row>
    <row r="70" spans="18:21" ht="15.75" customHeight="1">
      <c r="R70" s="18"/>
      <c r="U70" s="34"/>
    </row>
    <row r="71" spans="18:21" ht="15.75" customHeight="1">
      <c r="R71" s="18"/>
      <c r="U71" s="34"/>
    </row>
    <row r="72" spans="18:21" ht="15.75" customHeight="1">
      <c r="R72" s="18"/>
      <c r="U72" s="34"/>
    </row>
    <row r="73" spans="18:21" ht="15.75" customHeight="1">
      <c r="R73" s="18"/>
      <c r="U73" s="34"/>
    </row>
    <row r="74" spans="18:21" ht="15.75" customHeight="1">
      <c r="R74" s="18"/>
      <c r="U74" s="34"/>
    </row>
    <row r="75" spans="18:21" ht="15.75" customHeight="1">
      <c r="R75" s="18"/>
      <c r="U75" s="34"/>
    </row>
    <row r="76" spans="18:21" ht="15.75" customHeight="1">
      <c r="R76" s="18"/>
      <c r="U76" s="34"/>
    </row>
    <row r="77" spans="18:21" ht="15.75" customHeight="1">
      <c r="R77" s="18"/>
      <c r="U77" s="34"/>
    </row>
    <row r="78" spans="18:21" ht="15.75" customHeight="1">
      <c r="R78" s="18"/>
      <c r="U78" s="34"/>
    </row>
    <row r="79" spans="18:21" ht="15.75" customHeight="1">
      <c r="R79" s="18"/>
      <c r="U79" s="34"/>
    </row>
    <row r="80" spans="18:21" ht="15.75" customHeight="1">
      <c r="R80" s="18"/>
      <c r="U80" s="34"/>
    </row>
    <row r="81" spans="18:21" ht="15.75" customHeight="1">
      <c r="R81" s="18"/>
      <c r="U81" s="34"/>
    </row>
    <row r="82" spans="18:21" ht="15.75" customHeight="1">
      <c r="R82" s="18"/>
      <c r="U82" s="34"/>
    </row>
    <row r="83" spans="18:21" ht="15.75" customHeight="1">
      <c r="R83" s="18"/>
      <c r="U83" s="34"/>
    </row>
    <row r="84" spans="18:21" ht="15.75" customHeight="1">
      <c r="R84" s="18"/>
      <c r="U84" s="34"/>
    </row>
    <row r="85" spans="18:21" ht="15.75" customHeight="1">
      <c r="U85" s="34"/>
    </row>
    <row r="86" spans="18:21" ht="15.75" customHeight="1">
      <c r="U86" s="34"/>
    </row>
    <row r="87" spans="18:21" ht="15.75" customHeight="1">
      <c r="U87" s="34"/>
    </row>
    <row r="88" spans="18:21" ht="15.75" customHeight="1">
      <c r="U88" s="34"/>
    </row>
    <row r="89" spans="18:21" ht="15.75" customHeight="1">
      <c r="U89" s="34"/>
    </row>
    <row r="90" spans="18:21" ht="15.75" customHeight="1">
      <c r="U90" s="34"/>
    </row>
    <row r="91" spans="18:21" ht="15.75" customHeight="1">
      <c r="U91" s="34"/>
    </row>
    <row r="92" spans="18:21" ht="15.75" customHeight="1">
      <c r="U92" s="34"/>
    </row>
    <row r="93" spans="18:21" ht="15.75" customHeight="1">
      <c r="U93" s="34"/>
    </row>
    <row r="94" spans="18:21" ht="15.75" customHeight="1">
      <c r="U94" s="34"/>
    </row>
    <row r="95" spans="18:21" ht="15.75" customHeight="1">
      <c r="U95" s="34"/>
    </row>
    <row r="96" spans="18:21" ht="15.75" customHeight="1">
      <c r="U96" s="34"/>
    </row>
    <row r="97" spans="21:21" ht="15.75" customHeight="1">
      <c r="U97" s="34"/>
    </row>
    <row r="98" spans="21:21" ht="15.75" customHeight="1">
      <c r="U98" s="34"/>
    </row>
    <row r="99" spans="21:21" ht="15.75" customHeight="1">
      <c r="U99" s="34"/>
    </row>
    <row r="100" spans="21:21" ht="15.75" customHeight="1">
      <c r="U100" s="34"/>
    </row>
    <row r="101" spans="21:21" ht="15.75" customHeight="1">
      <c r="U101" s="34"/>
    </row>
    <row r="102" spans="21:21" ht="15.75" customHeight="1">
      <c r="U102" s="34"/>
    </row>
    <row r="103" spans="21:21" ht="15.75" customHeight="1">
      <c r="U103" s="34"/>
    </row>
    <row r="104" spans="21:21" ht="15.75" customHeight="1">
      <c r="U104" s="34"/>
    </row>
    <row r="105" spans="21:21" ht="15.75" customHeight="1">
      <c r="U105" s="34"/>
    </row>
    <row r="106" spans="21:21" ht="15.75" customHeight="1">
      <c r="U106" s="34"/>
    </row>
    <row r="107" spans="21:21" ht="15.75" customHeight="1">
      <c r="U107" s="34"/>
    </row>
    <row r="108" spans="21:21" ht="15.75" customHeight="1">
      <c r="U108" s="34"/>
    </row>
    <row r="109" spans="21:21" ht="15.75" customHeight="1">
      <c r="U109" s="34"/>
    </row>
    <row r="110" spans="21:21" ht="15.75" customHeight="1">
      <c r="U110" s="34"/>
    </row>
    <row r="111" spans="21:21" ht="15.75" customHeight="1">
      <c r="U111" s="34"/>
    </row>
    <row r="112" spans="21:21" ht="15.75" customHeight="1">
      <c r="U112" s="34"/>
    </row>
    <row r="113" spans="21:21" ht="15.75" customHeight="1">
      <c r="U113" s="34"/>
    </row>
    <row r="114" spans="21:21" ht="15.75" customHeight="1">
      <c r="U114" s="34"/>
    </row>
    <row r="115" spans="21:21" ht="15.75" customHeight="1">
      <c r="U115" s="34"/>
    </row>
    <row r="116" spans="21:21" ht="15.75" customHeight="1">
      <c r="U116" s="34"/>
    </row>
    <row r="117" spans="21:21" ht="15.75" customHeight="1">
      <c r="U117" s="34"/>
    </row>
    <row r="118" spans="21:21" ht="15.75" customHeight="1">
      <c r="U118" s="34"/>
    </row>
    <row r="119" spans="21:21" ht="15.75" customHeight="1">
      <c r="U119" s="34"/>
    </row>
    <row r="120" spans="21:21" ht="15.75" customHeight="1">
      <c r="U120" s="34"/>
    </row>
    <row r="121" spans="21:21" ht="15.75" customHeight="1">
      <c r="U121" s="34"/>
    </row>
    <row r="122" spans="21:21" ht="15.75" customHeight="1">
      <c r="U122" s="34"/>
    </row>
    <row r="123" spans="21:21" ht="15.75" customHeight="1">
      <c r="U123" s="34"/>
    </row>
    <row r="124" spans="21:21" ht="15.75" customHeight="1">
      <c r="U124" s="34"/>
    </row>
    <row r="125" spans="21:21" ht="15.75" customHeight="1">
      <c r="U125" s="34"/>
    </row>
    <row r="126" spans="21:21" ht="15.75" customHeight="1">
      <c r="U126" s="34"/>
    </row>
    <row r="127" spans="21:21" ht="15.75" customHeight="1">
      <c r="U127" s="34"/>
    </row>
    <row r="128" spans="21:21" ht="15.75" customHeight="1">
      <c r="U128" s="34"/>
    </row>
    <row r="129" spans="21:21" ht="15.75" customHeight="1">
      <c r="U129" s="34"/>
    </row>
    <row r="130" spans="21:21" ht="15.75" customHeight="1">
      <c r="U130" s="34"/>
    </row>
    <row r="131" spans="21:21" ht="15.75" customHeight="1">
      <c r="U131" s="34"/>
    </row>
    <row r="132" spans="21:21" ht="15.75" customHeight="1">
      <c r="U132" s="34"/>
    </row>
    <row r="133" spans="21:21" ht="15.75" customHeight="1">
      <c r="U133" s="34"/>
    </row>
    <row r="134" spans="21:21" ht="15.75" customHeight="1">
      <c r="U134" s="34"/>
    </row>
    <row r="135" spans="21:21" ht="15.75" customHeight="1">
      <c r="U135" s="34"/>
    </row>
    <row r="136" spans="21:21" ht="15.75" customHeight="1">
      <c r="U136" s="34"/>
    </row>
    <row r="137" spans="21:21" ht="15.75" customHeight="1">
      <c r="U137" s="34"/>
    </row>
    <row r="138" spans="21:21" ht="15.75" customHeight="1">
      <c r="U138" s="34"/>
    </row>
    <row r="139" spans="21:21" ht="15.75" customHeight="1">
      <c r="U139" s="34"/>
    </row>
    <row r="140" spans="21:21" ht="15.75" customHeight="1">
      <c r="U140" s="34"/>
    </row>
    <row r="141" spans="21:21" ht="15.75" customHeight="1">
      <c r="U141" s="34"/>
    </row>
    <row r="142" spans="21:21" ht="15.75" customHeight="1">
      <c r="U142" s="34"/>
    </row>
    <row r="143" spans="21:21" ht="15.75" customHeight="1">
      <c r="U143" s="34"/>
    </row>
    <row r="144" spans="21:21" ht="15.75" customHeight="1">
      <c r="U144" s="34"/>
    </row>
    <row r="145" spans="21:21" ht="15.75" customHeight="1">
      <c r="U145" s="34"/>
    </row>
    <row r="146" spans="21:21" ht="15.75" customHeight="1">
      <c r="U146" s="34"/>
    </row>
    <row r="147" spans="21:21" ht="15.75" customHeight="1">
      <c r="U147" s="34"/>
    </row>
    <row r="148" spans="21:21" ht="15.75" customHeight="1">
      <c r="U148" s="34"/>
    </row>
    <row r="149" spans="21:21" ht="15.75" customHeight="1">
      <c r="U149" s="34"/>
    </row>
    <row r="150" spans="21:21" ht="15.75" customHeight="1">
      <c r="U150" s="34"/>
    </row>
    <row r="151" spans="21:21" ht="15.75" customHeight="1">
      <c r="U151" s="34"/>
    </row>
    <row r="152" spans="21:21" ht="15.75" customHeight="1">
      <c r="U152" s="34"/>
    </row>
    <row r="153" spans="21:21" ht="15.75" customHeight="1">
      <c r="U153" s="34"/>
    </row>
    <row r="154" spans="21:21" ht="15.75" customHeight="1">
      <c r="U154" s="34"/>
    </row>
    <row r="155" spans="21:21" ht="15.75" customHeight="1">
      <c r="U155" s="34"/>
    </row>
    <row r="156" spans="21:21" ht="15.75" customHeight="1">
      <c r="U156" s="34"/>
    </row>
  </sheetData>
  <pageMargins left="0.25" right="0.25" top="0.5" bottom="0.25" header="0" footer="0.3"/>
  <pageSetup scale="60" fitToWidth="0" fitToHeight="0" orientation="landscape" r:id="rId1"/>
  <headerFooter alignWithMargins="0">
    <oddFooter>&amp;C&amp;"arial"&amp;11Exhibit 3 - Docket 11-035-200 Stipulation Exhibit A2 Method (Simplified Annual Allocation)&amp;R&amp;"arial"&amp;11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showGridLines="0" view="pageBreakPreview" topLeftCell="A4" zoomScale="70" zoomScaleNormal="80" zoomScaleSheetLayoutView="70" workbookViewId="0">
      <selection activeCell="L41" sqref="L41"/>
    </sheetView>
  </sheetViews>
  <sheetFormatPr defaultColWidth="9.140625" defaultRowHeight="15.75" customHeight="1"/>
  <cols>
    <col min="1" max="1" width="5.5703125" style="78" customWidth="1"/>
    <col min="2" max="2" width="37" style="79" customWidth="1"/>
    <col min="3" max="3" width="2.28515625" style="35" customWidth="1"/>
    <col min="4" max="4" width="25.140625" style="42" customWidth="1"/>
    <col min="5" max="5" width="2.28515625" style="35" customWidth="1"/>
    <col min="6" max="6" width="11.42578125" style="35" customWidth="1"/>
    <col min="7" max="7" width="12.28515625" style="35" bestFit="1" customWidth="1"/>
    <col min="8" max="8" width="12.42578125" style="35" bestFit="1" customWidth="1"/>
    <col min="9" max="11" width="11.42578125" style="35" customWidth="1"/>
    <col min="12" max="13" width="13.42578125" style="35" bestFit="1" customWidth="1"/>
    <col min="14" max="14" width="14.140625" style="35" bestFit="1" customWidth="1"/>
    <col min="15" max="17" width="11.42578125" style="35" customWidth="1"/>
    <col min="18" max="18" width="2.28515625" style="35" customWidth="1"/>
    <col min="19" max="19" width="14.140625" style="35" bestFit="1" customWidth="1"/>
    <col min="20" max="20" width="2.28515625" style="35" customWidth="1"/>
    <col min="21" max="21" width="20.28515625" style="80" customWidth="1"/>
    <col min="22" max="23" width="9.7109375" style="35" customWidth="1"/>
    <col min="24" max="16384" width="9.140625" style="35"/>
  </cols>
  <sheetData>
    <row r="1" spans="1:21" s="18" customFormat="1" ht="15.75" customHeight="1">
      <c r="A1" s="16" t="str">
        <f>+'Workpaper Index'!C4</f>
        <v>Utah Energy Balancing Account Mechanism</v>
      </c>
      <c r="B1" s="17"/>
      <c r="D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18" customFormat="1" ht="15.75" customHeight="1">
      <c r="A2" s="16" t="str">
        <f>+'Workpaper Index'!C5</f>
        <v>January 1, 2014 - December 31, 2014</v>
      </c>
      <c r="B2" s="17"/>
      <c r="D2" s="19"/>
      <c r="U2" s="21"/>
    </row>
    <row r="3" spans="1:21" s="18" customFormat="1" ht="15.75" customHeight="1">
      <c r="A3" s="16" t="str">
        <f>+'Workpaper Index'!B14&amp;" - "&amp;'Workpaper Index'!C14</f>
        <v>Exhibit 4 - Docket 11-035-200 Stipulation Exhibit A3 Method (Monthly Allocation)</v>
      </c>
      <c r="B3" s="17"/>
      <c r="D3" s="19"/>
      <c r="U3" s="21"/>
    </row>
    <row r="4" spans="1:21" ht="15.75" customHeight="1"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8"/>
    </row>
    <row r="5" spans="1:21" ht="15.75" customHeight="1">
      <c r="A5" s="35"/>
      <c r="B5" s="81"/>
      <c r="R5" s="18"/>
    </row>
    <row r="6" spans="1:21" ht="25.5">
      <c r="A6" s="25" t="s">
        <v>34</v>
      </c>
      <c r="B6" s="26"/>
      <c r="C6" s="18"/>
      <c r="D6" s="27" t="s">
        <v>35</v>
      </c>
      <c r="E6" s="18"/>
      <c r="F6" s="28">
        <v>41640</v>
      </c>
      <c r="G6" s="28">
        <f>EDATE(F6,1)</f>
        <v>41671</v>
      </c>
      <c r="H6" s="28">
        <f t="shared" ref="H6:Q6" si="0">EDATE(G6,1)</f>
        <v>41699</v>
      </c>
      <c r="I6" s="28">
        <f t="shared" si="0"/>
        <v>41730</v>
      </c>
      <c r="J6" s="28">
        <f t="shared" si="0"/>
        <v>41760</v>
      </c>
      <c r="K6" s="28">
        <f t="shared" si="0"/>
        <v>41791</v>
      </c>
      <c r="L6" s="28">
        <f t="shared" si="0"/>
        <v>41821</v>
      </c>
      <c r="M6" s="28">
        <f t="shared" si="0"/>
        <v>41852</v>
      </c>
      <c r="N6" s="28">
        <f t="shared" si="0"/>
        <v>41883</v>
      </c>
      <c r="O6" s="28">
        <f t="shared" si="0"/>
        <v>41913</v>
      </c>
      <c r="P6" s="28">
        <f t="shared" si="0"/>
        <v>41944</v>
      </c>
      <c r="Q6" s="28">
        <f t="shared" si="0"/>
        <v>41974</v>
      </c>
      <c r="R6" s="18"/>
      <c r="S6" s="28" t="s">
        <v>36</v>
      </c>
      <c r="T6" s="29"/>
    </row>
    <row r="7" spans="1:21" ht="15.75" customHeight="1">
      <c r="A7" s="30"/>
      <c r="B7" s="24"/>
      <c r="C7" s="18"/>
      <c r="D7" s="31"/>
      <c r="E7" s="1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8"/>
      <c r="S7" s="32"/>
      <c r="T7" s="33"/>
      <c r="U7" s="34"/>
    </row>
    <row r="8" spans="1:21" ht="15.75" customHeight="1">
      <c r="A8" s="36" t="s">
        <v>71</v>
      </c>
      <c r="B8" s="17"/>
      <c r="C8" s="18"/>
      <c r="D8" s="31"/>
      <c r="E8" s="1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8"/>
      <c r="S8" s="33"/>
      <c r="T8" s="33"/>
      <c r="U8" s="34"/>
    </row>
    <row r="9" spans="1:21" ht="15.75" customHeight="1">
      <c r="A9" s="22"/>
      <c r="B9" s="24"/>
      <c r="C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8"/>
      <c r="S9" s="37"/>
      <c r="T9" s="33"/>
      <c r="U9" s="34"/>
    </row>
    <row r="10" spans="1:21" ht="15.75" customHeight="1">
      <c r="A10" s="22">
        <f>+MAX($A$1:A9)+1</f>
        <v>1</v>
      </c>
      <c r="B10" s="31" t="s">
        <v>50</v>
      </c>
      <c r="D10" s="38" t="str">
        <f>+'Workpaper Index'!B17</f>
        <v>(5.1)</v>
      </c>
      <c r="F10" s="39">
        <f>+INDEX('[4](5.1) UT Allocated Actual NPC'!$118:$118,1,MATCH(F$6,'[4](5.1) UT Allocated Actual NPC'!$86:$86,0))</f>
        <v>58673679.854816258</v>
      </c>
      <c r="G10" s="39">
        <f>+INDEX('[4](5.1) UT Allocated Actual NPC'!$118:$118,1,MATCH(G$6,'[4](5.1) UT Allocated Actual NPC'!$86:$86,0))</f>
        <v>56058666.542560413</v>
      </c>
      <c r="H10" s="39">
        <f>+INDEX('[4](5.1) UT Allocated Actual NPC'!$118:$118,1,MATCH(H$6,'[4](5.1) UT Allocated Actual NPC'!$86:$86,0))</f>
        <v>52568352.949471213</v>
      </c>
      <c r="I10" s="39"/>
      <c r="J10" s="39"/>
      <c r="K10" s="39"/>
      <c r="L10" s="39"/>
      <c r="M10" s="39"/>
      <c r="N10" s="39"/>
      <c r="O10" s="39"/>
      <c r="P10" s="39"/>
      <c r="Q10" s="39"/>
      <c r="R10" s="18"/>
      <c r="S10" s="39">
        <f>+SUM(F10:Q10)</f>
        <v>167300699.34684789</v>
      </c>
      <c r="T10" s="33"/>
      <c r="U10" s="34"/>
    </row>
    <row r="11" spans="1:21" ht="15.75" customHeight="1">
      <c r="A11" s="22">
        <f>+MAX($A$1:A10)+1</f>
        <v>2</v>
      </c>
      <c r="B11" s="31" t="s">
        <v>51</v>
      </c>
      <c r="D11" s="38" t="str">
        <f>+'Workpaper Index'!B30</f>
        <v>(7.1)</v>
      </c>
      <c r="F11" s="39">
        <f>+INDEX('[4](7.1) Wheeling Revenues'!$64:$64,1,MATCH(F$6,'[4](7.1) Wheeling Revenues'!$10:$10,0))</f>
        <v>-2950361.6492699687</v>
      </c>
      <c r="G11" s="39">
        <f>+INDEX('[4](7.1) Wheeling Revenues'!$64:$64,1,MATCH(G$6,'[4](7.1) Wheeling Revenues'!$10:$10,0))</f>
        <v>-2828346.9204758881</v>
      </c>
      <c r="H11" s="39">
        <f>+INDEX('[4](7.1) Wheeling Revenues'!$64:$64,1,MATCH(H$6,'[4](7.1) Wheeling Revenues'!$10:$10,0))</f>
        <v>-3029377.4964753715</v>
      </c>
      <c r="I11" s="39"/>
      <c r="J11" s="39"/>
      <c r="K11" s="39"/>
      <c r="L11" s="39"/>
      <c r="M11" s="39"/>
      <c r="N11" s="39"/>
      <c r="O11" s="39"/>
      <c r="P11" s="39"/>
      <c r="Q11" s="39"/>
      <c r="R11" s="18"/>
      <c r="S11" s="39">
        <f>+SUM(F11:Q11)</f>
        <v>-8808086.0662212297</v>
      </c>
      <c r="T11" s="33"/>
      <c r="U11" s="34"/>
    </row>
    <row r="12" spans="1:21" ht="15.75" customHeight="1">
      <c r="A12" s="22">
        <f>+MAX($A$1:A11)+1</f>
        <v>3</v>
      </c>
      <c r="B12" s="31" t="s">
        <v>36</v>
      </c>
      <c r="D12" s="42" t="str">
        <f>"∑ Lines "&amp;$A$10&amp;":"&amp;$A$11&amp;""</f>
        <v>∑ Lines 1:2</v>
      </c>
      <c r="F12" s="58">
        <f>+SUM(F10:F11)</f>
        <v>55723318.20554629</v>
      </c>
      <c r="G12" s="58">
        <f>+SUM(G10:G11)</f>
        <v>53230319.622084528</v>
      </c>
      <c r="H12" s="58">
        <f>+SUM(H10:H11)</f>
        <v>49538975.452995844</v>
      </c>
      <c r="I12" s="58"/>
      <c r="J12" s="58"/>
      <c r="K12" s="58"/>
      <c r="L12" s="58"/>
      <c r="M12" s="58"/>
      <c r="N12" s="58"/>
      <c r="O12" s="58"/>
      <c r="P12" s="58"/>
      <c r="Q12" s="58"/>
      <c r="R12" s="18"/>
      <c r="S12" s="58">
        <f>+SUM(F12:Q12)</f>
        <v>158492613.28062665</v>
      </c>
      <c r="T12" s="33"/>
      <c r="U12" s="34"/>
    </row>
    <row r="13" spans="1:21" ht="15.75" customHeight="1">
      <c r="A13" s="22"/>
      <c r="B13" s="31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18"/>
      <c r="S13" s="39"/>
      <c r="T13" s="33"/>
      <c r="U13" s="34"/>
    </row>
    <row r="14" spans="1:21" ht="15.75" customHeight="1">
      <c r="A14" s="22">
        <f>+MAX($A$1:A13)+1</f>
        <v>4</v>
      </c>
      <c r="B14" s="31" t="s">
        <v>52</v>
      </c>
      <c r="D14" s="38" t="str">
        <f>+'Workpaper Index'!B35</f>
        <v>(8.3)</v>
      </c>
      <c r="F14" s="39">
        <f>+INDEX('[4](8.3) Utah Sales'!15:15,MATCH(F6,'[4](8.3) Utah Sales'!9:9,0))</f>
        <v>2080024.8839999998</v>
      </c>
      <c r="G14" s="39">
        <f>+INDEX('[4](8.3) Utah Sales'!15:15,MATCH(G6,'[4](8.3) Utah Sales'!9:9,0))</f>
        <v>1778181.71</v>
      </c>
      <c r="H14" s="39">
        <f>+INDEX('[4](8.3) Utah Sales'!15:15,MATCH(H6,'[4](8.3) Utah Sales'!9:9,0))</f>
        <v>1895016.52</v>
      </c>
      <c r="I14" s="39"/>
      <c r="J14" s="39"/>
      <c r="K14" s="39"/>
      <c r="L14" s="39"/>
      <c r="M14" s="39"/>
      <c r="N14" s="39"/>
      <c r="O14" s="39"/>
      <c r="P14" s="39"/>
      <c r="Q14" s="39"/>
      <c r="R14" s="18"/>
      <c r="S14" s="39">
        <f>+SUM(F14:Q14)</f>
        <v>5753223.1140000001</v>
      </c>
      <c r="T14" s="33"/>
      <c r="U14" s="34"/>
    </row>
    <row r="15" spans="1:21" ht="15.75" customHeight="1">
      <c r="A15" s="22"/>
      <c r="B15" s="3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8"/>
      <c r="S15" s="37"/>
      <c r="T15" s="33"/>
      <c r="U15" s="34"/>
    </row>
    <row r="16" spans="1:21" ht="15.75" customHeight="1">
      <c r="A16" s="22">
        <f>+MAX($A$1:A15)+1</f>
        <v>5</v>
      </c>
      <c r="B16" s="31" t="s">
        <v>72</v>
      </c>
      <c r="D16" s="42" t="str">
        <f>"Line "&amp;$A$12&amp;" / Line "&amp;$A$14&amp;""</f>
        <v>Line 3 / Line 4</v>
      </c>
      <c r="F16" s="49">
        <f t="shared" ref="F16:H16" si="1">+F12/F14</f>
        <v>26.789736331609337</v>
      </c>
      <c r="G16" s="49">
        <f t="shared" si="1"/>
        <v>29.935253142427456</v>
      </c>
      <c r="H16" s="49">
        <f t="shared" si="1"/>
        <v>26.141711658004883</v>
      </c>
      <c r="I16" s="49"/>
      <c r="J16" s="49"/>
      <c r="K16" s="49"/>
      <c r="L16" s="49"/>
      <c r="M16" s="49"/>
      <c r="N16" s="49"/>
      <c r="O16" s="49"/>
      <c r="P16" s="49"/>
      <c r="Q16" s="49"/>
      <c r="R16" s="18"/>
      <c r="S16" s="49">
        <f>+S12/S14</f>
        <v>27.54849067037706</v>
      </c>
      <c r="T16" s="33"/>
      <c r="U16" s="34"/>
    </row>
    <row r="17" spans="1:21" ht="15.75" customHeight="1">
      <c r="A17" s="22"/>
      <c r="R17" s="18"/>
      <c r="T17" s="33"/>
      <c r="U17" s="34"/>
    </row>
    <row r="18" spans="1:21" ht="15.75" customHeight="1">
      <c r="A18" s="50" t="s">
        <v>73</v>
      </c>
      <c r="B18" s="83"/>
      <c r="C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8"/>
      <c r="S18" s="53"/>
      <c r="T18" s="33"/>
      <c r="U18" s="34"/>
    </row>
    <row r="19" spans="1:21" ht="15.75" customHeight="1">
      <c r="A19" s="50"/>
      <c r="B19" s="83"/>
      <c r="C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18"/>
      <c r="S19" s="53"/>
      <c r="T19" s="33"/>
      <c r="U19" s="34"/>
    </row>
    <row r="20" spans="1:21" ht="15.75" customHeight="1">
      <c r="A20" s="22">
        <f>+MAX($A$1:A19)+1</f>
        <v>6</v>
      </c>
      <c r="B20" s="31" t="s">
        <v>50</v>
      </c>
      <c r="C20" s="36"/>
      <c r="D20" s="38" t="str">
        <f>+'Workpaper Index'!B24</f>
        <v>(6.1)</v>
      </c>
      <c r="E20" s="36"/>
      <c r="F20" s="39">
        <f>+INDEX('[4](6.1) Prorated Base NPC'!$82:$82,1,MATCH(F$6,'[4](6.1) Prorated Base NPC'!$30:$30,0))</f>
        <v>49303185.701585226</v>
      </c>
      <c r="G20" s="39">
        <f>+INDEX('[4](6.1) Prorated Base NPC'!$82:$82,1,MATCH(G$6,'[4](6.1) Prorated Base NPC'!$30:$30,0))</f>
        <v>45475669.649817154</v>
      </c>
      <c r="H20" s="39">
        <f>+INDEX('[4](6.1) Prorated Base NPC'!$82:$82,1,MATCH(H$6,'[4](6.1) Prorated Base NPC'!$30:$30,0))</f>
        <v>49321841.767926015</v>
      </c>
      <c r="I20" s="39"/>
      <c r="J20" s="39"/>
      <c r="K20" s="39"/>
      <c r="L20" s="39"/>
      <c r="M20" s="39"/>
      <c r="N20" s="39"/>
      <c r="O20" s="39"/>
      <c r="P20" s="39"/>
      <c r="Q20" s="39"/>
      <c r="R20" s="18"/>
      <c r="S20" s="39">
        <f>+SUM(F20:Q20)</f>
        <v>144100697.11932838</v>
      </c>
      <c r="T20" s="33"/>
      <c r="U20" s="84"/>
    </row>
    <row r="21" spans="1:21" ht="15.75" customHeight="1">
      <c r="A21" s="22">
        <f>+MAX($A$1:A20)+1</f>
        <v>7</v>
      </c>
      <c r="B21" s="31" t="s">
        <v>51</v>
      </c>
      <c r="C21" s="36"/>
      <c r="D21" s="38" t="str">
        <f>+'Workpaper Index'!B30</f>
        <v>(7.1)</v>
      </c>
      <c r="E21" s="36"/>
      <c r="F21" s="39">
        <f>+INDEX('[4](7.1) Wheeling Revenues'!$78:$78,MATCH(F$6,'[4](7.1) Wheeling Revenues'!$10:$10,0))</f>
        <v>-2684824.28561325</v>
      </c>
      <c r="G21" s="39">
        <f>+INDEX('[4](7.1) Wheeling Revenues'!$78:$78,MATCH(G$6,'[4](7.1) Wheeling Revenues'!$10:$10,0))</f>
        <v>-2684824.28561325</v>
      </c>
      <c r="H21" s="39">
        <f>+INDEX('[4](7.1) Wheeling Revenues'!$78:$78,MATCH(H$6,'[4](7.1) Wheeling Revenues'!$10:$10,0))</f>
        <v>-2684824.28561325</v>
      </c>
      <c r="I21" s="39"/>
      <c r="J21" s="39"/>
      <c r="K21" s="39"/>
      <c r="L21" s="39"/>
      <c r="M21" s="39"/>
      <c r="N21" s="39"/>
      <c r="O21" s="39"/>
      <c r="P21" s="39"/>
      <c r="Q21" s="39"/>
      <c r="R21" s="18"/>
      <c r="S21" s="39">
        <f>+SUM(F21:Q21)</f>
        <v>-8054472.85683975</v>
      </c>
      <c r="T21" s="57"/>
      <c r="U21" s="34"/>
    </row>
    <row r="22" spans="1:21" ht="15.75" customHeight="1">
      <c r="A22" s="22">
        <f>+MAX($A$1:A21)+1</f>
        <v>8</v>
      </c>
      <c r="B22" s="31" t="s">
        <v>36</v>
      </c>
      <c r="C22" s="36"/>
      <c r="D22" s="42" t="str">
        <f>"∑ Lines "&amp;$A$20&amp;":"&amp;$A$21&amp;""</f>
        <v>∑ Lines 6:7</v>
      </c>
      <c r="E22" s="36"/>
      <c r="F22" s="58">
        <f>+SUM(F20:F21)</f>
        <v>46618361.415971979</v>
      </c>
      <c r="G22" s="58">
        <f>+SUM(G20:G21)</f>
        <v>42790845.3642039</v>
      </c>
      <c r="H22" s="58">
        <f>+SUM(H20:H21)</f>
        <v>46637017.482312769</v>
      </c>
      <c r="I22" s="58"/>
      <c r="J22" s="58"/>
      <c r="K22" s="58"/>
      <c r="L22" s="58"/>
      <c r="M22" s="58"/>
      <c r="N22" s="58"/>
      <c r="O22" s="58"/>
      <c r="P22" s="58"/>
      <c r="Q22" s="58"/>
      <c r="R22" s="18"/>
      <c r="S22" s="58">
        <f>+SUM(F22:Q22)</f>
        <v>136046224.26248866</v>
      </c>
      <c r="T22" s="33"/>
      <c r="U22" s="34"/>
    </row>
    <row r="23" spans="1:21" ht="15.75" customHeight="1">
      <c r="A23" s="22"/>
      <c r="B23" s="31"/>
      <c r="C23" s="36"/>
      <c r="E23" s="3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8"/>
      <c r="S23" s="39"/>
      <c r="T23" s="33"/>
      <c r="U23" s="34"/>
    </row>
    <row r="24" spans="1:21" ht="15.75" customHeight="1">
      <c r="A24" s="22">
        <f>+MAX($A$1:A23)+1</f>
        <v>9</v>
      </c>
      <c r="B24" s="31" t="s">
        <v>52</v>
      </c>
      <c r="C24" s="36"/>
      <c r="D24" s="38"/>
      <c r="E24" s="36"/>
      <c r="F24" s="39">
        <f>+INDEX('[4](6.1) Prorated Base NPC'!$81:$81,1,MATCH(F$6,'[4](6.1) Prorated Base NPC'!$30:$30,0))</f>
        <v>1982626.99979</v>
      </c>
      <c r="G24" s="39">
        <f>+INDEX('[4](6.1) Prorated Base NPC'!$81:$81,1,MATCH(G$6,'[4](6.1) Prorated Base NPC'!$30:$30,0))</f>
        <v>1789929.9980000001</v>
      </c>
      <c r="H24" s="39">
        <f>+INDEX('[4](6.1) Prorated Base NPC'!$81:$81,1,MATCH(H$6,'[4](6.1) Prorated Base NPC'!$30:$30,0))</f>
        <v>1910070.0009899999</v>
      </c>
      <c r="I24" s="39"/>
      <c r="J24" s="39"/>
      <c r="K24" s="39"/>
      <c r="L24" s="39"/>
      <c r="M24" s="39"/>
      <c r="N24" s="39"/>
      <c r="O24" s="39"/>
      <c r="P24" s="39"/>
      <c r="Q24" s="39"/>
      <c r="R24" s="18"/>
      <c r="S24" s="39">
        <f>+SUM(F24:Q24)</f>
        <v>5682626.99878</v>
      </c>
      <c r="T24" s="33"/>
      <c r="U24" s="34"/>
    </row>
    <row r="25" spans="1:21" ht="15.75" customHeight="1">
      <c r="A25" s="22"/>
      <c r="B25" s="31"/>
      <c r="C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8"/>
      <c r="S25" s="37"/>
      <c r="T25" s="33"/>
      <c r="U25" s="34"/>
    </row>
    <row r="26" spans="1:21" ht="15.75" customHeight="1">
      <c r="A26" s="22">
        <f>+MAX($A$1:A25)+1</f>
        <v>10</v>
      </c>
      <c r="B26" s="31" t="s">
        <v>74</v>
      </c>
      <c r="C26" s="36"/>
      <c r="D26" s="42" t="str">
        <f>"Line "&amp;$A$22&amp;" / Line "&amp;$A$24&amp;""</f>
        <v>Line 8 / Line 9</v>
      </c>
      <c r="E26" s="36"/>
      <c r="F26" s="49">
        <f>+F22/F24</f>
        <v>23.513430121202727</v>
      </c>
      <c r="G26" s="49">
        <f>+G22/G24</f>
        <v>23.906435118701161</v>
      </c>
      <c r="H26" s="49">
        <f>+H22/H24</f>
        <v>24.416391785714946</v>
      </c>
      <c r="I26" s="49"/>
      <c r="J26" s="49"/>
      <c r="K26" s="49"/>
      <c r="L26" s="49"/>
      <c r="M26" s="49"/>
      <c r="N26" s="49"/>
      <c r="O26" s="49"/>
      <c r="P26" s="49"/>
      <c r="Q26" s="49"/>
      <c r="R26" s="18"/>
      <c r="S26" s="49">
        <f>+S22/S24</f>
        <v>23.940727464902473</v>
      </c>
      <c r="T26" s="33"/>
      <c r="U26" s="34"/>
    </row>
    <row r="27" spans="1:21" ht="15.75" customHeight="1">
      <c r="A27" s="22"/>
      <c r="B27" s="48"/>
      <c r="C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8"/>
      <c r="S27" s="37"/>
      <c r="T27" s="33"/>
      <c r="U27" s="34"/>
    </row>
    <row r="28" spans="1:21" ht="15.75" customHeight="1">
      <c r="A28" s="36" t="s">
        <v>54</v>
      </c>
      <c r="B28" s="48"/>
      <c r="C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8"/>
      <c r="S28" s="37"/>
      <c r="T28" s="33"/>
      <c r="U28" s="34"/>
    </row>
    <row r="29" spans="1:21" ht="15.75" customHeight="1">
      <c r="A29" s="36"/>
      <c r="B29" s="48"/>
      <c r="C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8"/>
      <c r="S29" s="37"/>
      <c r="T29" s="33"/>
      <c r="U29" s="34"/>
    </row>
    <row r="30" spans="1:21" ht="15.75" customHeight="1">
      <c r="A30" s="22">
        <f>+MAX($A$1:A28)+1</f>
        <v>11</v>
      </c>
      <c r="B30" s="31" t="s">
        <v>55</v>
      </c>
      <c r="C30" s="36"/>
      <c r="D30" s="42" t="str">
        <f>"Line "&amp;$A$16&amp;" - Line "&amp;$A$26&amp;""</f>
        <v>Line 5 - Line 10</v>
      </c>
      <c r="E30" s="36"/>
      <c r="F30" s="60">
        <f>+F16-F26</f>
        <v>3.2763062104066094</v>
      </c>
      <c r="G30" s="60">
        <f t="shared" ref="G30:H30" si="2">+G16-G26</f>
        <v>6.0288180237262949</v>
      </c>
      <c r="H30" s="60">
        <f t="shared" si="2"/>
        <v>1.725319872289937</v>
      </c>
      <c r="I30" s="60"/>
      <c r="J30" s="60"/>
      <c r="K30" s="60"/>
      <c r="L30" s="60"/>
      <c r="M30" s="60"/>
      <c r="N30" s="60"/>
      <c r="O30" s="60"/>
      <c r="P30" s="60"/>
      <c r="Q30" s="60"/>
      <c r="R30" s="18"/>
      <c r="S30" s="60">
        <f>+S16-S26</f>
        <v>3.607763205474587</v>
      </c>
      <c r="T30" s="33"/>
      <c r="U30" s="34"/>
    </row>
    <row r="31" spans="1:21" ht="15.75" customHeight="1">
      <c r="A31" s="22"/>
      <c r="B31" s="31"/>
      <c r="C31" s="36"/>
      <c r="E31" s="36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/>
      <c r="S31" s="43"/>
      <c r="T31" s="33"/>
      <c r="U31" s="34"/>
    </row>
    <row r="32" spans="1:21" ht="15.75" customHeight="1">
      <c r="A32" s="22">
        <f>+MAX($A$1:A31)+1</f>
        <v>12</v>
      </c>
      <c r="B32" s="31" t="s">
        <v>56</v>
      </c>
      <c r="C32" s="36"/>
      <c r="D32" s="42" t="str">
        <f>"Line "&amp;$A$14&amp;" * Line "&amp;$A$30&amp;""</f>
        <v>Line 4 * Line 11</v>
      </c>
      <c r="E32" s="36"/>
      <c r="F32" s="45">
        <f>+F30*F14</f>
        <v>6814798.4452494867</v>
      </c>
      <c r="G32" s="39">
        <f t="shared" ref="G32:H32" si="3">+G30*G14</f>
        <v>10720333.942708444</v>
      </c>
      <c r="H32" s="39">
        <f t="shared" si="3"/>
        <v>3269509.660273721</v>
      </c>
      <c r="I32" s="39"/>
      <c r="J32" s="39"/>
      <c r="K32" s="39"/>
      <c r="L32" s="39"/>
      <c r="M32" s="39"/>
      <c r="N32" s="39"/>
      <c r="O32" s="39"/>
      <c r="P32" s="39"/>
      <c r="Q32" s="39"/>
      <c r="R32" s="18"/>
      <c r="S32" s="39">
        <f>+SUM(F32:Q32)</f>
        <v>20804642.04823165</v>
      </c>
      <c r="T32" s="33"/>
      <c r="U32" s="34"/>
    </row>
    <row r="33" spans="1:21" ht="15.75" customHeight="1">
      <c r="A33" s="22"/>
      <c r="B33" s="31"/>
      <c r="C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8"/>
      <c r="S33" s="37"/>
      <c r="T33" s="33"/>
      <c r="U33" s="34"/>
    </row>
    <row r="34" spans="1:21" ht="15.75" customHeight="1">
      <c r="A34" s="22">
        <f>+MAX($A$1:A33)+1</f>
        <v>13</v>
      </c>
      <c r="B34" s="31" t="s">
        <v>57</v>
      </c>
      <c r="C34" s="36"/>
      <c r="D34" s="42" t="str">
        <f>"Line "&amp;A32&amp;" * 70%"</f>
        <v>Line 12 * 70%</v>
      </c>
      <c r="E34" s="36"/>
      <c r="F34" s="39">
        <f>F32*0.7</f>
        <v>4770358.9116746401</v>
      </c>
      <c r="G34" s="39">
        <f>G32*0.7</f>
        <v>7504233.7598959105</v>
      </c>
      <c r="H34" s="39">
        <f>H32*0.7</f>
        <v>2288656.7621916044</v>
      </c>
      <c r="I34" s="39"/>
      <c r="J34" s="39"/>
      <c r="K34" s="39"/>
      <c r="L34" s="39"/>
      <c r="M34" s="39"/>
      <c r="N34" s="39"/>
      <c r="O34" s="39"/>
      <c r="P34" s="39"/>
      <c r="Q34" s="39"/>
      <c r="R34" s="18"/>
      <c r="S34" s="39">
        <f>+SUM(F34:Q34)</f>
        <v>14563249.433762155</v>
      </c>
      <c r="T34" s="33"/>
      <c r="U34" s="34"/>
    </row>
    <row r="35" spans="1:21" ht="15.75" customHeight="1">
      <c r="A35" s="22">
        <f>+MAX($A$1:A34)+1</f>
        <v>14</v>
      </c>
      <c r="B35" s="31" t="s">
        <v>58</v>
      </c>
      <c r="C35" s="36"/>
      <c r="D35" s="38" t="s">
        <v>59</v>
      </c>
      <c r="E35" s="36"/>
      <c r="F35" s="37">
        <f>+INDEX('[4](7.1) Wheeling Revenues'!$63:$63,1,MATCH(F$6,'[4](7.1) Wheeling Revenues'!$10:$10,0))</f>
        <v>0</v>
      </c>
      <c r="G35" s="37">
        <f>+INDEX('[4](7.1) Wheeling Revenues'!$63:$63,1,MATCH(G$6,'[4](7.1) Wheeling Revenues'!$10:$10,0))</f>
        <v>0</v>
      </c>
      <c r="H35" s="37">
        <f>+INDEX('[4](7.1) Wheeling Revenues'!$63:$63,1,MATCH(H$6,'[4](7.1) Wheeling Revenues'!$10:$10,0))</f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18"/>
      <c r="S35" s="41">
        <f>+SUM(F35:Q35)</f>
        <v>0</v>
      </c>
      <c r="T35" s="33"/>
      <c r="U35" s="34"/>
    </row>
    <row r="36" spans="1:21" ht="15.75" customHeight="1">
      <c r="A36" s="22">
        <f>+MAX($A$1:A35)+1</f>
        <v>15</v>
      </c>
      <c r="B36" s="48" t="s">
        <v>60</v>
      </c>
      <c r="C36" s="36"/>
      <c r="D36" s="42" t="str">
        <f>"∑ Lines "&amp;$A$34&amp;":"&amp;$A$35&amp;""</f>
        <v>∑ Lines 13:14</v>
      </c>
      <c r="E36" s="36"/>
      <c r="F36" s="61">
        <f>+SUM(F34:F35)</f>
        <v>4770358.9116746401</v>
      </c>
      <c r="G36" s="61">
        <f>+SUM(G34:G35)</f>
        <v>7504233.7598959105</v>
      </c>
      <c r="H36" s="61">
        <f>+SUM(H34:H35)</f>
        <v>2288656.7621916044</v>
      </c>
      <c r="I36" s="61"/>
      <c r="J36" s="61"/>
      <c r="K36" s="61"/>
      <c r="L36" s="61"/>
      <c r="M36" s="61"/>
      <c r="N36" s="61"/>
      <c r="O36" s="61"/>
      <c r="P36" s="61"/>
      <c r="Q36" s="61"/>
      <c r="R36" s="18"/>
      <c r="S36" s="37">
        <f>+SUM(F36:Q36)</f>
        <v>14563249.433762155</v>
      </c>
      <c r="T36" s="33"/>
      <c r="U36" s="34"/>
    </row>
    <row r="37" spans="1:21" ht="15.75" customHeight="1">
      <c r="A37" s="22"/>
      <c r="B37" s="48"/>
      <c r="C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8"/>
      <c r="S37" s="37"/>
      <c r="T37" s="33"/>
      <c r="U37" s="34"/>
    </row>
    <row r="38" spans="1:21" ht="15.75" customHeight="1">
      <c r="A38" s="36" t="s">
        <v>61</v>
      </c>
      <c r="B38" s="48"/>
      <c r="C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8"/>
      <c r="S38" s="37"/>
      <c r="T38" s="33"/>
      <c r="U38" s="34"/>
    </row>
    <row r="39" spans="1:21" ht="15.75" customHeight="1">
      <c r="A39" s="22"/>
      <c r="B39" s="48"/>
      <c r="C39" s="62"/>
      <c r="E39" s="62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18"/>
      <c r="S39" s="64"/>
      <c r="T39" s="65"/>
      <c r="U39" s="34"/>
    </row>
    <row r="40" spans="1:21" ht="15.75" customHeight="1">
      <c r="A40" s="22">
        <f>+MAX($A$1:A39)+1</f>
        <v>16</v>
      </c>
      <c r="B40" s="31" t="s">
        <v>62</v>
      </c>
      <c r="C40" s="66"/>
      <c r="D40" s="42" t="s">
        <v>63</v>
      </c>
      <c r="E40" s="66"/>
      <c r="F40" s="68">
        <v>5.0000000000000001E-3</v>
      </c>
      <c r="G40" s="68">
        <f>+F40</f>
        <v>5.0000000000000001E-3</v>
      </c>
      <c r="H40" s="68">
        <f t="shared" ref="H40" si="4">+G40</f>
        <v>5.0000000000000001E-3</v>
      </c>
      <c r="I40" s="68"/>
      <c r="J40" s="68"/>
      <c r="K40" s="68"/>
      <c r="L40" s="68"/>
      <c r="M40" s="68"/>
      <c r="N40" s="68"/>
      <c r="O40" s="68"/>
      <c r="P40" s="68"/>
      <c r="Q40" s="68"/>
      <c r="R40" s="18"/>
      <c r="S40" s="68"/>
      <c r="T40" s="69"/>
      <c r="U40" s="34"/>
    </row>
    <row r="41" spans="1:21" ht="15.75" customHeight="1">
      <c r="A41" s="22">
        <f>+MAX($A$1:A40)+1</f>
        <v>17</v>
      </c>
      <c r="B41" s="31" t="s">
        <v>64</v>
      </c>
      <c r="C41" s="66"/>
      <c r="D41" s="42" t="str">
        <f>"Prior Month Line "&amp;$A$44&amp;""</f>
        <v>Prior Month Line 20</v>
      </c>
      <c r="E41" s="66"/>
      <c r="F41" s="70">
        <v>0</v>
      </c>
      <c r="G41" s="70">
        <f>+F44</f>
        <v>4782284.8089538263</v>
      </c>
      <c r="H41" s="70">
        <f t="shared" ref="H41" si="5">+G44</f>
        <v>12329190.577294245</v>
      </c>
      <c r="I41" s="70"/>
      <c r="J41" s="70"/>
      <c r="K41" s="70"/>
      <c r="L41" s="70"/>
      <c r="M41" s="70"/>
      <c r="N41" s="70"/>
      <c r="O41" s="70"/>
      <c r="P41" s="70"/>
      <c r="Q41" s="70"/>
      <c r="R41" s="18"/>
      <c r="S41" s="70">
        <f>+F41</f>
        <v>0</v>
      </c>
      <c r="T41" s="71"/>
      <c r="U41" s="34"/>
    </row>
    <row r="42" spans="1:21" ht="15.75" customHeight="1">
      <c r="A42" s="22">
        <f>+MAX($A$1:A41)+1</f>
        <v>18</v>
      </c>
      <c r="B42" s="31" t="s">
        <v>65</v>
      </c>
      <c r="C42" s="66"/>
      <c r="D42" s="42" t="str">
        <f>"Line "&amp;$A$36</f>
        <v>Line 15</v>
      </c>
      <c r="E42" s="66"/>
      <c r="F42" s="70">
        <f>+F36</f>
        <v>4770358.9116746401</v>
      </c>
      <c r="G42" s="70">
        <f>+G36</f>
        <v>7504233.7598959105</v>
      </c>
      <c r="H42" s="70">
        <f>+H36</f>
        <v>2288656.7621916044</v>
      </c>
      <c r="I42" s="70"/>
      <c r="J42" s="70"/>
      <c r="K42" s="70"/>
      <c r="L42" s="70"/>
      <c r="M42" s="70"/>
      <c r="N42" s="70"/>
      <c r="O42" s="70"/>
      <c r="P42" s="70"/>
      <c r="Q42" s="70"/>
      <c r="R42" s="18"/>
      <c r="S42" s="70">
        <f>+SUM(F42:Q42)</f>
        <v>14563249.433762155</v>
      </c>
      <c r="T42" s="71"/>
      <c r="U42" s="34"/>
    </row>
    <row r="43" spans="1:21" ht="15.75" customHeight="1">
      <c r="A43" s="22">
        <f>+MAX($A$1:A42)+1</f>
        <v>19</v>
      </c>
      <c r="B43" s="72" t="s">
        <v>66</v>
      </c>
      <c r="C43" s="66"/>
      <c r="D43" s="42" t="str">
        <f>"Line "&amp;$A$40&amp;" * ( Line "&amp;$A$41&amp;" + 50% x Line "&amp;$A$42&amp;")"</f>
        <v>Line 16 * ( Line 17 + 50% x Line 18)</v>
      </c>
      <c r="E43" s="66"/>
      <c r="F43" s="73">
        <f t="shared" ref="F43:H43" si="6">+(F41+0.5*SUM(F42:F42))*F40</f>
        <v>11925.8972791866</v>
      </c>
      <c r="G43" s="73">
        <f t="shared" si="6"/>
        <v>42672.008444508909</v>
      </c>
      <c r="H43" s="73">
        <f t="shared" si="6"/>
        <v>67367.594791950236</v>
      </c>
      <c r="I43" s="73"/>
      <c r="J43" s="73"/>
      <c r="K43" s="73"/>
      <c r="L43" s="73"/>
      <c r="M43" s="73"/>
      <c r="N43" s="73"/>
      <c r="O43" s="73"/>
      <c r="P43" s="73"/>
      <c r="Q43" s="73"/>
      <c r="R43" s="18"/>
      <c r="S43" s="39">
        <f>+SUM(F43:Q43)</f>
        <v>121965.50051564575</v>
      </c>
      <c r="T43" s="71"/>
      <c r="U43" s="34"/>
    </row>
    <row r="44" spans="1:21" ht="15.75" customHeight="1">
      <c r="A44" s="22">
        <f>+MAX($A$1:A43)+1</f>
        <v>20</v>
      </c>
      <c r="B44" s="48" t="s">
        <v>67</v>
      </c>
      <c r="C44" s="66"/>
      <c r="D44" s="42" t="str">
        <f>"∑ Lines "&amp;$A$41&amp;":"&amp;$A$43&amp;""</f>
        <v>∑ Lines 17:19</v>
      </c>
      <c r="E44" s="66"/>
      <c r="F44" s="61">
        <f t="shared" ref="F44:H44" si="7">+SUM(F41:F43)</f>
        <v>4782284.8089538263</v>
      </c>
      <c r="G44" s="61">
        <f t="shared" si="7"/>
        <v>12329190.577294245</v>
      </c>
      <c r="H44" s="61">
        <f t="shared" si="7"/>
        <v>14685214.934277801</v>
      </c>
      <c r="I44" s="61"/>
      <c r="J44" s="61"/>
      <c r="K44" s="61"/>
      <c r="L44" s="61"/>
      <c r="M44" s="61"/>
      <c r="N44" s="61"/>
      <c r="O44" s="61"/>
      <c r="P44" s="61"/>
      <c r="Q44" s="61"/>
      <c r="R44" s="18"/>
      <c r="S44" s="61">
        <f>+SUM(S41:S43)</f>
        <v>14685214.934277801</v>
      </c>
      <c r="T44" s="71"/>
      <c r="U44" s="34"/>
    </row>
    <row r="45" spans="1:21" ht="15.75" customHeight="1">
      <c r="A45" s="22"/>
      <c r="B45" s="36"/>
      <c r="C45" s="36"/>
      <c r="D45" s="19"/>
      <c r="E45" s="36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18"/>
      <c r="S45" s="69"/>
      <c r="T45" s="69"/>
      <c r="U45" s="34"/>
    </row>
    <row r="46" spans="1:21" ht="15.75" customHeight="1">
      <c r="A46" s="22"/>
      <c r="B46" s="24"/>
      <c r="C46" s="36"/>
      <c r="D46" s="19"/>
      <c r="E46" s="36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8"/>
      <c r="S46" s="69"/>
      <c r="T46" s="69"/>
      <c r="U46" s="34"/>
    </row>
    <row r="47" spans="1:21" ht="15.75" customHeight="1">
      <c r="A47" s="18" t="s">
        <v>75</v>
      </c>
      <c r="C47" s="36"/>
      <c r="D47" s="19"/>
      <c r="E47" s="36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18"/>
      <c r="S47" s="69"/>
      <c r="T47" s="69"/>
      <c r="U47" s="34"/>
    </row>
    <row r="48" spans="1:21" ht="15.75" customHeight="1">
      <c r="A48" s="75">
        <v>1</v>
      </c>
      <c r="B48" s="76" t="s">
        <v>69</v>
      </c>
      <c r="C48" s="36"/>
      <c r="D48" s="19"/>
      <c r="E48" s="36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18"/>
      <c r="S48" s="69"/>
      <c r="T48" s="69"/>
      <c r="U48" s="34"/>
    </row>
    <row r="49" spans="1:21" ht="15.75" customHeight="1">
      <c r="A49" s="75">
        <v>2</v>
      </c>
      <c r="B49" s="76" t="s">
        <v>70</v>
      </c>
      <c r="C49" s="54"/>
      <c r="E49" s="5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18"/>
      <c r="S49" s="69"/>
      <c r="T49" s="69"/>
      <c r="U49" s="34"/>
    </row>
    <row r="50" spans="1:21" ht="15.75" customHeight="1"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18"/>
      <c r="S50" s="77"/>
      <c r="T50" s="77"/>
      <c r="U50" s="34"/>
    </row>
    <row r="51" spans="1:21" ht="15.75" customHeight="1">
      <c r="R51" s="18"/>
      <c r="S51" s="77"/>
      <c r="T51" s="77"/>
      <c r="U51" s="34"/>
    </row>
    <row r="52" spans="1:21" ht="15.75" customHeight="1"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18"/>
      <c r="S52" s="77"/>
      <c r="T52" s="77"/>
      <c r="U52" s="34"/>
    </row>
    <row r="53" spans="1:21" ht="15.75" customHeight="1">
      <c r="R53" s="18"/>
      <c r="S53" s="77"/>
      <c r="T53" s="77"/>
      <c r="U53" s="34"/>
    </row>
    <row r="54" spans="1:21" ht="15.75" customHeight="1"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18"/>
      <c r="S54" s="77"/>
      <c r="T54" s="77"/>
      <c r="U54" s="34"/>
    </row>
    <row r="55" spans="1:21" ht="15.75" customHeight="1"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18"/>
      <c r="S55" s="77"/>
      <c r="T55" s="77"/>
      <c r="U55" s="34"/>
    </row>
    <row r="56" spans="1:21" ht="15.75" customHeight="1">
      <c r="R56" s="18"/>
      <c r="S56" s="77"/>
      <c r="T56" s="77"/>
      <c r="U56" s="34"/>
    </row>
    <row r="57" spans="1:21" ht="15.75" customHeight="1"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18"/>
      <c r="S57" s="77"/>
      <c r="T57" s="77"/>
      <c r="U57" s="34"/>
    </row>
    <row r="58" spans="1:21" ht="15.75" customHeight="1">
      <c r="R58" s="18"/>
      <c r="S58" s="77"/>
      <c r="T58" s="77"/>
      <c r="U58" s="34"/>
    </row>
    <row r="59" spans="1:21" ht="15.75" customHeight="1">
      <c r="R59" s="18"/>
      <c r="U59" s="34"/>
    </row>
    <row r="60" spans="1:21" ht="15.75" customHeight="1">
      <c r="R60" s="18"/>
      <c r="U60" s="34"/>
    </row>
    <row r="61" spans="1:21" ht="15.75" customHeight="1">
      <c r="R61" s="18"/>
      <c r="U61" s="34"/>
    </row>
    <row r="62" spans="1:21" ht="15.75" customHeight="1">
      <c r="R62" s="18"/>
      <c r="U62" s="34"/>
    </row>
    <row r="63" spans="1:21" ht="15.75" customHeight="1">
      <c r="R63" s="18"/>
      <c r="U63" s="34"/>
    </row>
    <row r="64" spans="1:21" ht="15.75" customHeight="1">
      <c r="R64" s="18"/>
      <c r="U64" s="34"/>
    </row>
    <row r="65" spans="18:21" ht="15.75" customHeight="1">
      <c r="R65" s="18"/>
      <c r="U65" s="34"/>
    </row>
    <row r="66" spans="18:21" ht="15.75" customHeight="1">
      <c r="R66" s="18"/>
      <c r="U66" s="34"/>
    </row>
    <row r="67" spans="18:21" ht="15.75" customHeight="1">
      <c r="R67" s="18"/>
      <c r="U67" s="34"/>
    </row>
    <row r="68" spans="18:21" ht="15.75" customHeight="1">
      <c r="R68" s="18"/>
      <c r="U68" s="34"/>
    </row>
    <row r="69" spans="18:21" ht="15.75" customHeight="1">
      <c r="R69" s="18"/>
      <c r="U69" s="34"/>
    </row>
    <row r="70" spans="18:21" ht="15.75" customHeight="1">
      <c r="R70" s="18"/>
      <c r="U70" s="34"/>
    </row>
    <row r="71" spans="18:21" ht="15.75" customHeight="1">
      <c r="R71" s="18"/>
      <c r="U71" s="34"/>
    </row>
    <row r="72" spans="18:21" ht="15.75" customHeight="1">
      <c r="R72" s="18"/>
      <c r="U72" s="34"/>
    </row>
    <row r="73" spans="18:21" ht="15.75" customHeight="1">
      <c r="R73" s="18"/>
      <c r="U73" s="34"/>
    </row>
    <row r="74" spans="18:21" ht="15.75" customHeight="1">
      <c r="R74" s="18"/>
      <c r="U74" s="34"/>
    </row>
    <row r="75" spans="18:21" ht="15.75" customHeight="1">
      <c r="R75" s="18"/>
      <c r="U75" s="34"/>
    </row>
    <row r="76" spans="18:21" ht="15.75" customHeight="1">
      <c r="R76" s="18"/>
      <c r="U76" s="34"/>
    </row>
    <row r="77" spans="18:21" ht="15.75" customHeight="1">
      <c r="R77" s="18"/>
      <c r="U77" s="34"/>
    </row>
    <row r="78" spans="18:21" ht="15.75" customHeight="1">
      <c r="R78" s="18"/>
      <c r="U78" s="34"/>
    </row>
    <row r="79" spans="18:21" ht="15.75" customHeight="1">
      <c r="R79" s="18"/>
      <c r="U79" s="34"/>
    </row>
    <row r="80" spans="18:21" ht="15.75" customHeight="1">
      <c r="R80" s="18"/>
      <c r="U80" s="34"/>
    </row>
    <row r="81" spans="18:21" ht="15.75" customHeight="1">
      <c r="R81" s="18"/>
      <c r="U81" s="34"/>
    </row>
    <row r="82" spans="18:21" ht="15.75" customHeight="1">
      <c r="R82" s="18"/>
      <c r="U82" s="34"/>
    </row>
    <row r="83" spans="18:21" ht="15.75" customHeight="1">
      <c r="U83" s="34"/>
    </row>
    <row r="84" spans="18:21" ht="15.75" customHeight="1">
      <c r="U84" s="34"/>
    </row>
    <row r="85" spans="18:21" ht="15.75" customHeight="1">
      <c r="U85" s="34"/>
    </row>
    <row r="86" spans="18:21" ht="15.75" customHeight="1">
      <c r="U86" s="34"/>
    </row>
    <row r="87" spans="18:21" ht="15.75" customHeight="1">
      <c r="U87" s="34"/>
    </row>
    <row r="88" spans="18:21" ht="15.75" customHeight="1">
      <c r="U88" s="34"/>
    </row>
    <row r="89" spans="18:21" ht="15.75" customHeight="1">
      <c r="U89" s="34"/>
    </row>
    <row r="90" spans="18:21" ht="15.75" customHeight="1">
      <c r="U90" s="34"/>
    </row>
    <row r="91" spans="18:21" ht="15.75" customHeight="1">
      <c r="U91" s="34"/>
    </row>
    <row r="92" spans="18:21" ht="15.75" customHeight="1">
      <c r="U92" s="34"/>
    </row>
    <row r="93" spans="18:21" ht="15.75" customHeight="1">
      <c r="U93" s="34"/>
    </row>
    <row r="94" spans="18:21" ht="15.75" customHeight="1">
      <c r="U94" s="34"/>
    </row>
    <row r="95" spans="18:21" ht="15.75" customHeight="1">
      <c r="U95" s="34"/>
    </row>
    <row r="96" spans="18:21" ht="15.75" customHeight="1">
      <c r="U96" s="34"/>
    </row>
    <row r="97" spans="21:21" ht="15.75" customHeight="1">
      <c r="U97" s="34"/>
    </row>
    <row r="98" spans="21:21" ht="15.75" customHeight="1">
      <c r="U98" s="34"/>
    </row>
    <row r="99" spans="21:21" ht="15.75" customHeight="1">
      <c r="U99" s="34"/>
    </row>
    <row r="100" spans="21:21" ht="15.75" customHeight="1">
      <c r="U100" s="34"/>
    </row>
    <row r="101" spans="21:21" ht="15.75" customHeight="1">
      <c r="U101" s="34"/>
    </row>
    <row r="102" spans="21:21" ht="15.75" customHeight="1">
      <c r="U102" s="34"/>
    </row>
    <row r="103" spans="21:21" ht="15.75" customHeight="1">
      <c r="U103" s="34"/>
    </row>
    <row r="104" spans="21:21" ht="15.75" customHeight="1">
      <c r="U104" s="34"/>
    </row>
    <row r="105" spans="21:21" ht="15.75" customHeight="1">
      <c r="U105" s="34"/>
    </row>
    <row r="106" spans="21:21" ht="15.75" customHeight="1">
      <c r="U106" s="34"/>
    </row>
    <row r="107" spans="21:21" ht="15.75" customHeight="1">
      <c r="U107" s="34"/>
    </row>
    <row r="108" spans="21:21" ht="15.75" customHeight="1">
      <c r="U108" s="34"/>
    </row>
    <row r="109" spans="21:21" ht="15.75" customHeight="1">
      <c r="U109" s="34"/>
    </row>
    <row r="110" spans="21:21" ht="15.75" customHeight="1">
      <c r="U110" s="34"/>
    </row>
    <row r="111" spans="21:21" ht="15.75" customHeight="1">
      <c r="U111" s="34"/>
    </row>
    <row r="112" spans="21:21" ht="15.75" customHeight="1">
      <c r="U112" s="34"/>
    </row>
    <row r="113" spans="21:21" ht="15.75" customHeight="1">
      <c r="U113" s="34"/>
    </row>
    <row r="114" spans="21:21" ht="15.75" customHeight="1">
      <c r="U114" s="34"/>
    </row>
    <row r="115" spans="21:21" ht="15.75" customHeight="1">
      <c r="U115" s="34"/>
    </row>
    <row r="116" spans="21:21" ht="15.75" customHeight="1">
      <c r="U116" s="34"/>
    </row>
    <row r="117" spans="21:21" ht="15.75" customHeight="1">
      <c r="U117" s="34"/>
    </row>
    <row r="118" spans="21:21" ht="15.75" customHeight="1">
      <c r="U118" s="34"/>
    </row>
    <row r="119" spans="21:21" ht="15.75" customHeight="1">
      <c r="U119" s="34"/>
    </row>
    <row r="120" spans="21:21" ht="15.75" customHeight="1">
      <c r="U120" s="34"/>
    </row>
    <row r="121" spans="21:21" ht="15.75" customHeight="1">
      <c r="U121" s="34"/>
    </row>
    <row r="122" spans="21:21" ht="15.75" customHeight="1">
      <c r="U122" s="34"/>
    </row>
    <row r="123" spans="21:21" ht="15.75" customHeight="1">
      <c r="U123" s="34"/>
    </row>
    <row r="124" spans="21:21" ht="15.75" customHeight="1">
      <c r="U124" s="34"/>
    </row>
    <row r="125" spans="21:21" ht="15.75" customHeight="1">
      <c r="U125" s="34"/>
    </row>
    <row r="126" spans="21:21" ht="15.75" customHeight="1">
      <c r="U126" s="34"/>
    </row>
    <row r="127" spans="21:21" ht="15.75" customHeight="1">
      <c r="U127" s="34"/>
    </row>
    <row r="128" spans="21:21" ht="15.75" customHeight="1">
      <c r="U128" s="34"/>
    </row>
    <row r="129" spans="21:21" ht="15.75" customHeight="1">
      <c r="U129" s="34"/>
    </row>
    <row r="130" spans="21:21" ht="15.75" customHeight="1">
      <c r="U130" s="34"/>
    </row>
    <row r="131" spans="21:21" ht="15.75" customHeight="1">
      <c r="U131" s="34"/>
    </row>
    <row r="132" spans="21:21" ht="15.75" customHeight="1">
      <c r="U132" s="34"/>
    </row>
    <row r="133" spans="21:21" ht="15.75" customHeight="1">
      <c r="U133" s="34"/>
    </row>
    <row r="134" spans="21:21" ht="15.75" customHeight="1">
      <c r="U134" s="34"/>
    </row>
    <row r="135" spans="21:21" ht="15.75" customHeight="1">
      <c r="U135" s="34"/>
    </row>
    <row r="136" spans="21:21" ht="15.75" customHeight="1">
      <c r="U136" s="34"/>
    </row>
    <row r="137" spans="21:21" ht="15.75" customHeight="1">
      <c r="U137" s="34"/>
    </row>
    <row r="138" spans="21:21" ht="15.75" customHeight="1">
      <c r="U138" s="34"/>
    </row>
    <row r="139" spans="21:21" ht="15.75" customHeight="1">
      <c r="U139" s="34"/>
    </row>
    <row r="140" spans="21:21" ht="15.75" customHeight="1">
      <c r="U140" s="34"/>
    </row>
    <row r="141" spans="21:21" ht="15.75" customHeight="1">
      <c r="U141" s="34"/>
    </row>
    <row r="142" spans="21:21" ht="15.75" customHeight="1">
      <c r="U142" s="34"/>
    </row>
    <row r="143" spans="21:21" ht="15.75" customHeight="1">
      <c r="U143" s="34"/>
    </row>
    <row r="144" spans="21:21" ht="15.75" customHeight="1">
      <c r="U144" s="34"/>
    </row>
    <row r="145" spans="21:21" ht="15.75" customHeight="1">
      <c r="U145" s="34"/>
    </row>
    <row r="146" spans="21:21" ht="15.75" customHeight="1">
      <c r="U146" s="34"/>
    </row>
    <row r="147" spans="21:21" ht="15.75" customHeight="1">
      <c r="U147" s="34"/>
    </row>
    <row r="148" spans="21:21" ht="15.75" customHeight="1">
      <c r="U148" s="34"/>
    </row>
    <row r="149" spans="21:21" ht="15.75" customHeight="1">
      <c r="U149" s="34"/>
    </row>
    <row r="150" spans="21:21" ht="15.75" customHeight="1">
      <c r="U150" s="34"/>
    </row>
    <row r="151" spans="21:21" ht="15.75" customHeight="1">
      <c r="U151" s="34"/>
    </row>
    <row r="152" spans="21:21" ht="15.75" customHeight="1">
      <c r="U152" s="34"/>
    </row>
    <row r="153" spans="21:21" ht="15.75" customHeight="1">
      <c r="U153" s="34"/>
    </row>
    <row r="154" spans="21:21" ht="15.75" customHeight="1">
      <c r="U154" s="34"/>
    </row>
    <row r="155" spans="21:21" ht="15.75" customHeight="1">
      <c r="U155" s="34"/>
    </row>
    <row r="156" spans="21:21" ht="15.75" customHeight="1">
      <c r="U156" s="34"/>
    </row>
  </sheetData>
  <pageMargins left="0.25" right="0.25" top="0.5" bottom="0.25" header="0" footer="0.3"/>
  <pageSetup scale="58" fitToWidth="0" fitToHeight="0" orientation="landscape" r:id="rId1"/>
  <headerFooter alignWithMargins="0">
    <oddFooter>&amp;C&amp;"arial"&amp;11Exhibit 4 - Docket 11-035-200 Stipulation Exhibit A3 Method (Monthly Allocation)&amp;R&amp;"arial"&amp;11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Workpaper Index</vt:lpstr>
      <vt:lpstr>(Exh.1) A1 Scalar Method</vt:lpstr>
      <vt:lpstr>(Exh.2)09-035-15 Comm Ord Methd</vt:lpstr>
      <vt:lpstr>(Exh.3) A2 Method</vt:lpstr>
      <vt:lpstr>(Exh.4) A3 Method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laurieharris</cp:lastModifiedBy>
  <cp:lastPrinted>2014-06-05T15:03:03Z</cp:lastPrinted>
  <dcterms:created xsi:type="dcterms:W3CDTF">2014-06-04T23:03:58Z</dcterms:created>
  <dcterms:modified xsi:type="dcterms:W3CDTF">2014-06-06T18:45:22Z</dcterms:modified>
</cp:coreProperties>
</file>